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namedSheetViews/namedSheetView2.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https://ingov-my.sharepoint.com/personal/sthunter_urc_in_gov/Documents/Desktop/Filings for the Day/"/>
    </mc:Choice>
  </mc:AlternateContent>
  <xr:revisionPtr revIDLastSave="1" documentId="8_{D681BED0-A2A3-4F2E-9908-E72FCE9225BF}" xr6:coauthVersionLast="47" xr6:coauthVersionMax="47" xr10:uidLastSave="{320034F0-68B9-499F-9A54-025354C71C3C}"/>
  <bookViews>
    <workbookView xWindow="-120" yWindow="-120" windowWidth="24240" windowHeight="13140" xr2:uid="{664D3DA7-3572-41D5-AEAB-CDD1614F9008}"/>
  </bookViews>
  <sheets>
    <sheet name="Cover Page" sheetId="13" r:id="rId1"/>
    <sheet name="SAH-2" sheetId="8" r:id="rId2"/>
    <sheet name="SAH-3" sheetId="7" r:id="rId3"/>
    <sheet name="SAH-4 (Public)" sheetId="1" r:id="rId4"/>
    <sheet name="SAH-5 (Public)" sheetId="2" r:id="rId5"/>
    <sheet name="SAH-6 (Public)" sheetId="3" r:id="rId6"/>
    <sheet name="SAH-7 (Public)" sheetId="5" r:id="rId7"/>
    <sheet name="SAH-8 (Public)" sheetId="14" r:id="rId8"/>
    <sheet name="SAH-9 (Public)" sheetId="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0">#REF!</definedName>
    <definedName name="\C">#REF!</definedName>
    <definedName name="\D">#REF!</definedName>
    <definedName name="\E">#REF!</definedName>
    <definedName name="\I">#REF!</definedName>
    <definedName name="\L">#REF!</definedName>
    <definedName name="\M">#REF!</definedName>
    <definedName name="\P">'[1]DEC 03'!#REF!</definedName>
    <definedName name="\Q">#REF!</definedName>
    <definedName name="\R">#REF!</definedName>
    <definedName name="\S">#REF!</definedName>
    <definedName name="\X">#REF!</definedName>
    <definedName name="\Z">#REF!</definedName>
    <definedName name="__ABB1">#REF!</definedName>
    <definedName name="__ABB2">#REF!</definedName>
    <definedName name="__ABB3">#REF!</definedName>
    <definedName name="__ABB4">#REF!</definedName>
    <definedName name="__BAG1">#REF!</definedName>
    <definedName name="__BAG2">#REF!</definedName>
    <definedName name="__FBC1">#REF!</definedName>
    <definedName name="__FBC2">#REF!</definedName>
    <definedName name="__FBC3">#REF!</definedName>
    <definedName name="__WGS4">#REF!</definedName>
    <definedName name="_1__123Graph_ACHART_10" hidden="1">'[2]summ graf'!$D$4:$HK$4</definedName>
    <definedName name="_10__123Graph_BCHART_17" hidden="1">'[2]summ graf'!$D$15:$HK$15</definedName>
    <definedName name="_11__123Graph_CCHART_10" hidden="1">'[2]summ graf'!$D$6:$HK$6</definedName>
    <definedName name="_12__123Graph_CCHART_12" hidden="1">'[2]summ graf'!$D$11:$HK$11</definedName>
    <definedName name="_12MO_NONUTL">#REF!</definedName>
    <definedName name="_13__123Graph_CCHART_13" hidden="1">'[2]summ graf'!$D$21:$HK$21</definedName>
    <definedName name="_14__123Graph_CCHART_14" hidden="1">'[2]summ graf'!$D$26:$HK$26</definedName>
    <definedName name="_15__123Graph_CCHART_15" hidden="1">'[2]summ graf'!$D$30:$HK$30</definedName>
    <definedName name="_16__123Graph_CCHART_16" hidden="1">'[2]summ graf'!$D$36:$HK$36</definedName>
    <definedName name="_17__123Graph_CCHART_17" hidden="1">'[2]summ graf'!$D$16:$HK$16</definedName>
    <definedName name="_18__123Graph_CCHART_18" hidden="1">'[2]summ graf'!$D$48:$HK$48</definedName>
    <definedName name="_2__123Graph_ACHART_12" hidden="1">'[2]summ graf'!$D$9:$HK$9</definedName>
    <definedName name="_3__123Graph_ACHART_13" hidden="1">'[2]summ graf'!$D$19:$BM$19</definedName>
    <definedName name="_4__123Graph_ACHART_14" hidden="1">'[2]summ graf'!$D$24:$BM$24</definedName>
    <definedName name="_5__123Graph_ACHART_15" hidden="1">'[2]summ graf'!$D$28:$HK$28</definedName>
    <definedName name="_6__123Graph_ACHART_16" hidden="1">'[2]summ graf'!$D$34:$HK$34</definedName>
    <definedName name="_7__123Graph_ACHART_17" hidden="1">'[2]summ graf'!$D$14:$HK$14</definedName>
    <definedName name="_8__123Graph_ACHART_18" hidden="1">'[2]summ graf'!$D$46:$HK$46</definedName>
    <definedName name="_9__123Graph_BCHART_13" hidden="1">'[2]summ graf'!$D$20:$BM$20</definedName>
    <definedName name="_ABB1">#REF!</definedName>
    <definedName name="_ABB2">#REF!</definedName>
    <definedName name="_ABB3">#REF!</definedName>
    <definedName name="_ABB4">#REF!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AG1">#REF!</definedName>
    <definedName name="_BAG2">#REF!</definedName>
    <definedName name="_eap08">'[3]Assumptions &amp; Inputs'!$D$7</definedName>
    <definedName name="_eap09">'[3]Assumptions &amp; Inputs'!$E$7</definedName>
    <definedName name="_eap10">'[3]Assumptions &amp; Inputs'!$F$7</definedName>
    <definedName name="_eap11">'[3]Assumptions &amp; Inputs'!$G$7</definedName>
    <definedName name="_FBC1">#REF!</definedName>
    <definedName name="_FBC2">#REF!</definedName>
    <definedName name="_FBC3">#REF!</definedName>
    <definedName name="_Fill" hidden="1">#REF!</definedName>
    <definedName name="_xlnm._FilterDatabase" localSheetId="3" hidden="1">'SAH-4 (Public)'!$A$6:$J$70</definedName>
    <definedName name="_xlnm._FilterDatabase" localSheetId="4" hidden="1">'SAH-5 (Public)'!$A$6:$J$350</definedName>
    <definedName name="_xlnm._FilterDatabase" localSheetId="5" hidden="1">'SAH-6 (Public)'!$A$6:$J$340</definedName>
    <definedName name="_xlnm._FilterDatabase" localSheetId="6" hidden="1">'SAH-7 (Public)'!$A$6:$J$163</definedName>
    <definedName name="_xlnm._FilterDatabase" localSheetId="7" hidden="1">'SAH-8 (Public)'!$A$6:$BI$710</definedName>
    <definedName name="_xlnm._FilterDatabase" localSheetId="8" hidden="1">'SAH-9 (Public)'!$A$6:$J$274</definedName>
    <definedName name="_GAS1">#REF!</definedName>
    <definedName name="_GAS2">#REF!</definedName>
    <definedName name="_JV1">#REF!</definedName>
    <definedName name="_JV2">#REF!</definedName>
    <definedName name="_JV3">#REF!</definedName>
    <definedName name="_JV4">#REF!</definedName>
    <definedName name="_Key1" hidden="1">#REF!</definedName>
    <definedName name="_lp08">'[3]Assumptions &amp; Inputs'!$D$16</definedName>
    <definedName name="_lp09">'[3]Assumptions &amp; Inputs'!$E$16</definedName>
    <definedName name="_lp10">'[3]Assumptions &amp; Inputs'!$F$16</definedName>
    <definedName name="_lp11">'[3]Assumptions &amp; Inputs'!$G$16</definedName>
    <definedName name="_lsp08">'[3]Assumptions &amp; Inputs'!$D$51</definedName>
    <definedName name="_lsp09">'[3]Assumptions &amp; Inputs'!$E$51</definedName>
    <definedName name="_lsp10">'[3]Assumptions &amp; Inputs'!$F$51</definedName>
    <definedName name="_lsp11">'[3]Assumptions &amp; Inputs'!$G$51</definedName>
    <definedName name="_ngp08">'[3]Assumptions &amp; Inputs'!$D$5</definedName>
    <definedName name="_ngp09">'[3]Assumptions &amp; Inputs'!$E$5</definedName>
    <definedName name="_ngp10">'[3]Assumptions &amp; Inputs'!$F$5</definedName>
    <definedName name="_ngp11">'[3]Assumptions &amp; Inputs'!$G$5</definedName>
    <definedName name="_Order1" hidden="1">255</definedName>
    <definedName name="_Order2" hidden="1">255</definedName>
    <definedName name="_sap08">'[3]Assumptions &amp; Inputs'!$D$17</definedName>
    <definedName name="_sap09">'[3]Assumptions &amp; Inputs'!$E$17</definedName>
    <definedName name="_sap10">'[3]Assumptions &amp; Inputs'!$F$17</definedName>
    <definedName name="_sap11">'[3]Assumptions &amp; Inputs'!$G$17</definedName>
    <definedName name="_Sort" hidden="1">#REF!</definedName>
    <definedName name="_wcp08">'[3]Assumptions &amp; Inputs'!$D$60</definedName>
    <definedName name="_wcp09">'[3]Assumptions &amp; Inputs'!$E$60</definedName>
    <definedName name="_wcp10">'[3]Assumptions &amp; Inputs'!$F$60</definedName>
    <definedName name="_wcp11">'[3]Assumptions &amp; Inputs'!$G$60</definedName>
    <definedName name="_WGS4">#REF!</definedName>
    <definedName name="ABB_coal_HV" localSheetId="1">#REF!</definedName>
    <definedName name="ABB_coal_HV" localSheetId="2">#REF!</definedName>
    <definedName name="ABB_coal_HV" localSheetId="3">#REF!</definedName>
    <definedName name="ABB_coal_HV" localSheetId="4">#REF!</definedName>
    <definedName name="ABB_coal_HV" localSheetId="5">#REF!</definedName>
    <definedName name="ABB_coal_HV" localSheetId="6">#REF!</definedName>
    <definedName name="ABB_coal_HV" localSheetId="7">#REF!</definedName>
    <definedName name="ABB_coal_HV" localSheetId="8">#REF!</definedName>
    <definedName name="ABB_coal_HV">#REF!</definedName>
    <definedName name="ABB_coal_price" localSheetId="1">#REF!</definedName>
    <definedName name="ABB_coal_price" localSheetId="2">#REF!</definedName>
    <definedName name="ABB_coal_price" localSheetId="3">#REF!</definedName>
    <definedName name="ABB_coal_price" localSheetId="4">#REF!</definedName>
    <definedName name="ABB_coal_price" localSheetId="5">#REF!</definedName>
    <definedName name="ABB_coal_price" localSheetId="6">#REF!</definedName>
    <definedName name="ABB_coal_price" localSheetId="7">#REF!</definedName>
    <definedName name="ABB_coal_price" localSheetId="8">#REF!</definedName>
    <definedName name="ABB_coal_price">#REF!</definedName>
    <definedName name="ABB_coal_S" localSheetId="1">#REF!</definedName>
    <definedName name="ABB_coal_S" localSheetId="2">#REF!</definedName>
    <definedName name="ABB_coal_S" localSheetId="3">#REF!</definedName>
    <definedName name="ABB_coal_S" localSheetId="4">#REF!</definedName>
    <definedName name="ABB_coal_S" localSheetId="5">#REF!</definedName>
    <definedName name="ABB_coal_S" localSheetId="6">#REF!</definedName>
    <definedName name="ABB_coal_S" localSheetId="7">#REF!</definedName>
    <definedName name="ABB_coal_S" localSheetId="8">#REF!</definedName>
    <definedName name="ABB_coal_S">#REF!</definedName>
    <definedName name="ABB1_erate" localSheetId="1">#REF!</definedName>
    <definedName name="ABB1_erate" localSheetId="2">#REF!</definedName>
    <definedName name="ABB1_erate" localSheetId="3">#REF!</definedName>
    <definedName name="ABB1_erate" localSheetId="4">#REF!</definedName>
    <definedName name="ABB1_erate" localSheetId="5">#REF!</definedName>
    <definedName name="ABB1_erate" localSheetId="6">#REF!</definedName>
    <definedName name="ABB1_erate" localSheetId="7">#REF!</definedName>
    <definedName name="ABB1_erate" localSheetId="8">#REF!</definedName>
    <definedName name="ABB1_erate">#REF!</definedName>
    <definedName name="ABB1_hr">'[3]Assumptions &amp; Inputs'!$C$18</definedName>
    <definedName name="ABB1_lm_rate" localSheetId="1">#REF!</definedName>
    <definedName name="ABB1_lm_rate" localSheetId="2">#REF!</definedName>
    <definedName name="ABB1_lm_rate" localSheetId="3">#REF!</definedName>
    <definedName name="ABB1_lm_rate" localSheetId="4">#REF!</definedName>
    <definedName name="ABB1_lm_rate" localSheetId="5">#REF!</definedName>
    <definedName name="ABB1_lm_rate" localSheetId="6">#REF!</definedName>
    <definedName name="ABB1_lm_rate" localSheetId="7">#REF!</definedName>
    <definedName name="ABB1_lm_rate" localSheetId="8">#REF!</definedName>
    <definedName name="ABB1_lm_rate">#REF!</definedName>
    <definedName name="ABB1_lp_price" localSheetId="1">#REF!</definedName>
    <definedName name="ABB1_lp_price" localSheetId="2">#REF!</definedName>
    <definedName name="ABB1_lp_price" localSheetId="3">#REF!</definedName>
    <definedName name="ABB1_lp_price" localSheetId="4">#REF!</definedName>
    <definedName name="ABB1_lp_price" localSheetId="5">#REF!</definedName>
    <definedName name="ABB1_lp_price" localSheetId="6">#REF!</definedName>
    <definedName name="ABB1_lp_price" localSheetId="7">#REF!</definedName>
    <definedName name="ABB1_lp_price" localSheetId="8">#REF!</definedName>
    <definedName name="ABB1_lp_price">#REF!</definedName>
    <definedName name="ABB1_lp_rate" localSheetId="1">#REF!</definedName>
    <definedName name="ABB1_lp_rate" localSheetId="2">#REF!</definedName>
    <definedName name="ABB1_lp_rate" localSheetId="3">#REF!</definedName>
    <definedName name="ABB1_lp_rate" localSheetId="4">#REF!</definedName>
    <definedName name="ABB1_lp_rate" localSheetId="5">#REF!</definedName>
    <definedName name="ABB1_lp_rate" localSheetId="6">#REF!</definedName>
    <definedName name="ABB1_lp_rate" localSheetId="7">#REF!</definedName>
    <definedName name="ABB1_lp_rate" localSheetId="8">#REF!</definedName>
    <definedName name="ABB1_lp_rate">#REF!</definedName>
    <definedName name="ABB1_lp_tons">'[3]Assumptions &amp; Inputs'!$J$28:$U$28</definedName>
    <definedName name="ABB1_sa_lp" localSheetId="1">#REF!</definedName>
    <definedName name="ABB1_sa_lp" localSheetId="2">#REF!</definedName>
    <definedName name="ABB1_sa_lp" localSheetId="3">#REF!</definedName>
    <definedName name="ABB1_sa_lp" localSheetId="4">#REF!</definedName>
    <definedName name="ABB1_sa_lp" localSheetId="5">#REF!</definedName>
    <definedName name="ABB1_sa_lp" localSheetId="6">#REF!</definedName>
    <definedName name="ABB1_sa_lp" localSheetId="7">#REF!</definedName>
    <definedName name="ABB1_sa_lp" localSheetId="8">#REF!</definedName>
    <definedName name="ABB1_sa_lp">#REF!</definedName>
    <definedName name="ABB1_sa_rate" localSheetId="1">#REF!</definedName>
    <definedName name="ABB1_sa_rate" localSheetId="2">#REF!</definedName>
    <definedName name="ABB1_sa_rate" localSheetId="3">#REF!</definedName>
    <definedName name="ABB1_sa_rate" localSheetId="4">#REF!</definedName>
    <definedName name="ABB1_sa_rate" localSheetId="5">#REF!</definedName>
    <definedName name="ABB1_sa_rate" localSheetId="6">#REF!</definedName>
    <definedName name="ABB1_sa_rate" localSheetId="7">#REF!</definedName>
    <definedName name="ABB1_sa_rate" localSheetId="8">#REF!</definedName>
    <definedName name="ABB1_sa_rate">#REF!</definedName>
    <definedName name="ABB1act">#REF!</definedName>
    <definedName name="ABB1gasnonOS">'[3]Assumptions &amp; Inputs'!$C$21</definedName>
    <definedName name="ABB1gasOS">'[3]Assumptions &amp; Inputs'!$C$20</definedName>
    <definedName name="ABB2_erate" localSheetId="1">#REF!</definedName>
    <definedName name="ABB2_erate" localSheetId="2">#REF!</definedName>
    <definedName name="ABB2_erate" localSheetId="3">#REF!</definedName>
    <definedName name="ABB2_erate" localSheetId="4">#REF!</definedName>
    <definedName name="ABB2_erate" localSheetId="5">#REF!</definedName>
    <definedName name="ABB2_erate" localSheetId="6">#REF!</definedName>
    <definedName name="ABB2_erate" localSheetId="7">#REF!</definedName>
    <definedName name="ABB2_erate" localSheetId="8">#REF!</definedName>
    <definedName name="ABB2_erate">#REF!</definedName>
    <definedName name="ABB2_hr">'[3]Assumptions &amp; Inputs'!$C$19</definedName>
    <definedName name="ABB2_lm_rate" localSheetId="1">#REF!</definedName>
    <definedName name="ABB2_lm_rate" localSheetId="2">#REF!</definedName>
    <definedName name="ABB2_lm_rate" localSheetId="3">#REF!</definedName>
    <definedName name="ABB2_lm_rate" localSheetId="4">#REF!</definedName>
    <definedName name="ABB2_lm_rate" localSheetId="5">#REF!</definedName>
    <definedName name="ABB2_lm_rate" localSheetId="6">#REF!</definedName>
    <definedName name="ABB2_lm_rate" localSheetId="7">#REF!</definedName>
    <definedName name="ABB2_lm_rate" localSheetId="8">#REF!</definedName>
    <definedName name="ABB2_lm_rate">#REF!</definedName>
    <definedName name="ABB2_sa_rate" localSheetId="1">#REF!</definedName>
    <definedName name="ABB2_sa_rate" localSheetId="2">#REF!</definedName>
    <definedName name="ABB2_sa_rate" localSheetId="3">#REF!</definedName>
    <definedName name="ABB2_sa_rate" localSheetId="4">#REF!</definedName>
    <definedName name="ABB2_sa_rate" localSheetId="5">#REF!</definedName>
    <definedName name="ABB2_sa_rate" localSheetId="6">#REF!</definedName>
    <definedName name="ABB2_sa_rate" localSheetId="7">#REF!</definedName>
    <definedName name="ABB2_sa_rate" localSheetId="8">#REF!</definedName>
    <definedName name="ABB2_sa_rate">#REF!</definedName>
    <definedName name="ABB2act">#REF!</definedName>
    <definedName name="ABB2gasnonOS">'[3]Assumptions &amp; Inputs'!$C$23</definedName>
    <definedName name="ABB2gasOS">'[3]Assumptions &amp; Inputs'!$C$22</definedName>
    <definedName name="ABB3act">#REF!</definedName>
    <definedName name="ABB4act">#REF!</definedName>
    <definedName name="ABBcp08">'[3]Assumptions &amp; Inputs'!$D$13</definedName>
    <definedName name="ABBcp09">'[3]Assumptions &amp; Inputs'!$E$13</definedName>
    <definedName name="ABBcp10">'[3]Assumptions &amp; Inputs'!$F$13</definedName>
    <definedName name="ABBcp11">'[3]Assumptions &amp; Inputs'!$G$13</definedName>
    <definedName name="ACCOUNTEDPERIODTYPE1" localSheetId="1">#REF!</definedName>
    <definedName name="ACCOUNTEDPERIODTYPE1" localSheetId="2">#REF!</definedName>
    <definedName name="ACCOUNTEDPERIODTYPE1" localSheetId="3">#REF!</definedName>
    <definedName name="ACCOUNTEDPERIODTYPE1" localSheetId="4">#REF!</definedName>
    <definedName name="ACCOUNTEDPERIODTYPE1" localSheetId="5">#REF!</definedName>
    <definedName name="ACCOUNTEDPERIODTYPE1" localSheetId="6">#REF!</definedName>
    <definedName name="ACCOUNTEDPERIODTYPE1" localSheetId="7">#REF!</definedName>
    <definedName name="ACCOUNTEDPERIODTYPE1" localSheetId="8">#REF!</definedName>
    <definedName name="ACCOUNTEDPERIODTYPE1">#REF!</definedName>
    <definedName name="ACCOUNTSEGMENT1" localSheetId="1">#REF!</definedName>
    <definedName name="ACCOUNTSEGMENT1" localSheetId="2">#REF!</definedName>
    <definedName name="ACCOUNTSEGMENT1" localSheetId="3">#REF!</definedName>
    <definedName name="ACCOUNTSEGMENT1" localSheetId="4">#REF!</definedName>
    <definedName name="ACCOUNTSEGMENT1" localSheetId="5">#REF!</definedName>
    <definedName name="ACCOUNTSEGMENT1" localSheetId="6">#REF!</definedName>
    <definedName name="ACCOUNTSEGMENT1" localSheetId="7">#REF!</definedName>
    <definedName name="ACCOUNTSEGMENT1" localSheetId="8">#REF!</definedName>
    <definedName name="ACCOUNTSEGMENT1">#REF!</definedName>
    <definedName name="ACCTTABLE">#REF!</definedName>
    <definedName name="accttable2">[4]ACCTTABLE!$A$11:$C$158</definedName>
    <definedName name="ALLOCATION">[5]ALLOCATION!$A$2:$F$1717</definedName>
    <definedName name="ANNUALIZED_INTEREST">#REF!</definedName>
    <definedName name="anscount" hidden="1">2</definedName>
    <definedName name="APPSUSERNAME1" localSheetId="1">#REF!</definedName>
    <definedName name="APPSUSERNAME1" localSheetId="2">#REF!</definedName>
    <definedName name="APPSUSERNAME1" localSheetId="3">#REF!</definedName>
    <definedName name="APPSUSERNAME1" localSheetId="4">#REF!</definedName>
    <definedName name="APPSUSERNAME1" localSheetId="5">#REF!</definedName>
    <definedName name="APPSUSERNAME1" localSheetId="6">#REF!</definedName>
    <definedName name="APPSUSERNAME1" localSheetId="7">#REF!</definedName>
    <definedName name="APPSUSERNAME1" localSheetId="8">#REF!</definedName>
    <definedName name="APPSUSERNAME1">#REF!</definedName>
    <definedName name="Apr">'[3]Assumptions &amp; Inputs'!$M$28:$M$29</definedName>
    <definedName name="APR__">#REF!</definedName>
    <definedName name="APR_KWH">#REF!</definedName>
    <definedName name="aprgas" localSheetId="1">#REF!</definedName>
    <definedName name="aprgas" localSheetId="2">#REF!</definedName>
    <definedName name="aprgas" localSheetId="3">#REF!</definedName>
    <definedName name="aprgas" localSheetId="4">#REF!</definedName>
    <definedName name="aprgas" localSheetId="5">#REF!</definedName>
    <definedName name="aprgas" localSheetId="6">#REF!</definedName>
    <definedName name="aprgas" localSheetId="7">#REF!</definedName>
    <definedName name="aprgas" localSheetId="8">#REF!</definedName>
    <definedName name="aprgas">#REF!</definedName>
    <definedName name="AS2DocOpenMode" hidden="1">"AS2DocumentEdit"</definedName>
    <definedName name="AS2NamedRange" hidden="1">7</definedName>
    <definedName name="ASD">'[6]O &amp; M'!$T$5</definedName>
    <definedName name="Asset" localSheetId="1">'[7]Source Data'!$B$669:$B$681</definedName>
    <definedName name="Asset" localSheetId="2">'[7]Source Data'!$B$669:$B$681</definedName>
    <definedName name="Asset" localSheetId="7">'[8]Source Data'!$B$669:$B$681</definedName>
    <definedName name="Asset">'[9]Source Data'!$B$669:$B$681</definedName>
    <definedName name="Asset_Type_Score" localSheetId="1">'[7]Source Data'!$B$669:$C$681</definedName>
    <definedName name="Asset_Type_Score" localSheetId="2">'[7]Source Data'!$B$669:$C$681</definedName>
    <definedName name="Asset_Type_Score" localSheetId="7">'[8]Source Data'!$B$669:$C$681</definedName>
    <definedName name="Asset_Type_Score">'[9]Source Data'!$B$669:$C$681</definedName>
    <definedName name="Aug">'[3]Assumptions &amp; Inputs'!$Q$28:$Q$29</definedName>
    <definedName name="AUG__">#REF!</definedName>
    <definedName name="AUG_KWH">#REF!</definedName>
    <definedName name="auggas" localSheetId="1">#REF!</definedName>
    <definedName name="auggas" localSheetId="2">#REF!</definedName>
    <definedName name="auggas" localSheetId="3">#REF!</definedName>
    <definedName name="auggas" localSheetId="4">#REF!</definedName>
    <definedName name="auggas" localSheetId="5">#REF!</definedName>
    <definedName name="auggas" localSheetId="6">#REF!</definedName>
    <definedName name="auggas" localSheetId="7">#REF!</definedName>
    <definedName name="auggas" localSheetId="8">#REF!</definedName>
    <definedName name="auggas">#REF!</definedName>
    <definedName name="b" localSheetId="1">#REF!</definedName>
    <definedName name="b" localSheetId="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#REF!</definedName>
    <definedName name="BAG1act">#REF!</definedName>
    <definedName name="BAG2act">#REF!</definedName>
    <definedName name="base_demand_hr1">#REF!</definedName>
    <definedName name="base_gen">#REF!</definedName>
    <definedName name="bb" localSheetId="1">#REF!</definedName>
    <definedName name="bb" localSheetId="2">#REF!</definedName>
    <definedName name="bb" localSheetId="3">#REF!</definedName>
    <definedName name="bb" localSheetId="4">#REF!</definedName>
    <definedName name="bb" localSheetId="5">#REF!</definedName>
    <definedName name="bb" localSheetId="6">#REF!</definedName>
    <definedName name="bb" localSheetId="7">#REF!</definedName>
    <definedName name="bb" localSheetId="8">#REF!</definedName>
    <definedName name="bb">#REF!</definedName>
    <definedName name="Beg_Bal">#REF!</definedName>
    <definedName name="BegBalance">#REF!</definedName>
    <definedName name="BILLIMPT1">#REF!</definedName>
    <definedName name="BILLIMPT10">#REF!</definedName>
    <definedName name="BILLIMPT11">#REF!</definedName>
    <definedName name="BILLIMPT12">#REF!</definedName>
    <definedName name="BILLIMPT13">#REF!</definedName>
    <definedName name="BILLIMPT14">#REF!</definedName>
    <definedName name="BILLIMPT15">#REF!</definedName>
    <definedName name="BILLIMPT16">#REF!</definedName>
    <definedName name="BILLIMPT17">#REF!</definedName>
    <definedName name="BILLIMPT18">#REF!</definedName>
    <definedName name="BILLIMPT19">#REF!</definedName>
    <definedName name="BILLIMPT2">#REF!</definedName>
    <definedName name="BILLIMPT3">#REF!</definedName>
    <definedName name="BILLIMPT4">#REF!</definedName>
    <definedName name="BILLIMPT5">#REF!</definedName>
    <definedName name="BILLIMPT6">#REF!</definedName>
    <definedName name="BILLIMPT7">#REF!</definedName>
    <definedName name="BILLIMPT8">#REF!</definedName>
    <definedName name="BILLIMPT9">#REF!</definedName>
    <definedName name="BKDEPRC">#REF!</definedName>
    <definedName name="budget">#REF!</definedName>
    <definedName name="BUDGET_YTD">#REF!</definedName>
    <definedName name="BUDGETCURRENCYCODE1" localSheetId="1">#REF!</definedName>
    <definedName name="BUDGETCURRENCYCODE1" localSheetId="2">#REF!</definedName>
    <definedName name="BUDGETCURRENCYCODE1" localSheetId="3">#REF!</definedName>
    <definedName name="BUDGETCURRENCYCODE1" localSheetId="4">#REF!</definedName>
    <definedName name="BUDGETCURRENCYCODE1" localSheetId="5">#REF!</definedName>
    <definedName name="BUDGETCURRENCYCODE1" localSheetId="6">#REF!</definedName>
    <definedName name="BUDGETCURRENCYCODE1" localSheetId="7">#REF!</definedName>
    <definedName name="BUDGETCURRENCYCODE1" localSheetId="8">#REF!</definedName>
    <definedName name="BUDGETCURRENCYCODE1">#REF!</definedName>
    <definedName name="BUDGETCURRENCYCODE2">[10]CRITERIA2!$B$16</definedName>
    <definedName name="BUDGETDECIMALPLACES1" localSheetId="1">#REF!</definedName>
    <definedName name="BUDGETDECIMALPLACES1" localSheetId="2">#REF!</definedName>
    <definedName name="BUDGETDECIMALPLACES1" localSheetId="3">#REF!</definedName>
    <definedName name="BUDGETDECIMALPLACES1" localSheetId="4">#REF!</definedName>
    <definedName name="BUDGETDECIMALPLACES1" localSheetId="5">#REF!</definedName>
    <definedName name="BUDGETDECIMALPLACES1" localSheetId="6">#REF!</definedName>
    <definedName name="BUDGETDECIMALPLACES1" localSheetId="7">#REF!</definedName>
    <definedName name="BUDGETDECIMALPLACES1" localSheetId="8">#REF!</definedName>
    <definedName name="BUDGETDECIMALPLACES1">#REF!</definedName>
    <definedName name="BUDGETENTITYID1" localSheetId="1">#REF!</definedName>
    <definedName name="BUDGETENTITYID1" localSheetId="2">#REF!</definedName>
    <definedName name="BUDGETENTITYID1" localSheetId="3">#REF!</definedName>
    <definedName name="BUDGETENTITYID1" localSheetId="4">#REF!</definedName>
    <definedName name="BUDGETENTITYID1" localSheetId="5">#REF!</definedName>
    <definedName name="BUDGETENTITYID1" localSheetId="6">#REF!</definedName>
    <definedName name="BUDGETENTITYID1" localSheetId="7">#REF!</definedName>
    <definedName name="BUDGETENTITYID1" localSheetId="8">#REF!</definedName>
    <definedName name="BUDGETENTITYID1">#REF!</definedName>
    <definedName name="BUDGETGRAPHCORRESPONDING1" localSheetId="1">#REF!</definedName>
    <definedName name="BUDGETGRAPHCORRESPONDING1" localSheetId="2">#REF!</definedName>
    <definedName name="BUDGETGRAPHCORRESPONDING1" localSheetId="3">#REF!</definedName>
    <definedName name="BUDGETGRAPHCORRESPONDING1" localSheetId="4">#REF!</definedName>
    <definedName name="BUDGETGRAPHCORRESPONDING1" localSheetId="5">#REF!</definedName>
    <definedName name="BUDGETGRAPHCORRESPONDING1" localSheetId="6">#REF!</definedName>
    <definedName name="BUDGETGRAPHCORRESPONDING1" localSheetId="7">#REF!</definedName>
    <definedName name="BUDGETGRAPHCORRESPONDING1" localSheetId="8">#REF!</definedName>
    <definedName name="BUDGETGRAPHCORRESPONDING1">#REF!</definedName>
    <definedName name="BUDGETGRAPHINCACTUALS1" localSheetId="1">#REF!</definedName>
    <definedName name="BUDGETGRAPHINCACTUALS1" localSheetId="2">#REF!</definedName>
    <definedName name="BUDGETGRAPHINCACTUALS1" localSheetId="3">#REF!</definedName>
    <definedName name="BUDGETGRAPHINCACTUALS1" localSheetId="4">#REF!</definedName>
    <definedName name="BUDGETGRAPHINCACTUALS1" localSheetId="5">#REF!</definedName>
    <definedName name="BUDGETGRAPHINCACTUALS1" localSheetId="6">#REF!</definedName>
    <definedName name="BUDGETGRAPHINCACTUALS1" localSheetId="7">#REF!</definedName>
    <definedName name="BUDGETGRAPHINCACTUALS1" localSheetId="8">#REF!</definedName>
    <definedName name="BUDGETGRAPHINCACTUALS1">#REF!</definedName>
    <definedName name="BUDGETGRAPHINCBUDGETS1" localSheetId="1">#REF!</definedName>
    <definedName name="BUDGETGRAPHINCBUDGETS1" localSheetId="2">#REF!</definedName>
    <definedName name="BUDGETGRAPHINCBUDGETS1" localSheetId="3">#REF!</definedName>
    <definedName name="BUDGETGRAPHINCBUDGETS1" localSheetId="4">#REF!</definedName>
    <definedName name="BUDGETGRAPHINCBUDGETS1" localSheetId="5">#REF!</definedName>
    <definedName name="BUDGETGRAPHINCBUDGETS1" localSheetId="6">#REF!</definedName>
    <definedName name="BUDGETGRAPHINCBUDGETS1" localSheetId="7">#REF!</definedName>
    <definedName name="BUDGETGRAPHINCBUDGETS1" localSheetId="8">#REF!</definedName>
    <definedName name="BUDGETGRAPHINCBUDGETS1">#REF!</definedName>
    <definedName name="BUDGETGRAPHINCTITLES1" localSheetId="1">#REF!</definedName>
    <definedName name="BUDGETGRAPHINCTITLES1" localSheetId="2">#REF!</definedName>
    <definedName name="BUDGETGRAPHINCTITLES1" localSheetId="3">#REF!</definedName>
    <definedName name="BUDGETGRAPHINCTITLES1" localSheetId="4">#REF!</definedName>
    <definedName name="BUDGETGRAPHINCTITLES1" localSheetId="5">#REF!</definedName>
    <definedName name="BUDGETGRAPHINCTITLES1" localSheetId="6">#REF!</definedName>
    <definedName name="BUDGETGRAPHINCTITLES1" localSheetId="7">#REF!</definedName>
    <definedName name="BUDGETGRAPHINCTITLES1" localSheetId="8">#REF!</definedName>
    <definedName name="BUDGETGRAPHINCTITLES1">#REF!</definedName>
    <definedName name="BUDGETGRAPHINCVARIANCES1" localSheetId="1">#REF!</definedName>
    <definedName name="BUDGETGRAPHINCVARIANCES1" localSheetId="2">#REF!</definedName>
    <definedName name="BUDGETGRAPHINCVARIANCES1" localSheetId="3">#REF!</definedName>
    <definedName name="BUDGETGRAPHINCVARIANCES1" localSheetId="4">#REF!</definedName>
    <definedName name="BUDGETGRAPHINCVARIANCES1" localSheetId="5">#REF!</definedName>
    <definedName name="BUDGETGRAPHINCVARIANCES1" localSheetId="6">#REF!</definedName>
    <definedName name="BUDGETGRAPHINCVARIANCES1" localSheetId="7">#REF!</definedName>
    <definedName name="BUDGETGRAPHINCVARIANCES1" localSheetId="8">#REF!</definedName>
    <definedName name="BUDGETGRAPHINCVARIANCES1">#REF!</definedName>
    <definedName name="BUDGETGRAPHSTYLE1" localSheetId="1">#REF!</definedName>
    <definedName name="BUDGETGRAPHSTYLE1" localSheetId="2">#REF!</definedName>
    <definedName name="BUDGETGRAPHSTYLE1" localSheetId="3">#REF!</definedName>
    <definedName name="BUDGETGRAPHSTYLE1" localSheetId="4">#REF!</definedName>
    <definedName name="BUDGETGRAPHSTYLE1" localSheetId="5">#REF!</definedName>
    <definedName name="BUDGETGRAPHSTYLE1" localSheetId="6">#REF!</definedName>
    <definedName name="BUDGETGRAPHSTYLE1" localSheetId="7">#REF!</definedName>
    <definedName name="BUDGETGRAPHSTYLE1" localSheetId="8">#REF!</definedName>
    <definedName name="BUDGETGRAPHSTYLE1">#REF!</definedName>
    <definedName name="BUDGETHEADINGSBACKCOLOUR1" localSheetId="1">#REF!</definedName>
    <definedName name="BUDGETHEADINGSBACKCOLOUR1" localSheetId="2">#REF!</definedName>
    <definedName name="BUDGETHEADINGSBACKCOLOUR1" localSheetId="3">#REF!</definedName>
    <definedName name="BUDGETHEADINGSBACKCOLOUR1" localSheetId="4">#REF!</definedName>
    <definedName name="BUDGETHEADINGSBACKCOLOUR1" localSheetId="5">#REF!</definedName>
    <definedName name="BUDGETHEADINGSBACKCOLOUR1" localSheetId="6">#REF!</definedName>
    <definedName name="BUDGETHEADINGSBACKCOLOUR1" localSheetId="7">#REF!</definedName>
    <definedName name="BUDGETHEADINGSBACKCOLOUR1" localSheetId="8">#REF!</definedName>
    <definedName name="BUDGETHEADINGSBACKCOLOUR1">#REF!</definedName>
    <definedName name="BUDGETHEADINGSFORECOLOUR1" localSheetId="1">#REF!</definedName>
    <definedName name="BUDGETHEADINGSFORECOLOUR1" localSheetId="2">#REF!</definedName>
    <definedName name="BUDGETHEADINGSFORECOLOUR1" localSheetId="3">#REF!</definedName>
    <definedName name="BUDGETHEADINGSFORECOLOUR1" localSheetId="4">#REF!</definedName>
    <definedName name="BUDGETHEADINGSFORECOLOUR1" localSheetId="5">#REF!</definedName>
    <definedName name="BUDGETHEADINGSFORECOLOUR1" localSheetId="6">#REF!</definedName>
    <definedName name="BUDGETHEADINGSFORECOLOUR1" localSheetId="7">#REF!</definedName>
    <definedName name="BUDGETHEADINGSFORECOLOUR1" localSheetId="8">#REF!</definedName>
    <definedName name="BUDGETHEADINGSFORECOLOUR1">#REF!</definedName>
    <definedName name="BUDGETNAME1" localSheetId="1">#REF!</definedName>
    <definedName name="BUDGETNAME1" localSheetId="2">#REF!</definedName>
    <definedName name="BUDGETNAME1" localSheetId="3">#REF!</definedName>
    <definedName name="BUDGETNAME1" localSheetId="4">#REF!</definedName>
    <definedName name="BUDGETNAME1" localSheetId="5">#REF!</definedName>
    <definedName name="BUDGETNAME1" localSheetId="6">#REF!</definedName>
    <definedName name="BUDGETNAME1" localSheetId="7">#REF!</definedName>
    <definedName name="BUDGETNAME1" localSheetId="8">#REF!</definedName>
    <definedName name="BUDGETNAME1">#REF!</definedName>
    <definedName name="BUDGETNAME2">[10]CRITERIA2!$B$13</definedName>
    <definedName name="BUDGETORG1" localSheetId="1">#REF!</definedName>
    <definedName name="BUDGETORG1" localSheetId="2">#REF!</definedName>
    <definedName name="BUDGETORG1" localSheetId="3">#REF!</definedName>
    <definedName name="BUDGETORG1" localSheetId="4">#REF!</definedName>
    <definedName name="BUDGETORG1" localSheetId="5">#REF!</definedName>
    <definedName name="BUDGETORG1" localSheetId="6">#REF!</definedName>
    <definedName name="BUDGETORG1" localSheetId="7">#REF!</definedName>
    <definedName name="BUDGETORG1" localSheetId="8">#REF!</definedName>
    <definedName name="BUDGETORG1">#REF!</definedName>
    <definedName name="BUDGETORG2">[10]CRITERIA2!$B$14</definedName>
    <definedName name="BUDGETORGFROZEN1" localSheetId="1">#REF!</definedName>
    <definedName name="BUDGETORGFROZEN1" localSheetId="2">#REF!</definedName>
    <definedName name="BUDGETORGFROZEN1" localSheetId="3">#REF!</definedName>
    <definedName name="BUDGETORGFROZEN1" localSheetId="4">#REF!</definedName>
    <definedName name="BUDGETORGFROZEN1" localSheetId="5">#REF!</definedName>
    <definedName name="BUDGETORGFROZEN1" localSheetId="6">#REF!</definedName>
    <definedName name="BUDGETORGFROZEN1" localSheetId="7">#REF!</definedName>
    <definedName name="BUDGETORGFROZEN1" localSheetId="8">#REF!</definedName>
    <definedName name="BUDGETORGFROZEN1">#REF!</definedName>
    <definedName name="BUDGETORGID1">#REF!</definedName>
    <definedName name="BUDGETORGNAME1">#REF!</definedName>
    <definedName name="BUDGETOUTPUTOPTION1" localSheetId="1">#REF!</definedName>
    <definedName name="BUDGETOUTPUTOPTION1" localSheetId="2">#REF!</definedName>
    <definedName name="BUDGETOUTPUTOPTION1" localSheetId="3">#REF!</definedName>
    <definedName name="BUDGETOUTPUTOPTION1" localSheetId="4">#REF!</definedName>
    <definedName name="BUDGETOUTPUTOPTION1" localSheetId="5">#REF!</definedName>
    <definedName name="BUDGETOUTPUTOPTION1" localSheetId="6">#REF!</definedName>
    <definedName name="BUDGETOUTPUTOPTION1" localSheetId="7">#REF!</definedName>
    <definedName name="BUDGETOUTPUTOPTION1" localSheetId="8">#REF!</definedName>
    <definedName name="BUDGETOUTPUTOPTION1">#REF!</definedName>
    <definedName name="BUDGETPASSWORDREQUIREDFLAG1" localSheetId="1">#REF!</definedName>
    <definedName name="BUDGETPASSWORDREQUIREDFLAG1" localSheetId="2">#REF!</definedName>
    <definedName name="BUDGETPASSWORDREQUIREDFLAG1" localSheetId="3">#REF!</definedName>
    <definedName name="BUDGETPASSWORDREQUIREDFLAG1" localSheetId="4">#REF!</definedName>
    <definedName name="BUDGETPASSWORDREQUIREDFLAG1" localSheetId="5">#REF!</definedName>
    <definedName name="BUDGETPASSWORDREQUIREDFLAG1" localSheetId="6">#REF!</definedName>
    <definedName name="BUDGETPASSWORDREQUIREDFLAG1" localSheetId="7">#REF!</definedName>
    <definedName name="BUDGETPASSWORDREQUIREDFLAG1" localSheetId="8">#REF!</definedName>
    <definedName name="BUDGETPASSWORDREQUIREDFLAG1">#REF!</definedName>
    <definedName name="BUDGETSHOWCRITERIASHEET1" localSheetId="1">#REF!</definedName>
    <definedName name="BUDGETSHOWCRITERIASHEET1" localSheetId="2">#REF!</definedName>
    <definedName name="BUDGETSHOWCRITERIASHEET1" localSheetId="3">#REF!</definedName>
    <definedName name="BUDGETSHOWCRITERIASHEET1" localSheetId="4">#REF!</definedName>
    <definedName name="BUDGETSHOWCRITERIASHEET1" localSheetId="5">#REF!</definedName>
    <definedName name="BUDGETSHOWCRITERIASHEET1" localSheetId="6">#REF!</definedName>
    <definedName name="BUDGETSHOWCRITERIASHEET1" localSheetId="7">#REF!</definedName>
    <definedName name="BUDGETSHOWCRITERIASHEET1" localSheetId="8">#REF!</definedName>
    <definedName name="BUDGETSHOWCRITERIASHEET1">#REF!</definedName>
    <definedName name="BUDGETSTATUS1" localSheetId="1">#REF!</definedName>
    <definedName name="BUDGETSTATUS1" localSheetId="2">#REF!</definedName>
    <definedName name="BUDGETSTATUS1" localSheetId="3">#REF!</definedName>
    <definedName name="BUDGETSTATUS1" localSheetId="4">#REF!</definedName>
    <definedName name="BUDGETSTATUS1" localSheetId="5">#REF!</definedName>
    <definedName name="BUDGETSTATUS1" localSheetId="6">#REF!</definedName>
    <definedName name="BUDGETSTATUS1" localSheetId="7">#REF!</definedName>
    <definedName name="BUDGETSTATUS1" localSheetId="8">#REF!</definedName>
    <definedName name="BUDGETSTATUS1">#REF!</definedName>
    <definedName name="BUDGETTITLEBACKCOLOUR1" localSheetId="1">#REF!</definedName>
    <definedName name="BUDGETTITLEBACKCOLOUR1" localSheetId="2">#REF!</definedName>
    <definedName name="BUDGETTITLEBACKCOLOUR1" localSheetId="3">#REF!</definedName>
    <definedName name="BUDGETTITLEBACKCOLOUR1" localSheetId="4">#REF!</definedName>
    <definedName name="BUDGETTITLEBACKCOLOUR1" localSheetId="5">#REF!</definedName>
    <definedName name="BUDGETTITLEBACKCOLOUR1" localSheetId="6">#REF!</definedName>
    <definedName name="BUDGETTITLEBACKCOLOUR1" localSheetId="7">#REF!</definedName>
    <definedName name="BUDGETTITLEBACKCOLOUR1" localSheetId="8">#REF!</definedName>
    <definedName name="BUDGETTITLEBACKCOLOUR1">#REF!</definedName>
    <definedName name="BUDGETTITLEBORDERCOLOUR1" localSheetId="1">#REF!</definedName>
    <definedName name="BUDGETTITLEBORDERCOLOUR1" localSheetId="2">#REF!</definedName>
    <definedName name="BUDGETTITLEBORDERCOLOUR1" localSheetId="3">#REF!</definedName>
    <definedName name="BUDGETTITLEBORDERCOLOUR1" localSheetId="4">#REF!</definedName>
    <definedName name="BUDGETTITLEBORDERCOLOUR1" localSheetId="5">#REF!</definedName>
    <definedName name="BUDGETTITLEBORDERCOLOUR1" localSheetId="6">#REF!</definedName>
    <definedName name="BUDGETTITLEBORDERCOLOUR1" localSheetId="7">#REF!</definedName>
    <definedName name="BUDGETTITLEBORDERCOLOUR1" localSheetId="8">#REF!</definedName>
    <definedName name="BUDGETTITLEBORDERCOLOUR1">#REF!</definedName>
    <definedName name="BUDGETTITLEFORECOLOUR1" localSheetId="1">#REF!</definedName>
    <definedName name="BUDGETTITLEFORECOLOUR1" localSheetId="2">#REF!</definedName>
    <definedName name="BUDGETTITLEFORECOLOUR1" localSheetId="3">#REF!</definedName>
    <definedName name="BUDGETTITLEFORECOLOUR1" localSheetId="4">#REF!</definedName>
    <definedName name="BUDGETTITLEFORECOLOUR1" localSheetId="5">#REF!</definedName>
    <definedName name="BUDGETTITLEFORECOLOUR1" localSheetId="6">#REF!</definedName>
    <definedName name="BUDGETTITLEFORECOLOUR1" localSheetId="7">#REF!</definedName>
    <definedName name="BUDGETTITLEFORECOLOUR1" localSheetId="8">#REF!</definedName>
    <definedName name="BUDGETTITLEFORECOLOUR1">#REF!</definedName>
    <definedName name="BUDGETVALUESWIDTH1" localSheetId="1">#REF!</definedName>
    <definedName name="BUDGETVALUESWIDTH1" localSheetId="2">#REF!</definedName>
    <definedName name="BUDGETVALUESWIDTH1" localSheetId="3">#REF!</definedName>
    <definedName name="BUDGETVALUESWIDTH1" localSheetId="4">#REF!</definedName>
    <definedName name="BUDGETVALUESWIDTH1" localSheetId="5">#REF!</definedName>
    <definedName name="BUDGETVALUESWIDTH1" localSheetId="6">#REF!</definedName>
    <definedName name="BUDGETVALUESWIDTH1" localSheetId="7">#REF!</definedName>
    <definedName name="BUDGETVALUESWIDTH1" localSheetId="8">#REF!</definedName>
    <definedName name="BUDGETVALUESWIDTH1">#REF!</definedName>
    <definedName name="BUDGETVERSIONID1" localSheetId="1">#REF!</definedName>
    <definedName name="BUDGETVERSIONID1" localSheetId="2">#REF!</definedName>
    <definedName name="BUDGETVERSIONID1" localSheetId="3">#REF!</definedName>
    <definedName name="BUDGETVERSIONID1" localSheetId="4">#REF!</definedName>
    <definedName name="BUDGETVERSIONID1" localSheetId="5">#REF!</definedName>
    <definedName name="BUDGETVERSIONID1" localSheetId="6">#REF!</definedName>
    <definedName name="BUDGETVERSIONID1" localSheetId="7">#REF!</definedName>
    <definedName name="BUDGETVERSIONID1" localSheetId="8">#REF!</definedName>
    <definedName name="BUDGETVERSIONID1">#REF!</definedName>
    <definedName name="BusinessUnit">'[11]Lookup Table'!$A$1:$B$218</definedName>
    <definedName name="cat_om_sig_elec">'[12]South Elec OM'!#REF!</definedName>
    <definedName name="cat_om_sig_gas">'[12]South Gas OM'!#REF!</definedName>
    <definedName name="Category" localSheetId="1">'[7]Source Data'!$B$520:$B$545</definedName>
    <definedName name="Category" localSheetId="2">'[7]Source Data'!$B$520:$B$545</definedName>
    <definedName name="Category" localSheetId="7">'[8]Source Data'!$B$520:$B$545</definedName>
    <definedName name="Category">'[9]Source Data'!$B$520:$B$545</definedName>
    <definedName name="CBWorkbookPriority" hidden="1">-949294162</definedName>
    <definedName name="CCNC_by_Business_with_Desc">#REF!</definedName>
    <definedName name="CHARTOFACCOUNTSID1" localSheetId="1">#REF!</definedName>
    <definedName name="CHARTOFACCOUNTSID1" localSheetId="2">#REF!</definedName>
    <definedName name="CHARTOFACCOUNTSID1" localSheetId="3">#REF!</definedName>
    <definedName name="CHARTOFACCOUNTSID1" localSheetId="4">#REF!</definedName>
    <definedName name="CHARTOFACCOUNTSID1" localSheetId="5">#REF!</definedName>
    <definedName name="CHARTOFACCOUNTSID1" localSheetId="6">#REF!</definedName>
    <definedName name="CHARTOFACCOUNTSID1" localSheetId="7">#REF!</definedName>
    <definedName name="CHARTOFACCOUNTSID1" localSheetId="8">#REF!</definedName>
    <definedName name="CHARTOFACCOUNTSID1">#REF!</definedName>
    <definedName name="CHECK">#REF!</definedName>
    <definedName name="CHES_ANNUAL_BS" localSheetId="1">#REF!</definedName>
    <definedName name="CHES_ANNUAL_BS" localSheetId="2">#REF!</definedName>
    <definedName name="CHES_ANNUAL_BS" localSheetId="3">#REF!</definedName>
    <definedName name="CHES_ANNUAL_BS" localSheetId="4">#REF!</definedName>
    <definedName name="CHES_ANNUAL_BS" localSheetId="5">#REF!</definedName>
    <definedName name="CHES_ANNUAL_BS" localSheetId="6">#REF!</definedName>
    <definedName name="CHES_ANNUAL_BS" localSheetId="7">#REF!</definedName>
    <definedName name="CHES_ANNUAL_BS" localSheetId="8">#REF!</definedName>
    <definedName name="CHES_ANNUAL_BS">#REF!</definedName>
    <definedName name="CHES_ANNUAL_CF" localSheetId="1">#REF!</definedName>
    <definedName name="CHES_ANNUAL_CF" localSheetId="2">#REF!</definedName>
    <definedName name="CHES_ANNUAL_CF" localSheetId="3">#REF!</definedName>
    <definedName name="CHES_ANNUAL_CF" localSheetId="4">#REF!</definedName>
    <definedName name="CHES_ANNUAL_CF" localSheetId="5">#REF!</definedName>
    <definedName name="CHES_ANNUAL_CF" localSheetId="6">#REF!</definedName>
    <definedName name="CHES_ANNUAL_CF" localSheetId="7">#REF!</definedName>
    <definedName name="CHES_ANNUAL_CF" localSheetId="8">#REF!</definedName>
    <definedName name="CHES_ANNUAL_CF">#REF!</definedName>
    <definedName name="CHES_ANNUAL_IS" localSheetId="1">#REF!</definedName>
    <definedName name="CHES_ANNUAL_IS" localSheetId="2">#REF!</definedName>
    <definedName name="CHES_ANNUAL_IS" localSheetId="3">#REF!</definedName>
    <definedName name="CHES_ANNUAL_IS" localSheetId="4">#REF!</definedName>
    <definedName name="CHES_ANNUAL_IS" localSheetId="5">#REF!</definedName>
    <definedName name="CHES_ANNUAL_IS" localSheetId="6">#REF!</definedName>
    <definedName name="CHES_ANNUAL_IS" localSheetId="7">#REF!</definedName>
    <definedName name="CHES_ANNUAL_IS" localSheetId="8">#REF!</definedName>
    <definedName name="CHES_ANNUAL_IS">#REF!</definedName>
    <definedName name="Class_Location" localSheetId="1">'[7]Source Data'!$B$706:$B$712</definedName>
    <definedName name="Class_Location" localSheetId="2">'[7]Source Data'!$B$706:$B$712</definedName>
    <definedName name="Class_Location" localSheetId="7">'[8]Source Data'!$B$706:$B$712</definedName>
    <definedName name="Class_Location">'[9]Source Data'!$B$706:$B$712</definedName>
    <definedName name="Class_Location_Score" localSheetId="1">'[7]Source Data'!$B$706:$C$712</definedName>
    <definedName name="Class_Location_Score" localSheetId="2">'[7]Source Data'!$B$706:$C$712</definedName>
    <definedName name="Class_Location_Score" localSheetId="7">'[8]Source Data'!$B$706:$C$712</definedName>
    <definedName name="Class_Location_Score">'[9]Source Data'!$B$706:$C$712</definedName>
    <definedName name="CLEAR">#REF!</definedName>
    <definedName name="Company" localSheetId="1">'[13]Source Data'!$B$47:$B$51</definedName>
    <definedName name="Company" localSheetId="2">'[13]Source Data'!$B$47:$B$51</definedName>
    <definedName name="Company">'[14]Source Data'!$B$47:$B$51</definedName>
    <definedName name="Completed">'[15]FIT Paid - Combined'!$AO$5</definedName>
    <definedName name="Compliance" localSheetId="1">'[7]Source Data'!$B$608:$B$609</definedName>
    <definedName name="Compliance" localSheetId="2">'[7]Source Data'!$B$608:$B$609</definedName>
    <definedName name="Compliance" localSheetId="7">'[8]Source Data'!$B$608:$B$609</definedName>
    <definedName name="Compliance">'[9]Source Data'!$B$608:$B$609</definedName>
    <definedName name="Compliance_Date" localSheetId="1">'[7]Source Data'!$B$715:$B$720</definedName>
    <definedName name="Compliance_Date" localSheetId="2">'[7]Source Data'!$B$715:$B$720</definedName>
    <definedName name="Compliance_Date" localSheetId="7">'[8]Source Data'!$B$715:$B$720</definedName>
    <definedName name="Compliance_Date">'[9]Source Data'!$B$715:$B$720</definedName>
    <definedName name="Compliance_Date_Score" localSheetId="1">'[7]Source Data'!$B$715:$C$720</definedName>
    <definedName name="Compliance_Date_Score" localSheetId="2">'[7]Source Data'!$B$715:$C$720</definedName>
    <definedName name="Compliance_Date_Score" localSheetId="7">'[8]Source Data'!$B$715:$C$720</definedName>
    <definedName name="Compliance_Date_Score">'[9]Source Data'!$B$715:$C$720</definedName>
    <definedName name="CONNECTSTRING1" localSheetId="1">#REF!</definedName>
    <definedName name="CONNECTSTRING1" localSheetId="2">#REF!</definedName>
    <definedName name="CONNECTSTRING1" localSheetId="3">#REF!</definedName>
    <definedName name="CONNECTSTRING1" localSheetId="4">#REF!</definedName>
    <definedName name="CONNECTSTRING1" localSheetId="5">#REF!</definedName>
    <definedName name="CONNECTSTRING1" localSheetId="6">#REF!</definedName>
    <definedName name="CONNECTSTRING1" localSheetId="7">#REF!</definedName>
    <definedName name="CONNECTSTRING1" localSheetId="8">#REF!</definedName>
    <definedName name="CONNECTSTRING1">#REF!</definedName>
    <definedName name="COSCOMP1">#REF!</definedName>
    <definedName name="COSCOMP2">#REF!</definedName>
    <definedName name="COSCOMP3">#REF!</definedName>
    <definedName name="COSCOMP4">#REF!</definedName>
    <definedName name="COSCOMP5">#REF!</definedName>
    <definedName name="COSCOMP6">#REF!</definedName>
    <definedName name="COSCOMP7">#REF!</definedName>
    <definedName name="CREATEGRAPH1" localSheetId="1">#REF!</definedName>
    <definedName name="CREATEGRAPH1" localSheetId="2">#REF!</definedName>
    <definedName name="CREATEGRAPH1" localSheetId="3">#REF!</definedName>
    <definedName name="CREATEGRAPH1" localSheetId="4">#REF!</definedName>
    <definedName name="CREATEGRAPH1" localSheetId="5">#REF!</definedName>
    <definedName name="CREATEGRAPH1" localSheetId="6">#REF!</definedName>
    <definedName name="CREATEGRAPH1" localSheetId="7">#REF!</definedName>
    <definedName name="CREATEGRAPH1" localSheetId="8">#REF!</definedName>
    <definedName name="CREATEGRAPH1">#REF!</definedName>
    <definedName name="CREATESUMMARYJNLS1">#REF!</definedName>
    <definedName name="Credits">#REF!</definedName>
    <definedName name="CRITERIACOLUMN1">#REF!</definedName>
    <definedName name="CROSS">#REF!</definedName>
    <definedName name="CSCMPTRA">#REF!</definedName>
    <definedName name="CSCMPTRA_A_EQ">#REF!</definedName>
    <definedName name="CSCMPTRA_A_NO">#REF!</definedName>
    <definedName name="CSCMPTRA_B_EQ">#REF!</definedName>
    <definedName name="CSCMPTRA_B_NO">#REF!</definedName>
    <definedName name="CURRMO">#REF!</definedName>
    <definedName name="CURRYR">#REF!</definedName>
    <definedName name="CUSTEXP">#REF!</definedName>
    <definedName name="d" localSheetId="1">'[16]Source Data'!$B$552:$B$556</definedName>
    <definedName name="d" localSheetId="2">'[16]Source Data'!$B$552:$B$556</definedName>
    <definedName name="d">'[17]Source Data'!$B$552:$B$556</definedName>
    <definedName name="d5_print">#REF!</definedName>
    <definedName name="Data">#REF!</definedName>
    <definedName name="DATE">#REF!</definedName>
    <definedName name="DATE3">#REF!</definedName>
    <definedName name="DateCertain">[18]LOGO!$D$21</definedName>
    <definedName name="DBNAME1" localSheetId="1">#REF!</definedName>
    <definedName name="DBNAME1" localSheetId="2">#REF!</definedName>
    <definedName name="DBNAME1" localSheetId="3">#REF!</definedName>
    <definedName name="DBNAME1" localSheetId="4">#REF!</definedName>
    <definedName name="DBNAME1" localSheetId="5">#REF!</definedName>
    <definedName name="DBNAME1" localSheetId="6">#REF!</definedName>
    <definedName name="DBNAME1" localSheetId="7">#REF!</definedName>
    <definedName name="DBNAME1" localSheetId="8">#REF!</definedName>
    <definedName name="DBNAME1">#REF!</definedName>
    <definedName name="DBNAME2">[10]CRITERIA2!$B$39</definedName>
    <definedName name="DBUSERNAME1" localSheetId="1">#REF!</definedName>
    <definedName name="DBUSERNAME1" localSheetId="2">#REF!</definedName>
    <definedName name="DBUSERNAME1" localSheetId="3">#REF!</definedName>
    <definedName name="DBUSERNAME1" localSheetId="4">#REF!</definedName>
    <definedName name="DBUSERNAME1" localSheetId="5">#REF!</definedName>
    <definedName name="DBUSERNAME1" localSheetId="6">#REF!</definedName>
    <definedName name="DBUSERNAME1" localSheetId="7">#REF!</definedName>
    <definedName name="DBUSERNAME1" localSheetId="8">#REF!</definedName>
    <definedName name="DBUSERNAME1">#REF!</definedName>
    <definedName name="dddddd" hidden="1">'[19]DCS Input Data'!$G$32:$M$32</definedName>
    <definedName name="de" localSheetId="1">'[16]Source Data'!$B$548:$B$549</definedName>
    <definedName name="de" localSheetId="2">'[16]Source Data'!$B$548:$B$549</definedName>
    <definedName name="de">'[17]Source Data'!$B$548:$B$549</definedName>
    <definedName name="Debits">#REF!</definedName>
    <definedName name="Dec">'[3]Assumptions &amp; Inputs'!$U$28:$U$29</definedName>
    <definedName name="DEC__">#REF!</definedName>
    <definedName name="DEC_KWH">#REF!</definedName>
    <definedName name="decgas" localSheetId="1">#REF!</definedName>
    <definedName name="decgas" localSheetId="2">#REF!</definedName>
    <definedName name="decgas" localSheetId="3">#REF!</definedName>
    <definedName name="decgas" localSheetId="4">#REF!</definedName>
    <definedName name="decgas" localSheetId="5">#REF!</definedName>
    <definedName name="decgas" localSheetId="6">#REF!</definedName>
    <definedName name="decgas" localSheetId="7">#REF!</definedName>
    <definedName name="decgas" localSheetId="8">#REF!</definedName>
    <definedName name="decgas">#REF!</definedName>
    <definedName name="DELETELOGICTYPE1" localSheetId="1">#REF!</definedName>
    <definedName name="DELETELOGICTYPE1" localSheetId="2">#REF!</definedName>
    <definedName name="DELETELOGICTYPE1" localSheetId="3">#REF!</definedName>
    <definedName name="DELETELOGICTYPE1" localSheetId="4">#REF!</definedName>
    <definedName name="DELETELOGICTYPE1" localSheetId="5">#REF!</definedName>
    <definedName name="DELETELOGICTYPE1" localSheetId="6">#REF!</definedName>
    <definedName name="DELETELOGICTYPE1" localSheetId="7">#REF!</definedName>
    <definedName name="DELETELOGICTYPE1" localSheetId="8">#REF!</definedName>
    <definedName name="DELETELOGICTYPE1">#REF!</definedName>
    <definedName name="DEPREXP">#REF!</definedName>
    <definedName name="DESCTABLE">#REF!</definedName>
    <definedName name="Designation" localSheetId="1">'[7]Source Data'!$B$548:$B$549</definedName>
    <definedName name="Designation" localSheetId="2">'[7]Source Data'!$B$548:$B$549</definedName>
    <definedName name="Designation" localSheetId="7">'[8]Source Data'!$B$548:$B$549</definedName>
    <definedName name="Designation">'[9]Source Data'!$B$548:$B$549</definedName>
    <definedName name="Detectability" localSheetId="1">'[7]Source Data'!$B$731:$B$739</definedName>
    <definedName name="Detectability" localSheetId="2">'[7]Source Data'!$B$731:$B$739</definedName>
    <definedName name="Detectability" localSheetId="7">'[8]Source Data'!$B$731:$B$739</definedName>
    <definedName name="Detectability">'[9]Source Data'!$B$731:$B$739</definedName>
    <definedName name="Detectability_Score" localSheetId="1">'[7]Source Data'!$B$731:$C$739</definedName>
    <definedName name="Detectability_Score" localSheetId="2">'[7]Source Data'!$B$731:$C$739</definedName>
    <definedName name="Detectability_Score" localSheetId="7">'[8]Source Data'!$B$731:$C$739</definedName>
    <definedName name="Detectability_Score">'[9]Source Data'!$B$731:$C$739</definedName>
    <definedName name="dfs" localSheetId="1">#REF!</definedName>
    <definedName name="dfs" localSheetId="2">#REF!</definedName>
    <definedName name="dfs" localSheetId="3">#REF!</definedName>
    <definedName name="dfs" localSheetId="4">#REF!</definedName>
    <definedName name="dfs" localSheetId="5">#REF!</definedName>
    <definedName name="dfs" localSheetId="6">#REF!</definedName>
    <definedName name="dfs" localSheetId="7">#REF!</definedName>
    <definedName name="dfs" localSheetId="8">#REF!</definedName>
    <definedName name="dfs">#REF!</definedName>
    <definedName name="Division" localSheetId="1">'[7]Source Data'!$B$552:$B$556</definedName>
    <definedName name="Division" localSheetId="2">'[7]Source Data'!$B$552:$B$556</definedName>
    <definedName name="Division" localSheetId="7">'[8]Source Data'!$B$552:$B$556</definedName>
    <definedName name="Division">'[9]Source Data'!$B$552:$B$556</definedName>
    <definedName name="Division_Operating_Center" localSheetId="1">'[7]Source Data'!$B$559:$B$594</definedName>
    <definedName name="Division_Operating_Center" localSheetId="2">'[7]Source Data'!$B$559:$B$594</definedName>
    <definedName name="Division_Operating_Center" localSheetId="7">'[8]Source Data'!$B$559:$B$594</definedName>
    <definedName name="Division_Operating_Center">'[9]Source Data'!$B$559:$B$594</definedName>
    <definedName name="DRIVERS">[5]DRIVERS!$A$3:$I$43</definedName>
    <definedName name="E4INCR">#REF!</definedName>
    <definedName name="EA_price">'[20]Hourly Pricing'!$I$4</definedName>
    <definedName name="EA_value" localSheetId="1">#REF!</definedName>
    <definedName name="EA_value" localSheetId="2">#REF!</definedName>
    <definedName name="EA_value" localSheetId="3">#REF!</definedName>
    <definedName name="EA_value" localSheetId="4">#REF!</definedName>
    <definedName name="EA_value" localSheetId="5">#REF!</definedName>
    <definedName name="EA_value" localSheetId="6">#REF!</definedName>
    <definedName name="EA_value" localSheetId="7">#REF!</definedName>
    <definedName name="EA_value" localSheetId="8">#REF!</definedName>
    <definedName name="EA_value">#REF!</definedName>
    <definedName name="EDIT">#REF!</definedName>
    <definedName name="Elapsed">'[15]FIT Paid - Combined'!$AO$4</definedName>
    <definedName name="ELECSTAT">#REF!</definedName>
    <definedName name="ELECTRIC">#REF!</definedName>
    <definedName name="ELECTRIC1">#REF!</definedName>
    <definedName name="ELECTRIC2">#REF!</definedName>
    <definedName name="emiss_yr1">'[21]dispatch lookup'!$X$4:$X$10</definedName>
    <definedName name="emiss_yr2">'[21]dispatch lookup'!$X$14:$X$20</definedName>
    <definedName name="emiss_yr3">'[21]dispatch lookup'!$X$24:$X$30</definedName>
    <definedName name="emiss_yr4">'[21]dispatch lookup'!$X$34:$X$40</definedName>
    <definedName name="emiss_yr5">'[21]dispatch lookup'!$X$44:$X$50</definedName>
    <definedName name="emiss_yr6">'[21]dispatch lookup'!$X$54:$X$60</definedName>
    <definedName name="EmployeeType">#REF!</definedName>
    <definedName name="End_Bal">#REF!</definedName>
    <definedName name="EndBalance">#REF!</definedName>
    <definedName name="ENDPERIODNAME1" localSheetId="1">#REF!</definedName>
    <definedName name="ENDPERIODNAME1" localSheetId="2">#REF!</definedName>
    <definedName name="ENDPERIODNAME1" localSheetId="3">#REF!</definedName>
    <definedName name="ENDPERIODNAME1" localSheetId="4">#REF!</definedName>
    <definedName name="ENDPERIODNAME1" localSheetId="5">#REF!</definedName>
    <definedName name="ENDPERIODNAME1" localSheetId="6">#REF!</definedName>
    <definedName name="ENDPERIODNAME1" localSheetId="7">#REF!</definedName>
    <definedName name="ENDPERIODNAME1" localSheetId="8">#REF!</definedName>
    <definedName name="ENDPERIODNAME1">#REF!</definedName>
    <definedName name="ENDPERIODNUM1" localSheetId="1">#REF!</definedName>
    <definedName name="ENDPERIODNUM1" localSheetId="2">#REF!</definedName>
    <definedName name="ENDPERIODNUM1" localSheetId="3">#REF!</definedName>
    <definedName name="ENDPERIODNUM1" localSheetId="4">#REF!</definedName>
    <definedName name="ENDPERIODNUM1" localSheetId="5">#REF!</definedName>
    <definedName name="ENDPERIODNUM1" localSheetId="6">#REF!</definedName>
    <definedName name="ENDPERIODNUM1" localSheetId="7">#REF!</definedName>
    <definedName name="ENDPERIODNUM1" localSheetId="8">#REF!</definedName>
    <definedName name="ENDPERIODNUM1">#REF!</definedName>
    <definedName name="ENDPERIODYEAR1" localSheetId="1">#REF!</definedName>
    <definedName name="ENDPERIODYEAR1" localSheetId="2">#REF!</definedName>
    <definedName name="ENDPERIODYEAR1" localSheetId="3">#REF!</definedName>
    <definedName name="ENDPERIODYEAR1" localSheetId="4">#REF!</definedName>
    <definedName name="ENDPERIODYEAR1" localSheetId="5">#REF!</definedName>
    <definedName name="ENDPERIODYEAR1" localSheetId="6">#REF!</definedName>
    <definedName name="ENDPERIODYEAR1" localSheetId="7">#REF!</definedName>
    <definedName name="ENDPERIODYEAR1" localSheetId="8">#REF!</definedName>
    <definedName name="ENDPERIODYEAR1">#REF!</definedName>
    <definedName name="EX_COS_PA_E">[22]Exhibits!#REF!</definedName>
    <definedName name="EX_COS_PA_N">[22]Exhibits!#REF!</definedName>
    <definedName name="EX_COS_PB_E">[22]Exhibits!#REF!</definedName>
    <definedName name="EX_COS_PB_N">[22]Exhibits!#REF!</definedName>
    <definedName name="Extra_Pay">#REF!</definedName>
    <definedName name="f">#REF!</definedName>
    <definedName name="FALLOCATORS">'[23]Class Allocators'!$A$2:$T$147</definedName>
    <definedName name="FALLOCATORS1">'[23]Class Allocators'!$A$1:$V$123</definedName>
    <definedName name="FALLOCATORS3">'[23]Class Allocators'!$A$42:$V$147</definedName>
    <definedName name="FALLOCTORS2">'[23]Class Allocators'!$A$86:$V$123</definedName>
    <definedName name="FBC_erate" localSheetId="1">#REF!</definedName>
    <definedName name="FBC_erate" localSheetId="2">#REF!</definedName>
    <definedName name="FBC_erate" localSheetId="3">#REF!</definedName>
    <definedName name="FBC_erate" localSheetId="4">#REF!</definedName>
    <definedName name="FBC_erate" localSheetId="5">#REF!</definedName>
    <definedName name="FBC_erate" localSheetId="6">#REF!</definedName>
    <definedName name="FBC_erate" localSheetId="7">#REF!</definedName>
    <definedName name="FBC_erate" localSheetId="8">#REF!</definedName>
    <definedName name="FBC_erate">#REF!</definedName>
    <definedName name="FBC_gyp_price" localSheetId="1">#REF!</definedName>
    <definedName name="FBC_gyp_price" localSheetId="2">#REF!</definedName>
    <definedName name="FBC_gyp_price" localSheetId="3">#REF!</definedName>
    <definedName name="FBC_gyp_price" localSheetId="4">#REF!</definedName>
    <definedName name="FBC_gyp_price" localSheetId="5">#REF!</definedName>
    <definedName name="FBC_gyp_price" localSheetId="6">#REF!</definedName>
    <definedName name="FBC_gyp_price" localSheetId="7">#REF!</definedName>
    <definedName name="FBC_gyp_price" localSheetId="8">#REF!</definedName>
    <definedName name="FBC_gyp_price">#REF!</definedName>
    <definedName name="FBC_gyp_rate" localSheetId="1">#REF!</definedName>
    <definedName name="FBC_gyp_rate" localSheetId="2">#REF!</definedName>
    <definedName name="FBC_gyp_rate" localSheetId="3">#REF!</definedName>
    <definedName name="FBC_gyp_rate" localSheetId="4">#REF!</definedName>
    <definedName name="FBC_gyp_rate" localSheetId="5">#REF!</definedName>
    <definedName name="FBC_gyp_rate" localSheetId="6">#REF!</definedName>
    <definedName name="FBC_gyp_rate" localSheetId="7">#REF!</definedName>
    <definedName name="FBC_gyp_rate" localSheetId="8">#REF!</definedName>
    <definedName name="FBC_gyp_rate">#REF!</definedName>
    <definedName name="FBC_HS_HV" localSheetId="1">#REF!</definedName>
    <definedName name="FBC_HS_HV" localSheetId="2">#REF!</definedName>
    <definedName name="FBC_HS_HV" localSheetId="3">#REF!</definedName>
    <definedName name="FBC_HS_HV" localSheetId="4">#REF!</definedName>
    <definedName name="FBC_HS_HV" localSheetId="5">#REF!</definedName>
    <definedName name="FBC_HS_HV" localSheetId="6">#REF!</definedName>
    <definedName name="FBC_HS_HV" localSheetId="7">#REF!</definedName>
    <definedName name="FBC_HS_HV" localSheetId="8">#REF!</definedName>
    <definedName name="FBC_HS_HV">#REF!</definedName>
    <definedName name="FBC_HS_price" localSheetId="1">#REF!</definedName>
    <definedName name="FBC_HS_price" localSheetId="2">#REF!</definedName>
    <definedName name="FBC_HS_price" localSheetId="3">#REF!</definedName>
    <definedName name="FBC_HS_price" localSheetId="4">#REF!</definedName>
    <definedName name="FBC_HS_price" localSheetId="5">#REF!</definedName>
    <definedName name="FBC_HS_price" localSheetId="6">#REF!</definedName>
    <definedName name="FBC_HS_price" localSheetId="7">#REF!</definedName>
    <definedName name="FBC_HS_price" localSheetId="8">#REF!</definedName>
    <definedName name="FBC_HS_price">#REF!</definedName>
    <definedName name="FBC_HS_S" localSheetId="1">#REF!</definedName>
    <definedName name="FBC_HS_S" localSheetId="2">#REF!</definedName>
    <definedName name="FBC_HS_S" localSheetId="3">#REF!</definedName>
    <definedName name="FBC_HS_S" localSheetId="4">#REF!</definedName>
    <definedName name="FBC_HS_S" localSheetId="5">#REF!</definedName>
    <definedName name="FBC_HS_S" localSheetId="6">#REF!</definedName>
    <definedName name="FBC_HS_S" localSheetId="7">#REF!</definedName>
    <definedName name="FBC_HS_S" localSheetId="8">#REF!</definedName>
    <definedName name="FBC_HS_S">#REF!</definedName>
    <definedName name="FBC_LS_HV" localSheetId="1">#REF!</definedName>
    <definedName name="FBC_LS_HV" localSheetId="2">#REF!</definedName>
    <definedName name="FBC_LS_HV" localSheetId="3">#REF!</definedName>
    <definedName name="FBC_LS_HV" localSheetId="4">#REF!</definedName>
    <definedName name="FBC_LS_HV" localSheetId="5">#REF!</definedName>
    <definedName name="FBC_LS_HV" localSheetId="6">#REF!</definedName>
    <definedName name="FBC_LS_HV" localSheetId="7">#REF!</definedName>
    <definedName name="FBC_LS_HV" localSheetId="8">#REF!</definedName>
    <definedName name="FBC_LS_HV">#REF!</definedName>
    <definedName name="FBC_LS_price" localSheetId="1">#REF!</definedName>
    <definedName name="FBC_LS_price" localSheetId="2">#REF!</definedName>
    <definedName name="FBC_LS_price" localSheetId="3">#REF!</definedName>
    <definedName name="FBC_LS_price" localSheetId="4">#REF!</definedName>
    <definedName name="FBC_LS_price" localSheetId="5">#REF!</definedName>
    <definedName name="FBC_LS_price" localSheetId="6">#REF!</definedName>
    <definedName name="FBC_LS_price" localSheetId="7">#REF!</definedName>
    <definedName name="FBC_LS_price" localSheetId="8">#REF!</definedName>
    <definedName name="FBC_LS_price">#REF!</definedName>
    <definedName name="FBC_ls_rate" localSheetId="1">#REF!</definedName>
    <definedName name="FBC_ls_rate" localSheetId="2">#REF!</definedName>
    <definedName name="FBC_ls_rate" localSheetId="3">#REF!</definedName>
    <definedName name="FBC_ls_rate" localSheetId="4">#REF!</definedName>
    <definedName name="FBC_ls_rate" localSheetId="5">#REF!</definedName>
    <definedName name="FBC_ls_rate" localSheetId="6">#REF!</definedName>
    <definedName name="FBC_ls_rate" localSheetId="7">#REF!</definedName>
    <definedName name="FBC_ls_rate" localSheetId="8">#REF!</definedName>
    <definedName name="FBC_ls_rate">#REF!</definedName>
    <definedName name="FBC_LS_S" localSheetId="1">#REF!</definedName>
    <definedName name="FBC_LS_S" localSheetId="2">#REF!</definedName>
    <definedName name="FBC_LS_S" localSheetId="3">#REF!</definedName>
    <definedName name="FBC_LS_S" localSheetId="4">#REF!</definedName>
    <definedName name="FBC_LS_S" localSheetId="5">#REF!</definedName>
    <definedName name="FBC_LS_S" localSheetId="6">#REF!</definedName>
    <definedName name="FBC_LS_S" localSheetId="7">#REF!</definedName>
    <definedName name="FBC_LS_S" localSheetId="8">#REF!</definedName>
    <definedName name="FBC_LS_S">#REF!</definedName>
    <definedName name="FBC1act">#REF!</definedName>
    <definedName name="FBC2_hr">'[3]Assumptions &amp; Inputs'!$C$44</definedName>
    <definedName name="FBC2act">#REF!</definedName>
    <definedName name="FBC2gasnonOS">'[3]Assumptions &amp; Inputs'!$C$47</definedName>
    <definedName name="FBC2gasOS">'[3]Assumptions &amp; Inputs'!$C$46</definedName>
    <definedName name="FBC3_hr">'[3]Assumptions &amp; Inputs'!$C$45</definedName>
    <definedName name="FBC3act">#REF!</definedName>
    <definedName name="FBC3gasOS">'[3]Assumptions &amp; Inputs'!$C$48</definedName>
    <definedName name="fbccp08">'[3]Assumptions &amp; Inputs'!$D$37</definedName>
    <definedName name="fbccp09">'[3]Assumptions &amp; Inputs'!$E$37</definedName>
    <definedName name="fbccp10">'[3]Assumptions &amp; Inputs'!$F$37</definedName>
    <definedName name="fbccp11">'[3]Assumptions &amp; Inputs'!$G$37</definedName>
    <definedName name="Feb">'[3]Assumptions &amp; Inputs'!$K$28:$K$29</definedName>
    <definedName name="FEB__">#REF!</definedName>
    <definedName name="FEB_KWH">#REF!</definedName>
    <definedName name="febgas" localSheetId="1">#REF!</definedName>
    <definedName name="febgas" localSheetId="2">#REF!</definedName>
    <definedName name="febgas" localSheetId="3">#REF!</definedName>
    <definedName name="febgas" localSheetId="4">#REF!</definedName>
    <definedName name="febgas" localSheetId="5">#REF!</definedName>
    <definedName name="febgas" localSheetId="6">#REF!</definedName>
    <definedName name="febgas" localSheetId="7">#REF!</definedName>
    <definedName name="febgas" localSheetId="8">#REF!</definedName>
    <definedName name="febgas">#REF!</definedName>
    <definedName name="ff">'[1]DEC 03'!#REF!</definedName>
    <definedName name="FFAPPCOLNAME1_1" localSheetId="1">#REF!</definedName>
    <definedName name="FFAPPCOLNAME1_1" localSheetId="2">#REF!</definedName>
    <definedName name="FFAPPCOLNAME1_1" localSheetId="3">#REF!</definedName>
    <definedName name="FFAPPCOLNAME1_1" localSheetId="4">#REF!</definedName>
    <definedName name="FFAPPCOLNAME1_1" localSheetId="5">#REF!</definedName>
    <definedName name="FFAPPCOLNAME1_1" localSheetId="6">#REF!</definedName>
    <definedName name="FFAPPCOLNAME1_1" localSheetId="7">#REF!</definedName>
    <definedName name="FFAPPCOLNAME1_1" localSheetId="8">#REF!</definedName>
    <definedName name="FFAPPCOLNAME1_1">#REF!</definedName>
    <definedName name="FFAPPCOLNAME10_1">#REF!</definedName>
    <definedName name="FFAPPCOLNAME2_1" localSheetId="1">#REF!</definedName>
    <definedName name="FFAPPCOLNAME2_1" localSheetId="2">#REF!</definedName>
    <definedName name="FFAPPCOLNAME2_1" localSheetId="3">#REF!</definedName>
    <definedName name="FFAPPCOLNAME2_1" localSheetId="4">#REF!</definedName>
    <definedName name="FFAPPCOLNAME2_1" localSheetId="5">#REF!</definedName>
    <definedName name="FFAPPCOLNAME2_1" localSheetId="6">#REF!</definedName>
    <definedName name="FFAPPCOLNAME2_1" localSheetId="7">#REF!</definedName>
    <definedName name="FFAPPCOLNAME2_1" localSheetId="8">#REF!</definedName>
    <definedName name="FFAPPCOLNAME2_1">#REF!</definedName>
    <definedName name="FFAPPCOLNAME3_1" localSheetId="1">#REF!</definedName>
    <definedName name="FFAPPCOLNAME3_1" localSheetId="2">#REF!</definedName>
    <definedName name="FFAPPCOLNAME3_1" localSheetId="3">#REF!</definedName>
    <definedName name="FFAPPCOLNAME3_1" localSheetId="4">#REF!</definedName>
    <definedName name="FFAPPCOLNAME3_1" localSheetId="5">#REF!</definedName>
    <definedName name="FFAPPCOLNAME3_1" localSheetId="6">#REF!</definedName>
    <definedName name="FFAPPCOLNAME3_1" localSheetId="7">#REF!</definedName>
    <definedName name="FFAPPCOLNAME3_1" localSheetId="8">#REF!</definedName>
    <definedName name="FFAPPCOLNAME3_1">#REF!</definedName>
    <definedName name="FFAPPCOLNAME4_1" localSheetId="1">#REF!</definedName>
    <definedName name="FFAPPCOLNAME4_1" localSheetId="2">#REF!</definedName>
    <definedName name="FFAPPCOLNAME4_1" localSheetId="3">#REF!</definedName>
    <definedName name="FFAPPCOLNAME4_1" localSheetId="4">#REF!</definedName>
    <definedName name="FFAPPCOLNAME4_1" localSheetId="5">#REF!</definedName>
    <definedName name="FFAPPCOLNAME4_1" localSheetId="6">#REF!</definedName>
    <definedName name="FFAPPCOLNAME4_1" localSheetId="7">#REF!</definedName>
    <definedName name="FFAPPCOLNAME4_1" localSheetId="8">#REF!</definedName>
    <definedName name="FFAPPCOLNAME4_1">#REF!</definedName>
    <definedName name="FFAPPCOLNAME5_1" localSheetId="1">#REF!</definedName>
    <definedName name="FFAPPCOLNAME5_1" localSheetId="2">#REF!</definedName>
    <definedName name="FFAPPCOLNAME5_1" localSheetId="3">#REF!</definedName>
    <definedName name="FFAPPCOLNAME5_1" localSheetId="4">#REF!</definedName>
    <definedName name="FFAPPCOLNAME5_1" localSheetId="5">#REF!</definedName>
    <definedName name="FFAPPCOLNAME5_1" localSheetId="6">#REF!</definedName>
    <definedName name="FFAPPCOLNAME5_1" localSheetId="7">#REF!</definedName>
    <definedName name="FFAPPCOLNAME5_1" localSheetId="8">#REF!</definedName>
    <definedName name="FFAPPCOLNAME5_1">#REF!</definedName>
    <definedName name="FFAPPCOLNAME6_1">#REF!</definedName>
    <definedName name="FFAPPCOLNAME7_1">#REF!</definedName>
    <definedName name="FFAPPCOLNAME8_1">#REF!</definedName>
    <definedName name="FFAPPCOLNAME9_1">#REF!</definedName>
    <definedName name="fff">#REF!</definedName>
    <definedName name="FFSEGDESC1_1" localSheetId="1">#REF!</definedName>
    <definedName name="FFSEGDESC1_1" localSheetId="2">#REF!</definedName>
    <definedName name="FFSEGDESC1_1" localSheetId="3">#REF!</definedName>
    <definedName name="FFSEGDESC1_1" localSheetId="4">#REF!</definedName>
    <definedName name="FFSEGDESC1_1" localSheetId="5">#REF!</definedName>
    <definedName name="FFSEGDESC1_1" localSheetId="6">#REF!</definedName>
    <definedName name="FFSEGDESC1_1" localSheetId="7">#REF!</definedName>
    <definedName name="FFSEGDESC1_1" localSheetId="8">#REF!</definedName>
    <definedName name="FFSEGDESC1_1">#REF!</definedName>
    <definedName name="FFSEGDESC2_1" localSheetId="1">#REF!</definedName>
    <definedName name="FFSEGDESC2_1" localSheetId="2">#REF!</definedName>
    <definedName name="FFSEGDESC2_1" localSheetId="3">#REF!</definedName>
    <definedName name="FFSEGDESC2_1" localSheetId="4">#REF!</definedName>
    <definedName name="FFSEGDESC2_1" localSheetId="5">#REF!</definedName>
    <definedName name="FFSEGDESC2_1" localSheetId="6">#REF!</definedName>
    <definedName name="FFSEGDESC2_1" localSheetId="7">#REF!</definedName>
    <definedName name="FFSEGDESC2_1" localSheetId="8">#REF!</definedName>
    <definedName name="FFSEGDESC2_1">#REF!</definedName>
    <definedName name="FFSEGDESC3_1" localSheetId="1">#REF!</definedName>
    <definedName name="FFSEGDESC3_1" localSheetId="2">#REF!</definedName>
    <definedName name="FFSEGDESC3_1" localSheetId="3">#REF!</definedName>
    <definedName name="FFSEGDESC3_1" localSheetId="4">#REF!</definedName>
    <definedName name="FFSEGDESC3_1" localSheetId="5">#REF!</definedName>
    <definedName name="FFSEGDESC3_1" localSheetId="6">#REF!</definedName>
    <definedName name="FFSEGDESC3_1" localSheetId="7">#REF!</definedName>
    <definedName name="FFSEGDESC3_1" localSheetId="8">#REF!</definedName>
    <definedName name="FFSEGDESC3_1">#REF!</definedName>
    <definedName name="FFSEGDESC4_1" localSheetId="1">#REF!</definedName>
    <definedName name="FFSEGDESC4_1" localSheetId="2">#REF!</definedName>
    <definedName name="FFSEGDESC4_1" localSheetId="3">#REF!</definedName>
    <definedName name="FFSEGDESC4_1" localSheetId="4">#REF!</definedName>
    <definedName name="FFSEGDESC4_1" localSheetId="5">#REF!</definedName>
    <definedName name="FFSEGDESC4_1" localSheetId="6">#REF!</definedName>
    <definedName name="FFSEGDESC4_1" localSheetId="7">#REF!</definedName>
    <definedName name="FFSEGDESC4_1" localSheetId="8">#REF!</definedName>
    <definedName name="FFSEGDESC4_1">#REF!</definedName>
    <definedName name="FFSEGDESC5_1" localSheetId="1">#REF!</definedName>
    <definedName name="FFSEGDESC5_1" localSheetId="2">#REF!</definedName>
    <definedName name="FFSEGDESC5_1" localSheetId="3">#REF!</definedName>
    <definedName name="FFSEGDESC5_1" localSheetId="4">#REF!</definedName>
    <definedName name="FFSEGDESC5_1" localSheetId="5">#REF!</definedName>
    <definedName name="FFSEGDESC5_1" localSheetId="6">#REF!</definedName>
    <definedName name="FFSEGDESC5_1" localSheetId="7">#REF!</definedName>
    <definedName name="FFSEGDESC5_1" localSheetId="8">#REF!</definedName>
    <definedName name="FFSEGDESC5_1">#REF!</definedName>
    <definedName name="FFSEGMENT1_1" localSheetId="1">#REF!</definedName>
    <definedName name="FFSEGMENT1_1" localSheetId="2">#REF!</definedName>
    <definedName name="FFSEGMENT1_1" localSheetId="3">#REF!</definedName>
    <definedName name="FFSEGMENT1_1" localSheetId="4">#REF!</definedName>
    <definedName name="FFSEGMENT1_1" localSheetId="5">#REF!</definedName>
    <definedName name="FFSEGMENT1_1" localSheetId="6">#REF!</definedName>
    <definedName name="FFSEGMENT1_1" localSheetId="7">#REF!</definedName>
    <definedName name="FFSEGMENT1_1" localSheetId="8">#REF!</definedName>
    <definedName name="FFSEGMENT1_1">#REF!</definedName>
    <definedName name="FFSEGMENT10_1">#REF!</definedName>
    <definedName name="FFSEGMENT2_1" localSheetId="1">#REF!</definedName>
    <definedName name="FFSEGMENT2_1" localSheetId="2">#REF!</definedName>
    <definedName name="FFSEGMENT2_1" localSheetId="3">#REF!</definedName>
    <definedName name="FFSEGMENT2_1" localSheetId="4">#REF!</definedName>
    <definedName name="FFSEGMENT2_1" localSheetId="5">#REF!</definedName>
    <definedName name="FFSEGMENT2_1" localSheetId="6">#REF!</definedName>
    <definedName name="FFSEGMENT2_1" localSheetId="7">#REF!</definedName>
    <definedName name="FFSEGMENT2_1" localSheetId="8">#REF!</definedName>
    <definedName name="FFSEGMENT2_1">#REF!</definedName>
    <definedName name="FFSEGMENT3_1" localSheetId="1">#REF!</definedName>
    <definedName name="FFSEGMENT3_1" localSheetId="2">#REF!</definedName>
    <definedName name="FFSEGMENT3_1" localSheetId="3">#REF!</definedName>
    <definedName name="FFSEGMENT3_1" localSheetId="4">#REF!</definedName>
    <definedName name="FFSEGMENT3_1" localSheetId="5">#REF!</definedName>
    <definedName name="FFSEGMENT3_1" localSheetId="6">#REF!</definedName>
    <definedName name="FFSEGMENT3_1" localSheetId="7">#REF!</definedName>
    <definedName name="FFSEGMENT3_1" localSheetId="8">#REF!</definedName>
    <definedName name="FFSEGMENT3_1">#REF!</definedName>
    <definedName name="FFSEGMENT4_1" localSheetId="1">#REF!</definedName>
    <definedName name="FFSEGMENT4_1" localSheetId="2">#REF!</definedName>
    <definedName name="FFSEGMENT4_1" localSheetId="3">#REF!</definedName>
    <definedName name="FFSEGMENT4_1" localSheetId="4">#REF!</definedName>
    <definedName name="FFSEGMENT4_1" localSheetId="5">#REF!</definedName>
    <definedName name="FFSEGMENT4_1" localSheetId="6">#REF!</definedName>
    <definedName name="FFSEGMENT4_1" localSheetId="7">#REF!</definedName>
    <definedName name="FFSEGMENT4_1" localSheetId="8">#REF!</definedName>
    <definedName name="FFSEGMENT4_1">#REF!</definedName>
    <definedName name="FFSEGMENT5_1" localSheetId="1">#REF!</definedName>
    <definedName name="FFSEGMENT5_1" localSheetId="2">#REF!</definedName>
    <definedName name="FFSEGMENT5_1" localSheetId="3">#REF!</definedName>
    <definedName name="FFSEGMENT5_1" localSheetId="4">#REF!</definedName>
    <definedName name="FFSEGMENT5_1" localSheetId="5">#REF!</definedName>
    <definedName name="FFSEGMENT5_1" localSheetId="6">#REF!</definedName>
    <definedName name="FFSEGMENT5_1" localSheetId="7">#REF!</definedName>
    <definedName name="FFSEGMENT5_1" localSheetId="8">#REF!</definedName>
    <definedName name="FFSEGMENT5_1">#REF!</definedName>
    <definedName name="FFSEGMENT6_1">#REF!</definedName>
    <definedName name="FFSEGMENT7_1">#REF!</definedName>
    <definedName name="FFSEGMENT8_1">#REF!</definedName>
    <definedName name="FFSEGMENT9_1">#REF!</definedName>
    <definedName name="FFSEGSEPARATOR1" localSheetId="1">#REF!</definedName>
    <definedName name="FFSEGSEPARATOR1" localSheetId="2">#REF!</definedName>
    <definedName name="FFSEGSEPARATOR1" localSheetId="3">#REF!</definedName>
    <definedName name="FFSEGSEPARATOR1" localSheetId="4">#REF!</definedName>
    <definedName name="FFSEGSEPARATOR1" localSheetId="5">#REF!</definedName>
    <definedName name="FFSEGSEPARATOR1" localSheetId="6">#REF!</definedName>
    <definedName name="FFSEGSEPARATOR1" localSheetId="7">#REF!</definedName>
    <definedName name="FFSEGSEPARATOR1" localSheetId="8">#REF!</definedName>
    <definedName name="FFSEGSEPARATOR1">#REF!</definedName>
    <definedName name="FGD_yr1">'[21]dispatch lookup'!$W$4:$W$10</definedName>
    <definedName name="FGD_yr2">'[21]dispatch lookup'!$W$14:$W$20</definedName>
    <definedName name="FGD_yr3">'[21]dispatch lookup'!$W$24:$W$30</definedName>
    <definedName name="FGD_yr4">'[21]dispatch lookup'!$W$34:$W$40</definedName>
    <definedName name="FGD_yr5">'[21]dispatch lookup'!$W$44:$W$50</definedName>
    <definedName name="FGD_yr6">'[21]dispatch lookup'!$W$54:$W$60</definedName>
    <definedName name="FIELDNAMECOLUMN1">#REF!</definedName>
    <definedName name="FIELDNAMEROW1">#REF!</definedName>
    <definedName name="FINANCIAL1">#REF!</definedName>
    <definedName name="FINANCIAL2">#REF!</definedName>
    <definedName name="FINRPT3">#REF!</definedName>
    <definedName name="FINRPT6">#REF!</definedName>
    <definedName name="FIRSTDATAROW1">#REF!</definedName>
    <definedName name="FNDNAM1" localSheetId="1">#REF!</definedName>
    <definedName name="FNDNAM1" localSheetId="2">#REF!</definedName>
    <definedName name="FNDNAM1" localSheetId="3">#REF!</definedName>
    <definedName name="FNDNAM1" localSheetId="4">#REF!</definedName>
    <definedName name="FNDNAM1" localSheetId="5">#REF!</definedName>
    <definedName name="FNDNAM1" localSheetId="6">#REF!</definedName>
    <definedName name="FNDNAM1" localSheetId="7">#REF!</definedName>
    <definedName name="FNDNAM1" localSheetId="8">#REF!</definedName>
    <definedName name="FNDNAM1">#REF!</definedName>
    <definedName name="FNDUSERID1" localSheetId="1">#REF!</definedName>
    <definedName name="FNDUSERID1" localSheetId="2">#REF!</definedName>
    <definedName name="FNDUSERID1" localSheetId="3">#REF!</definedName>
    <definedName name="FNDUSERID1" localSheetId="4">#REF!</definedName>
    <definedName name="FNDUSERID1" localSheetId="5">#REF!</definedName>
    <definedName name="FNDUSERID1" localSheetId="6">#REF!</definedName>
    <definedName name="FNDUSERID1" localSheetId="7">#REF!</definedName>
    <definedName name="FNDUSERID1" localSheetId="8">#REF!</definedName>
    <definedName name="FNDUSERID1">#REF!</definedName>
    <definedName name="fuel_yr1">'[21]dispatch lookup'!$U$4:$U$10</definedName>
    <definedName name="fuel_yr2">'[21]dispatch lookup'!$U$14:$U$20</definedName>
    <definedName name="fuel_yr3">'[21]dispatch lookup'!$U$24:$U$30</definedName>
    <definedName name="fuel_yr4">'[21]dispatch lookup'!$U$34:$U$40</definedName>
    <definedName name="fuel_yr5">'[21]dispatch lookup'!$U$44:$U$50</definedName>
    <definedName name="fuel_yr6">'[21]dispatch lookup'!$U$54:$U$60</definedName>
    <definedName name="Full_Print">#REF!</definedName>
    <definedName name="FUNCTIONALCURRENCY1">#REF!</definedName>
    <definedName name="Funding" localSheetId="1">'[7]Source Data'!$B$597:$B$605</definedName>
    <definedName name="Funding" localSheetId="2">'[7]Source Data'!$B$597:$B$605</definedName>
    <definedName name="Funding" localSheetId="7">'[8]Source Data'!$B$597:$B$605</definedName>
    <definedName name="Funding">'[9]Source Data'!$B$597:$B$605</definedName>
    <definedName name="GAS">#REF!</definedName>
    <definedName name="Gas_hv" localSheetId="1">#REF!</definedName>
    <definedName name="Gas_hv" localSheetId="2">#REF!</definedName>
    <definedName name="Gas_hv" localSheetId="3">#REF!</definedName>
    <definedName name="Gas_hv" localSheetId="4">#REF!</definedName>
    <definedName name="Gas_hv" localSheetId="5">#REF!</definedName>
    <definedName name="Gas_hv" localSheetId="6">#REF!</definedName>
    <definedName name="Gas_hv" localSheetId="7">#REF!</definedName>
    <definedName name="Gas_hv" localSheetId="8">#REF!</definedName>
    <definedName name="Gas_hv">#REF!</definedName>
    <definedName name="Gas_lhv" localSheetId="1">#REF!</definedName>
    <definedName name="Gas_lhv" localSheetId="2">#REF!</definedName>
    <definedName name="Gas_lhv" localSheetId="3">#REF!</definedName>
    <definedName name="Gas_lhv" localSheetId="4">#REF!</definedName>
    <definedName name="Gas_lhv" localSheetId="5">#REF!</definedName>
    <definedName name="Gas_lhv" localSheetId="6">#REF!</definedName>
    <definedName name="Gas_lhv" localSheetId="7">#REF!</definedName>
    <definedName name="Gas_lhv" localSheetId="8">#REF!</definedName>
    <definedName name="Gas_lhv">#REF!</definedName>
    <definedName name="Gas_price" localSheetId="1">#REF!</definedName>
    <definedName name="Gas_price" localSheetId="2">#REF!</definedName>
    <definedName name="Gas_price" localSheetId="3">#REF!</definedName>
    <definedName name="Gas_price" localSheetId="4">#REF!</definedName>
    <definedName name="Gas_price" localSheetId="5">#REF!</definedName>
    <definedName name="Gas_price" localSheetId="6">#REF!</definedName>
    <definedName name="Gas_price" localSheetId="7">#REF!</definedName>
    <definedName name="Gas_price" localSheetId="8">#REF!</definedName>
    <definedName name="Gas_price">#REF!</definedName>
    <definedName name="GASSTAT">#REF!</definedName>
    <definedName name="GASSUMMARY">#REF!</definedName>
    <definedName name="GASTRANSP">#REF!</definedName>
    <definedName name="GCR">#REF!</definedName>
    <definedName name="gen_esc">'[3]Assumptions &amp; Inputs'!$B$1</definedName>
    <definedName name="GROSS_REVENUE_CONVERSION_FACTOR">#REF!</definedName>
    <definedName name="GWYUID1" localSheetId="1">#REF!</definedName>
    <definedName name="GWYUID1" localSheetId="2">#REF!</definedName>
    <definedName name="GWYUID1" localSheetId="3">#REF!</definedName>
    <definedName name="GWYUID1" localSheetId="4">#REF!</definedName>
    <definedName name="GWYUID1" localSheetId="5">#REF!</definedName>
    <definedName name="GWYUID1" localSheetId="6">#REF!</definedName>
    <definedName name="GWYUID1" localSheetId="7">#REF!</definedName>
    <definedName name="GWYUID1" localSheetId="8">#REF!</definedName>
    <definedName name="GWYUID1">#REF!</definedName>
    <definedName name="HCA" localSheetId="1">'[7]Source Data'!$B$701:$B$703</definedName>
    <definedName name="HCA" localSheetId="2">'[7]Source Data'!$B$701:$B$703</definedName>
    <definedName name="HCA" localSheetId="7">'[8]Source Data'!$B$701:$B$703</definedName>
    <definedName name="HCA">'[9]Source Data'!$B$701:$B$703</definedName>
    <definedName name="HCA_Score" localSheetId="1">'[7]Source Data'!$B$701:$C$703</definedName>
    <definedName name="HCA_Score" localSheetId="2">'[7]Source Data'!$B$701:$C$703</definedName>
    <definedName name="HCA_Score" localSheetId="7">'[8]Source Data'!$B$701:$C$703</definedName>
    <definedName name="HCA_Score">'[9]Source Data'!$B$701:$C$703</definedName>
    <definedName name="he01ea">#REF!</definedName>
    <definedName name="he01ec">#REF!</definedName>
    <definedName name="he01ems">#REF!</definedName>
    <definedName name="he01fgd">#REF!</definedName>
    <definedName name="he01fuel">#REF!</definedName>
    <definedName name="he01hrly">#REF!</definedName>
    <definedName name="he01min">#REF!</definedName>
    <definedName name="he01om">#REF!</definedName>
    <definedName name="he01tc">#REF!</definedName>
    <definedName name="he02ea">#REF!</definedName>
    <definedName name="he02ec">#REF!</definedName>
    <definedName name="he02ems">#REF!</definedName>
    <definedName name="he02fgd">#REF!</definedName>
    <definedName name="he02fuel">#REF!</definedName>
    <definedName name="he02hrly">#REF!</definedName>
    <definedName name="he02min">#REF!</definedName>
    <definedName name="he02om">#REF!</definedName>
    <definedName name="he02tc">#REF!</definedName>
    <definedName name="he03ea">#REF!</definedName>
    <definedName name="he03ec">#REF!</definedName>
    <definedName name="he03ems">#REF!</definedName>
    <definedName name="he03fgd">#REF!</definedName>
    <definedName name="he03fuel">#REF!</definedName>
    <definedName name="he03hrly">#REF!</definedName>
    <definedName name="he03min">#REF!</definedName>
    <definedName name="he03om">#REF!</definedName>
    <definedName name="he03tc">#REF!</definedName>
    <definedName name="he04ea">#REF!</definedName>
    <definedName name="he04ec">#REF!</definedName>
    <definedName name="he04ems">#REF!</definedName>
    <definedName name="he04fgd">#REF!</definedName>
    <definedName name="he04fuel">#REF!</definedName>
    <definedName name="he04hrly">#REF!</definedName>
    <definedName name="he04min">#REF!</definedName>
    <definedName name="he04om">#REF!</definedName>
    <definedName name="he04tc">#REF!</definedName>
    <definedName name="he05ea">#REF!</definedName>
    <definedName name="he05ec">#REF!</definedName>
    <definedName name="he05ems">#REF!</definedName>
    <definedName name="he05fgd">#REF!</definedName>
    <definedName name="he05fuel">#REF!</definedName>
    <definedName name="he05hrly">#REF!</definedName>
    <definedName name="he05min">#REF!</definedName>
    <definedName name="he05om">#REF!</definedName>
    <definedName name="he05tc">#REF!</definedName>
    <definedName name="he06ea">#REF!</definedName>
    <definedName name="he06ec">#REF!</definedName>
    <definedName name="he06ems">#REF!</definedName>
    <definedName name="he06fgd">#REF!</definedName>
    <definedName name="he06fuel">#REF!</definedName>
    <definedName name="he06hrly">#REF!</definedName>
    <definedName name="he06min">#REF!</definedName>
    <definedName name="he06om">#REF!</definedName>
    <definedName name="he06tc">#REF!</definedName>
    <definedName name="he07ea">#REF!</definedName>
    <definedName name="he07ec">#REF!</definedName>
    <definedName name="he07ems">#REF!</definedName>
    <definedName name="he07fgd">#REF!</definedName>
    <definedName name="he07fuel">#REF!</definedName>
    <definedName name="he07hrly">#REF!</definedName>
    <definedName name="he07min">#REF!</definedName>
    <definedName name="he07om">#REF!</definedName>
    <definedName name="he07tc">#REF!</definedName>
    <definedName name="he08ea">#REF!</definedName>
    <definedName name="he08ec">#REF!</definedName>
    <definedName name="he08ems">#REF!</definedName>
    <definedName name="he08fgd">#REF!</definedName>
    <definedName name="he08fuel">#REF!</definedName>
    <definedName name="he08hrly">#REF!</definedName>
    <definedName name="he08min">#REF!</definedName>
    <definedName name="he08om">#REF!</definedName>
    <definedName name="he08tc">#REF!</definedName>
    <definedName name="he09ea">#REF!</definedName>
    <definedName name="he09ec">#REF!</definedName>
    <definedName name="he09ems">#REF!</definedName>
    <definedName name="he09fgd">#REF!</definedName>
    <definedName name="he09fuel">#REF!</definedName>
    <definedName name="he09hrly">#REF!</definedName>
    <definedName name="he09min">#REF!</definedName>
    <definedName name="he09om">#REF!</definedName>
    <definedName name="he09tc">#REF!</definedName>
    <definedName name="he10ea">#REF!</definedName>
    <definedName name="he10ec">#REF!</definedName>
    <definedName name="he10ems">#REF!</definedName>
    <definedName name="he10fgd">#REF!</definedName>
    <definedName name="he10fuel">#REF!</definedName>
    <definedName name="he10hrly">#REF!</definedName>
    <definedName name="he10min">#REF!</definedName>
    <definedName name="he10om">#REF!</definedName>
    <definedName name="he10tc">#REF!</definedName>
    <definedName name="he11ea">#REF!</definedName>
    <definedName name="he11ec">#REF!</definedName>
    <definedName name="he11ems">#REF!</definedName>
    <definedName name="he11fgd">#REF!</definedName>
    <definedName name="he11fuel">#REF!</definedName>
    <definedName name="he11hrly">#REF!</definedName>
    <definedName name="he11min">#REF!</definedName>
    <definedName name="he11om">#REF!</definedName>
    <definedName name="he11tc">#REF!</definedName>
    <definedName name="he12ea">#REF!</definedName>
    <definedName name="he12ec">#REF!</definedName>
    <definedName name="he12ems">#REF!</definedName>
    <definedName name="he12fgd">#REF!</definedName>
    <definedName name="he12fuel">#REF!</definedName>
    <definedName name="he12hrly">#REF!</definedName>
    <definedName name="he12min">#REF!</definedName>
    <definedName name="he12om">#REF!</definedName>
    <definedName name="he12tc">#REF!</definedName>
    <definedName name="he13ea">#REF!</definedName>
    <definedName name="he13ec">#REF!</definedName>
    <definedName name="he13ems">#REF!</definedName>
    <definedName name="he13fgd">#REF!</definedName>
    <definedName name="he13fuel">#REF!</definedName>
    <definedName name="he13hrly">#REF!</definedName>
    <definedName name="he13min">#REF!</definedName>
    <definedName name="he13om">#REF!</definedName>
    <definedName name="he13tc">#REF!</definedName>
    <definedName name="he14ea">#REF!</definedName>
    <definedName name="he14ec">#REF!</definedName>
    <definedName name="he14ems">#REF!</definedName>
    <definedName name="he14fgd">#REF!</definedName>
    <definedName name="he14fuel">#REF!</definedName>
    <definedName name="he14hrly">#REF!</definedName>
    <definedName name="he14min">#REF!</definedName>
    <definedName name="he14om">#REF!</definedName>
    <definedName name="he14tc">#REF!</definedName>
    <definedName name="he15ea">#REF!</definedName>
    <definedName name="he15ec">#REF!</definedName>
    <definedName name="he15ems">#REF!</definedName>
    <definedName name="he15fgd">#REF!</definedName>
    <definedName name="he15fuel">#REF!</definedName>
    <definedName name="he15hrly">#REF!</definedName>
    <definedName name="he15min">#REF!</definedName>
    <definedName name="he15om">#REF!</definedName>
    <definedName name="he15tc">#REF!</definedName>
    <definedName name="he16ea">#REF!</definedName>
    <definedName name="he16ec">#REF!</definedName>
    <definedName name="he16ems">#REF!</definedName>
    <definedName name="he16fgd">#REF!</definedName>
    <definedName name="he16fuel">#REF!</definedName>
    <definedName name="he16hrly">#REF!</definedName>
    <definedName name="he16min">#REF!</definedName>
    <definedName name="he16om">#REF!</definedName>
    <definedName name="he16tc">#REF!</definedName>
    <definedName name="he17ea">#REF!</definedName>
    <definedName name="he17ec">#REF!</definedName>
    <definedName name="he17ems">#REF!</definedName>
    <definedName name="he17fgd">#REF!</definedName>
    <definedName name="he17fuel">#REF!</definedName>
    <definedName name="he17hrly">#REF!</definedName>
    <definedName name="he17min">#REF!</definedName>
    <definedName name="he17om">#REF!</definedName>
    <definedName name="he17tc">#REF!</definedName>
    <definedName name="he18ea">#REF!</definedName>
    <definedName name="he18ec">#REF!</definedName>
    <definedName name="he18ems">#REF!</definedName>
    <definedName name="he18fgd">#REF!</definedName>
    <definedName name="he18fuel">#REF!</definedName>
    <definedName name="he18hrly">#REF!</definedName>
    <definedName name="he18min">#REF!</definedName>
    <definedName name="he18om">#REF!</definedName>
    <definedName name="he18tc">#REF!</definedName>
    <definedName name="he19ea">#REF!</definedName>
    <definedName name="he19ec">#REF!</definedName>
    <definedName name="he19ems">#REF!</definedName>
    <definedName name="he19fgd">#REF!</definedName>
    <definedName name="he19fuel">#REF!</definedName>
    <definedName name="he19hrly">#REF!</definedName>
    <definedName name="he19min">#REF!</definedName>
    <definedName name="he19om">#REF!</definedName>
    <definedName name="he19tc">#REF!</definedName>
    <definedName name="he20ea">#REF!</definedName>
    <definedName name="he20ec">#REF!</definedName>
    <definedName name="he20ems">#REF!</definedName>
    <definedName name="he20fgd">#REF!</definedName>
    <definedName name="he20fuel">#REF!</definedName>
    <definedName name="he20hrly">#REF!</definedName>
    <definedName name="he20min">#REF!</definedName>
    <definedName name="he20om">#REF!</definedName>
    <definedName name="he20tc">#REF!</definedName>
    <definedName name="he21ea">#REF!</definedName>
    <definedName name="he21ec">#REF!</definedName>
    <definedName name="he21ems">#REF!</definedName>
    <definedName name="he21fgd">#REF!</definedName>
    <definedName name="he21fuel">#REF!</definedName>
    <definedName name="he21hrly">#REF!</definedName>
    <definedName name="he21min">#REF!</definedName>
    <definedName name="he21om">#REF!</definedName>
    <definedName name="he21tc">#REF!</definedName>
    <definedName name="he22ea">#REF!</definedName>
    <definedName name="he22ec">#REF!</definedName>
    <definedName name="he22ems">#REF!</definedName>
    <definedName name="he22fgd">#REF!</definedName>
    <definedName name="he22fuel">#REF!</definedName>
    <definedName name="he22hrly">#REF!</definedName>
    <definedName name="he22min">#REF!</definedName>
    <definedName name="he22om">#REF!</definedName>
    <definedName name="he22tc">#REF!</definedName>
    <definedName name="he23ea">#REF!</definedName>
    <definedName name="he23ec">#REF!</definedName>
    <definedName name="he23ems">#REF!</definedName>
    <definedName name="he23fgd">#REF!</definedName>
    <definedName name="he23fuel">#REF!</definedName>
    <definedName name="he23hrly">#REF!</definedName>
    <definedName name="he23min">#REF!</definedName>
    <definedName name="he23om">#REF!</definedName>
    <definedName name="he23tc">#REF!</definedName>
    <definedName name="he24ea">#REF!</definedName>
    <definedName name="he24ec">#REF!</definedName>
    <definedName name="he24ems">#REF!</definedName>
    <definedName name="he24fgd">#REF!</definedName>
    <definedName name="he24fuel">#REF!</definedName>
    <definedName name="he24hrly">#REF!</definedName>
    <definedName name="he24min">#REF!</definedName>
    <definedName name="he24om">#REF!</definedName>
    <definedName name="he24tc">#REF!</definedName>
    <definedName name="HEAD">#REF!</definedName>
    <definedName name="Header_Row">ROW(#REF!)</definedName>
    <definedName name="HOME">#REF!</definedName>
    <definedName name="hour01">#REF!</definedName>
    <definedName name="IGCAFUDCRATES" localSheetId="1">'[24]AFUDC Rates'!$A$1:$IV$65536</definedName>
    <definedName name="IGCAFUDCRATES" localSheetId="2">'[24]AFUDC Rates'!$A$1:$IV$65536</definedName>
    <definedName name="IGCAFUDCRATES" localSheetId="7">'[25]AFUDC Rates'!$1:$1048576</definedName>
    <definedName name="IGCAFUDCRATES">'[26]AFUDC Rates'!$A$1:$IV$65536</definedName>
    <definedName name="IGCCHARGEPIVOT" localSheetId="1">'[24]CHARGE PIVOT'!$G$4:$IV$65536</definedName>
    <definedName name="IGCCHARGEPIVOT" localSheetId="2">'[24]CHARGE PIVOT'!$G$4:$IV$65536</definedName>
    <definedName name="IGCCHARGEPIVOT" localSheetId="7">'[25]CHARGE PIVOT'!$G$4:$IV$65536</definedName>
    <definedName name="IGCCHARGEPIVOT">'[26]CHARGE PIVOT'!$G$4:$IV$65536</definedName>
    <definedName name="IGCCHARGES" localSheetId="1">#REF!</definedName>
    <definedName name="IGCCHARGES" localSheetId="2">#REF!</definedName>
    <definedName name="IGCCHARGES" localSheetId="3">#REF!</definedName>
    <definedName name="IGCCHARGES" localSheetId="4">#REF!</definedName>
    <definedName name="IGCCHARGES" localSheetId="5">#REF!</definedName>
    <definedName name="IGCCHARGES" localSheetId="6">#REF!</definedName>
    <definedName name="IGCCHARGES" localSheetId="7">#REF!</definedName>
    <definedName name="IGCCHARGES" localSheetId="8">#REF!</definedName>
    <definedName name="IGCCHARGES">#REF!</definedName>
    <definedName name="IGCCHARGETABLE" localSheetId="1">'[27]CHARGE PIVOT'!$B$5:$D$65536</definedName>
    <definedName name="IGCCHARGETABLE" localSheetId="2">'[27]CHARGE PIVOT'!$B$5:$D$65536</definedName>
    <definedName name="IGCCHARGETABLE" localSheetId="7">'[25]CHARGE PIVOT'!$B$5:$D$65536</definedName>
    <definedName name="IGCCHARGETABLE">'[28]CHARGE PIVOT'!$B$5:$D$65536</definedName>
    <definedName name="IGCINSERVICE" localSheetId="1">#REF!</definedName>
    <definedName name="IGCINSERVICE" localSheetId="2">#REF!</definedName>
    <definedName name="IGCINSERVICE" localSheetId="3">#REF!</definedName>
    <definedName name="IGCINSERVICE" localSheetId="4">#REF!</definedName>
    <definedName name="IGCINSERVICE" localSheetId="5">#REF!</definedName>
    <definedName name="IGCINSERVICE" localSheetId="6">#REF!</definedName>
    <definedName name="IGCINSERVICE" localSheetId="7">#REF!</definedName>
    <definedName name="IGCINSERVICE" localSheetId="8">#REF!</definedName>
    <definedName name="IGCINSERVICE">#REF!</definedName>
    <definedName name="IGCPISAFUDCPIVOT" localSheetId="1">'[24]PIS AFUDC PIVOT'!$B$5:$C$65536</definedName>
    <definedName name="IGCPISAFUDCPIVOT" localSheetId="2">'[24]PIS AFUDC PIVOT'!$B$5:$C$65536</definedName>
    <definedName name="IGCPISAFUDCPIVOT" localSheetId="7">'[25]PIS AFUDC PIVOT'!$B$5:$C$65536</definedName>
    <definedName name="IGCPISAFUDCPIVOT">'[26]PIS AFUDC PIVOT'!$B$5:$C$65536</definedName>
    <definedName name="ILI" localSheetId="1">'[7]Source Data'!$B$723:$B$728</definedName>
    <definedName name="ILI" localSheetId="2">'[7]Source Data'!$B$723:$B$728</definedName>
    <definedName name="ILI" localSheetId="7">'[8]Source Data'!$B$723:$B$728</definedName>
    <definedName name="ILI">'[9]Source Data'!$B$723:$B$728</definedName>
    <definedName name="ILI_Score" localSheetId="1">'[7]Source Data'!$B$723:$C$728</definedName>
    <definedName name="ILI_Score" localSheetId="2">'[7]Source Data'!$B$723:$C$728</definedName>
    <definedName name="ILI_Score" localSheetId="7">'[8]Source Data'!$B$723:$C$728</definedName>
    <definedName name="ILI_Score">'[9]Source Data'!$B$723:$C$728</definedName>
    <definedName name="IM_System_Name" localSheetId="1">'[13]Source Data'!$B$54:$B$517</definedName>
    <definedName name="IM_System_Name" localSheetId="2">'[13]Source Data'!$B$54:$B$517</definedName>
    <definedName name="IM_System_Name">'[14]Source Data'!$B$54:$B$517</definedName>
    <definedName name="IMPORTDFF1">#REF!</definedName>
    <definedName name="increment1_hr1">#REF!</definedName>
    <definedName name="increment2_hr1">#REF!</definedName>
    <definedName name="increment3_hr1">#REF!</definedName>
    <definedName name="increment4_hr1">#REF!</definedName>
    <definedName name="increment5_hr1">#REF!</definedName>
    <definedName name="INPUT">#REF!</definedName>
    <definedName name="Int">#REF!</definedName>
    <definedName name="Integrity" localSheetId="1">'[7]Source Data'!$B$639:$B$666</definedName>
    <definedName name="Integrity" localSheetId="2">'[7]Source Data'!$B$639:$B$666</definedName>
    <definedName name="Integrity" localSheetId="7">'[8]Source Data'!$B$639:$B$666</definedName>
    <definedName name="Integrity">'[9]Source Data'!$B$639:$B$666</definedName>
    <definedName name="Integrity_Score" localSheetId="1">'[7]Source Data'!$B$639:$C$666</definedName>
    <definedName name="Integrity_Score" localSheetId="2">'[7]Source Data'!$B$639:$C$666</definedName>
    <definedName name="Integrity_Score" localSheetId="7">'[8]Source Data'!$B$639:$C$666</definedName>
    <definedName name="Integrity_Score">'[9]Source Data'!$B$639:$C$666</definedName>
    <definedName name="Interest_Rate">#REF!</definedName>
    <definedName name="Jan">'[3]Assumptions &amp; Inputs'!$J$28:$J$29</definedName>
    <definedName name="JAN__">#REF!</definedName>
    <definedName name="JAN_KWH">#REF!</definedName>
    <definedName name="jangas" localSheetId="1">#REF!</definedName>
    <definedName name="jangas" localSheetId="2">#REF!</definedName>
    <definedName name="jangas" localSheetId="3">#REF!</definedName>
    <definedName name="jangas" localSheetId="4">#REF!</definedName>
    <definedName name="jangas" localSheetId="5">#REF!</definedName>
    <definedName name="jangas" localSheetId="6">#REF!</definedName>
    <definedName name="jangas" localSheetId="7">#REF!</definedName>
    <definedName name="jangas" localSheetId="8">#REF!</definedName>
    <definedName name="jangas">#REF!</definedName>
    <definedName name="Jul">'[3]Assumptions &amp; Inputs'!$P$28:$P$29</definedName>
    <definedName name="JUL__">#REF!</definedName>
    <definedName name="JUL_KWH">#REF!</definedName>
    <definedName name="julgas" localSheetId="1">#REF!</definedName>
    <definedName name="julgas" localSheetId="2">#REF!</definedName>
    <definedName name="julgas" localSheetId="3">#REF!</definedName>
    <definedName name="julgas" localSheetId="4">#REF!</definedName>
    <definedName name="julgas" localSheetId="5">#REF!</definedName>
    <definedName name="julgas" localSheetId="6">#REF!</definedName>
    <definedName name="julgas" localSheetId="7">#REF!</definedName>
    <definedName name="julgas" localSheetId="8">#REF!</definedName>
    <definedName name="julgas">#REF!</definedName>
    <definedName name="Jun">'[3]Assumptions &amp; Inputs'!$O$28:$O$29</definedName>
    <definedName name="JUN__">#REF!</definedName>
    <definedName name="JUN_KWH">#REF!</definedName>
    <definedName name="jungas" localSheetId="1">#REF!</definedName>
    <definedName name="jungas" localSheetId="2">#REF!</definedName>
    <definedName name="jungas" localSheetId="3">#REF!</definedName>
    <definedName name="jungas" localSheetId="4">#REF!</definedName>
    <definedName name="jungas" localSheetId="5">#REF!</definedName>
    <definedName name="jungas" localSheetId="6">#REF!</definedName>
    <definedName name="jungas" localSheetId="7">#REF!</definedName>
    <definedName name="jungas" localSheetId="8">#REF!</definedName>
    <definedName name="jungas">#REF!</definedName>
    <definedName name="KeyControlFigure">'[15]FIT Paid - Combined'!$T$399</definedName>
    <definedName name="L">#REF!</definedName>
    <definedName name="LABELTEXTCOLUMN1">#REF!</definedName>
    <definedName name="LABELTEXTROW1">#REF!</definedName>
    <definedName name="Labor">#REF!</definedName>
    <definedName name="Last_Row">IF(Values_Entered,Header_Row+Number_of_Payments,Header_Row)</definedName>
    <definedName name="limcount" hidden="1">1</definedName>
    <definedName name="lime_price" localSheetId="1">#REF!</definedName>
    <definedName name="lime_price" localSheetId="2">#REF!</definedName>
    <definedName name="lime_price" localSheetId="3">#REF!</definedName>
    <definedName name="lime_price" localSheetId="4">#REF!</definedName>
    <definedName name="lime_price" localSheetId="5">#REF!</definedName>
    <definedName name="lime_price" localSheetId="6">#REF!</definedName>
    <definedName name="lime_price" localSheetId="7">#REF!</definedName>
    <definedName name="lime_price" localSheetId="8">#REF!</definedName>
    <definedName name="lime_price">#REF!</definedName>
    <definedName name="ListOffset" hidden="1">1</definedName>
    <definedName name="Loading">#REF!</definedName>
    <definedName name="Loan_Amount">#REF!</definedName>
    <definedName name="Loan_Start">#REF!</definedName>
    <definedName name="Loan_Years">#REF!</definedName>
    <definedName name="Long_Lead_Permits" localSheetId="1">'[7]Source Data'!$B$749:$B$753</definedName>
    <definedName name="Long_Lead_Permits" localSheetId="2">'[7]Source Data'!$B$749:$B$753</definedName>
    <definedName name="Long_Lead_Permits" localSheetId="7">'[8]Source Data'!$B$749:$B$753</definedName>
    <definedName name="Long_Lead_Permits">'[9]Source Data'!$B$749:$B$753</definedName>
    <definedName name="Long_Lead_Permits_Score" localSheetId="1">'[7]Source Data'!$B$749:$C$753</definedName>
    <definedName name="Long_Lead_Permits_Score" localSheetId="2">'[7]Source Data'!$B$749:$C$753</definedName>
    <definedName name="Long_Lead_Permits_Score" localSheetId="7">'[8]Source Data'!$B$749:$C$753</definedName>
    <definedName name="Long_Lead_Permits_Score">'[9]Source Data'!$B$749:$C$753</definedName>
    <definedName name="LOOP">#REF!</definedName>
    <definedName name="ls_price" localSheetId="1">#REF!</definedName>
    <definedName name="ls_price" localSheetId="2">#REF!</definedName>
    <definedName name="ls_price" localSheetId="3">#REF!</definedName>
    <definedName name="ls_price" localSheetId="4">#REF!</definedName>
    <definedName name="ls_price" localSheetId="5">#REF!</definedName>
    <definedName name="ls_price" localSheetId="6">#REF!</definedName>
    <definedName name="ls_price" localSheetId="7">#REF!</definedName>
    <definedName name="ls_price" localSheetId="8">#REF!</definedName>
    <definedName name="ls_price">#REF!</definedName>
    <definedName name="ls_price_2">'[3]Assumptions &amp; Inputs'!$C$52</definedName>
    <definedName name="MACRO1">#REF!</definedName>
    <definedName name="MACRO2">#REF!</definedName>
    <definedName name="MACRO3">#REF!</definedName>
    <definedName name="maint_yr1">'[21]dispatch lookup'!$V$4:$V$10</definedName>
    <definedName name="maint_yr2">'[21]dispatch lookup'!$V$14:$V$20</definedName>
    <definedName name="maint_yr3">'[21]dispatch lookup'!$V$24:$V$30</definedName>
    <definedName name="maint_yr4">'[21]dispatch lookup'!$V$34:$V$40</definedName>
    <definedName name="maint_yr5">'[21]dispatch lookup'!$V$44:$V$50</definedName>
    <definedName name="maint_yr6">'[21]dispatch lookup'!$V$54:$V$60</definedName>
    <definedName name="Mar">'[3]Assumptions &amp; Inputs'!$L$28:$L$29</definedName>
    <definedName name="MAR__">#REF!</definedName>
    <definedName name="MAR_KWH">#REF!</definedName>
    <definedName name="margas" localSheetId="1">#REF!</definedName>
    <definedName name="margas" localSheetId="2">#REF!</definedName>
    <definedName name="margas" localSheetId="3">#REF!</definedName>
    <definedName name="margas" localSheetId="4">#REF!</definedName>
    <definedName name="margas" localSheetId="5">#REF!</definedName>
    <definedName name="margas" localSheetId="6">#REF!</definedName>
    <definedName name="margas" localSheetId="7">#REF!</definedName>
    <definedName name="margas" localSheetId="8">#REF!</definedName>
    <definedName name="margas">#REF!</definedName>
    <definedName name="Material_Availability" localSheetId="1">'[7]Source Data'!$B$762:$B$764</definedName>
    <definedName name="Material_Availability" localSheetId="2">'[7]Source Data'!$B$762:$B$764</definedName>
    <definedName name="Material_Availability" localSheetId="7">'[8]Source Data'!$B$762:$B$764</definedName>
    <definedName name="Material_Availability">'[9]Source Data'!$B$762:$B$764</definedName>
    <definedName name="Material_Availability_Score" localSheetId="1">'[7]Source Data'!$B$762:$C$764</definedName>
    <definedName name="Material_Availability_Score" localSheetId="2">'[7]Source Data'!$B$762:$C$764</definedName>
    <definedName name="Material_Availability_Score" localSheetId="7">'[8]Source Data'!$B$762:$C$764</definedName>
    <definedName name="Material_Availability_Score">'[9]Source Data'!$B$762:$C$764</definedName>
    <definedName name="May">'[3]Assumptions &amp; Inputs'!$N$28:$N$29</definedName>
    <definedName name="MAY__">#REF!</definedName>
    <definedName name="MAY_KWH">#REF!</definedName>
    <definedName name="maygas" localSheetId="1">#REF!</definedName>
    <definedName name="maygas" localSheetId="2">#REF!</definedName>
    <definedName name="maygas" localSheetId="3">#REF!</definedName>
    <definedName name="maygas" localSheetId="4">#REF!</definedName>
    <definedName name="maygas" localSheetId="5">#REF!</definedName>
    <definedName name="maygas" localSheetId="6">#REF!</definedName>
    <definedName name="maygas" localSheetId="7">#REF!</definedName>
    <definedName name="maygas" localSheetId="8">#REF!</definedName>
    <definedName name="maygas">#REF!</definedName>
    <definedName name="METER">#REF!</definedName>
    <definedName name="METERMACRO">#REF!</definedName>
    <definedName name="MIDMENU">#REF!</definedName>
    <definedName name="MISO_trans">'[3]Assumptions &amp; Inputs'!$C$8</definedName>
    <definedName name="MISO_trans_price">'[3]Assumptions &amp; Inputs'!$C$9</definedName>
    <definedName name="MNTHTBLE">#REF!</definedName>
    <definedName name="MO">#REF!</definedName>
    <definedName name="MONTH">#REF!</definedName>
    <definedName name="MONTH1">#REF!</definedName>
    <definedName name="MONTHS">#REF!</definedName>
    <definedName name="MOVE">#REF!</definedName>
    <definedName name="ne1_min">'[20]Hourly Pricing'!$E$22</definedName>
    <definedName name="ne1_mw">'[20]Hourly Pricing'!$D$22</definedName>
    <definedName name="NE1act">#REF!</definedName>
    <definedName name="NE2act">#REF!</definedName>
    <definedName name="NECT1">#REF!</definedName>
    <definedName name="NECT2">#REF!</definedName>
    <definedName name="NO" localSheetId="1">#REF!</definedName>
    <definedName name="NO" localSheetId="2">#REF!</definedName>
    <definedName name="NO" localSheetId="3">#REF!</definedName>
    <definedName name="NO" localSheetId="4">#REF!</definedName>
    <definedName name="NO" localSheetId="5">#REF!</definedName>
    <definedName name="NO" localSheetId="6">#REF!</definedName>
    <definedName name="NO" localSheetId="7">#REF!</definedName>
    <definedName name="NO" localSheetId="8">#REF!</definedName>
    <definedName name="NO">#REF!</definedName>
    <definedName name="NO._MOS">#REF!</definedName>
    <definedName name="NOOFFFSEGMENTS1" localSheetId="1">#REF!</definedName>
    <definedName name="NOOFFFSEGMENTS1" localSheetId="2">#REF!</definedName>
    <definedName name="NOOFFFSEGMENTS1" localSheetId="3">#REF!</definedName>
    <definedName name="NOOFFFSEGMENTS1" localSheetId="4">#REF!</definedName>
    <definedName name="NOOFFFSEGMENTS1" localSheetId="5">#REF!</definedName>
    <definedName name="NOOFFFSEGMENTS1" localSheetId="6">#REF!</definedName>
    <definedName name="NOOFFFSEGMENTS1" localSheetId="7">#REF!</definedName>
    <definedName name="NOOFFFSEGMENTS1" localSheetId="8">#REF!</definedName>
    <definedName name="NOOFFFSEGMENTS1">#REF!</definedName>
    <definedName name="NOOFPERIODS1" localSheetId="1">#REF!</definedName>
    <definedName name="NOOFPERIODS1" localSheetId="2">#REF!</definedName>
    <definedName name="NOOFPERIODS1" localSheetId="3">#REF!</definedName>
    <definedName name="NOOFPERIODS1" localSheetId="4">#REF!</definedName>
    <definedName name="NOOFPERIODS1" localSheetId="5">#REF!</definedName>
    <definedName name="NOOFPERIODS1" localSheetId="6">#REF!</definedName>
    <definedName name="NOOFPERIODS1" localSheetId="7">#REF!</definedName>
    <definedName name="NOOFPERIODS1" localSheetId="8">#REF!</definedName>
    <definedName name="NOOFPERIODS1">#REF!</definedName>
    <definedName name="Nov">'[3]Assumptions &amp; Inputs'!$T$28:$T$29</definedName>
    <definedName name="NOV__">#REF!</definedName>
    <definedName name="NOV_KWH">#REF!</definedName>
    <definedName name="novgas" localSheetId="1">#REF!</definedName>
    <definedName name="novgas" localSheetId="2">#REF!</definedName>
    <definedName name="novgas" localSheetId="3">#REF!</definedName>
    <definedName name="novgas" localSheetId="4">#REF!</definedName>
    <definedName name="novgas" localSheetId="5">#REF!</definedName>
    <definedName name="novgas" localSheetId="6">#REF!</definedName>
    <definedName name="novgas" localSheetId="7">#REF!</definedName>
    <definedName name="novgas" localSheetId="8">#REF!</definedName>
    <definedName name="novgas">#REF!</definedName>
    <definedName name="Num_Pmt_Per_Year">#REF!</definedName>
    <definedName name="Number_of_Payments">MATCH(0.01,End_Bal,-1)+1</definedName>
    <definedName name="NUMBEROFDETAILFIELDS1">#REF!</definedName>
    <definedName name="NUMBEROFHEADERFIELDS1">#REF!</definedName>
    <definedName name="NvsASD">"V2000-12-31"</definedName>
    <definedName name="NvsAutoDrillOk">"VN"</definedName>
    <definedName name="NvsElapsedTime">0.000689467597112525</definedName>
    <definedName name="NvsEndTime">36923.3059673611</definedName>
    <definedName name="NvsInstSpec">"%"</definedName>
    <definedName name="NvsLayoutType">"M3"</definedName>
    <definedName name="NvsNplSpec">"%,X,RZF..nPlosion,CZF.."</definedName>
    <definedName name="NvsPanelEffdt">"V1998-01-01"</definedName>
    <definedName name="NvsPanelSetid">"VSHARE"</definedName>
    <definedName name="NvsReqBU">"VLSGD"</definedName>
    <definedName name="NvsReqBUOnly">"VY"</definedName>
    <definedName name="NvsTransLed">"VN"</definedName>
    <definedName name="NvsTreeASD">"V2000-12-31"</definedName>
    <definedName name="OCCMAINT">#REF!</definedName>
    <definedName name="Oct">'[3]Assumptions &amp; Inputs'!$S$28:$S$29</definedName>
    <definedName name="OCT__">#REF!</definedName>
    <definedName name="OCT_KWH">#REF!</definedName>
    <definedName name="octgas" localSheetId="1">#REF!</definedName>
    <definedName name="octgas" localSheetId="2">#REF!</definedName>
    <definedName name="octgas" localSheetId="3">#REF!</definedName>
    <definedName name="octgas" localSheetId="4">#REF!</definedName>
    <definedName name="octgas" localSheetId="5">#REF!</definedName>
    <definedName name="octgas" localSheetId="6">#REF!</definedName>
    <definedName name="octgas" localSheetId="7">#REF!</definedName>
    <definedName name="octgas" localSheetId="8">#REF!</definedName>
    <definedName name="octgas">#REF!</definedName>
    <definedName name="ovecprice">'[3]Assumptions &amp; Inputs'!$C$4</definedName>
    <definedName name="PAGE_2_OF_3">'[29]12mthIS'!$A$5:$L$53</definedName>
    <definedName name="PAGE_8_OF_9">'[30]Pgs1&amp;5-6'!#REF!</definedName>
    <definedName name="PAGE_9_OF_9">'[30]Pgs1&amp;5-6'!#REF!</definedName>
    <definedName name="PAGE3">#REF!</definedName>
    <definedName name="PAGE6">#REF!</definedName>
    <definedName name="Pal_Workbook_GUID" hidden="1">"IXEICGU4L5XA3STIK9455AYZ"</definedName>
    <definedName name="Pay_Date">#REF!</definedName>
    <definedName name="Pay_Num">#REF!</definedName>
    <definedName name="Payment_Date">DATE(YEAR(Loan_Start),MONTH(Loan_Start)+Payment_Number,DAY(Loan_Start))</definedName>
    <definedName name="PayTax">#REF!</definedName>
    <definedName name="PERIODSETNAME1" localSheetId="1">#REF!</definedName>
    <definedName name="PERIODSETNAME1" localSheetId="2">#REF!</definedName>
    <definedName name="PERIODSETNAME1" localSheetId="3">#REF!</definedName>
    <definedName name="PERIODSETNAME1" localSheetId="4">#REF!</definedName>
    <definedName name="PERIODSETNAME1" localSheetId="5">#REF!</definedName>
    <definedName name="PERIODSETNAME1" localSheetId="6">#REF!</definedName>
    <definedName name="PERIODSETNAME1" localSheetId="7">#REF!</definedName>
    <definedName name="PERIODSETNAME1" localSheetId="8">#REF!</definedName>
    <definedName name="PERIODSETNAME1">#REF!</definedName>
    <definedName name="PERIODYEAR1" localSheetId="1">#REF!</definedName>
    <definedName name="PERIODYEAR1" localSheetId="2">#REF!</definedName>
    <definedName name="PERIODYEAR1" localSheetId="3">#REF!</definedName>
    <definedName name="PERIODYEAR1" localSheetId="4">#REF!</definedName>
    <definedName name="PERIODYEAR1" localSheetId="5">#REF!</definedName>
    <definedName name="PERIODYEAR1" localSheetId="6">#REF!</definedName>
    <definedName name="PERIODYEAR1" localSheetId="7">#REF!</definedName>
    <definedName name="PERIODYEAR1" localSheetId="8">#REF!</definedName>
    <definedName name="PERIODYEAR1">#REF!</definedName>
    <definedName name="PLANT_IN_SERVICE">#REF!</definedName>
    <definedName name="POSTERRORSTOSUSP1">#REF!</definedName>
    <definedName name="Power_price">'[3]Assumptions &amp; Inputs'!$C$3</definedName>
    <definedName name="PPDATE1">[31]PURCHASES!$B$4</definedName>
    <definedName name="Pressure_Class" localSheetId="1">'[7]Source Data'!$B$693:$B$698</definedName>
    <definedName name="Pressure_Class" localSheetId="2">'[7]Source Data'!$B$693:$B$698</definedName>
    <definedName name="Pressure_Class" localSheetId="7">'[8]Source Data'!$B$693:$B$698</definedName>
    <definedName name="Pressure_Class">'[9]Source Data'!$B$693:$B$698</definedName>
    <definedName name="Pressure_Class_Score" localSheetId="1">'[7]Source Data'!$B$693:$C$698</definedName>
    <definedName name="Pressure_Class_Score" localSheetId="2">'[7]Source Data'!$B$693:$C$698</definedName>
    <definedName name="Pressure_Class_Score" localSheetId="7">'[8]Source Data'!$B$693:$C$698</definedName>
    <definedName name="Pressure_Class_Score">'[9]Source Data'!$B$693:$C$698</definedName>
    <definedName name="priceday">#REF!</definedName>
    <definedName name="pricehrend">#REF!</definedName>
    <definedName name="pricehrstart">#REF!</definedName>
    <definedName name="Princ">#REF!</definedName>
    <definedName name="_xlnm.Print_Area" localSheetId="1">'SAH-2'!$A$1:$G$11</definedName>
    <definedName name="_xlnm.Print_Area" localSheetId="2">'SAH-3'!$A$1:$G$11</definedName>
    <definedName name="_xlnm.Print_Area" localSheetId="3">'SAH-4 (Public)'!$A$1:$J$69</definedName>
    <definedName name="_xlnm.Print_Area" localSheetId="4">'SAH-5 (Public)'!$A$1:$J$350</definedName>
    <definedName name="_xlnm.Print_Area" localSheetId="5">'SAH-6 (Public)'!$A$1:$J$340</definedName>
    <definedName name="_xlnm.Print_Area" localSheetId="6">'SAH-7 (Public)'!$A$1:$J$163</definedName>
    <definedName name="_xlnm.Print_Area" localSheetId="7">'SAH-8 (Public)'!$A$1:$AE$727</definedName>
    <definedName name="_xlnm.Print_Area" localSheetId="8">'SAH-9 (Public)'!$A$1:$J$274</definedName>
    <definedName name="Print_Area_Reset">OFFSET(Full_Print,0,0,Last_Row)</definedName>
    <definedName name="print_d5">#REF!</definedName>
    <definedName name="_xlnm.Print_Titles" localSheetId="3">'SAH-4 (Public)'!$1:$6</definedName>
    <definedName name="_xlnm.Print_Titles" localSheetId="4">'SAH-5 (Public)'!$1:$6</definedName>
    <definedName name="_xlnm.Print_Titles" localSheetId="5">'SAH-6 (Public)'!$1:$6</definedName>
    <definedName name="_xlnm.Print_Titles" localSheetId="6">'SAH-7 (Public)'!$1:$6</definedName>
    <definedName name="_xlnm.Print_Titles" localSheetId="7">'SAH-8 (Public)'!$1:$6</definedName>
    <definedName name="_xlnm.Print_Titles" localSheetId="8">'SAH-9 (Public)'!$1:$6</definedName>
    <definedName name="PRINT1">#REF!</definedName>
    <definedName name="PRINT2">#REF!</definedName>
    <definedName name="PRINT3">#REF!</definedName>
    <definedName name="PRINT4">#REF!</definedName>
    <definedName name="PRINT5">#REF!</definedName>
    <definedName name="PRINT6">#REF!</definedName>
    <definedName name="PRINT7">#REF!</definedName>
    <definedName name="PRINTJV">#REF!</definedName>
    <definedName name="PROD">#REF!</definedName>
    <definedName name="RATE">#REF!</definedName>
    <definedName name="RATE1">#REF!</definedName>
    <definedName name="Rate30Detail">#REF!</definedName>
    <definedName name="RATE60_P1">#REF!</definedName>
    <definedName name="RATE60_P2">#REF!</definedName>
    <definedName name="RATE60_P3">#REF!</definedName>
    <definedName name="RATE60_P4">#REF!</definedName>
    <definedName name="RATE60_P5">#REF!</definedName>
    <definedName name="RATE60_SUMMARY">#REF!</definedName>
    <definedName name="RDPstart">#REF!</definedName>
    <definedName name="RE_FINANCIAL">#REF!</definedName>
    <definedName name="READONLYBACKCOLOUR1" localSheetId="1">#REF!</definedName>
    <definedName name="READONLYBACKCOLOUR1" localSheetId="2">#REF!</definedName>
    <definedName name="READONLYBACKCOLOUR1" localSheetId="3">#REF!</definedName>
    <definedName name="READONLYBACKCOLOUR1" localSheetId="4">#REF!</definedName>
    <definedName name="READONLYBACKCOLOUR1" localSheetId="5">#REF!</definedName>
    <definedName name="READONLYBACKCOLOUR1" localSheetId="6">#REF!</definedName>
    <definedName name="READONLYBACKCOLOUR1" localSheetId="7">#REF!</definedName>
    <definedName name="READONLYBACKCOLOUR1" localSheetId="8">#REF!</definedName>
    <definedName name="READONLYBACKCOLOUR1">#REF!</definedName>
    <definedName name="READWRITEBACKCOLOUR1" localSheetId="1">#REF!</definedName>
    <definedName name="READWRITEBACKCOLOUR1" localSheetId="2">#REF!</definedName>
    <definedName name="READWRITEBACKCOLOUR1" localSheetId="3">#REF!</definedName>
    <definedName name="READWRITEBACKCOLOUR1" localSheetId="4">#REF!</definedName>
    <definedName name="READWRITEBACKCOLOUR1" localSheetId="5">#REF!</definedName>
    <definedName name="READWRITEBACKCOLOUR1" localSheetId="6">#REF!</definedName>
    <definedName name="READWRITEBACKCOLOUR1" localSheetId="7">#REF!</definedName>
    <definedName name="READWRITEBACKCOLOUR1" localSheetId="8">#REF!</definedName>
    <definedName name="READWRITEBACKCOLOUR1">#REF!</definedName>
    <definedName name="_xlnm.Recorder">#REF!</definedName>
    <definedName name="REQUIREBUDGETJOURNALSFLAG1" localSheetId="1">#REF!</definedName>
    <definedName name="REQUIREBUDGETJOURNALSFLAG1" localSheetId="2">#REF!</definedName>
    <definedName name="REQUIREBUDGETJOURNALSFLAG1" localSheetId="3">#REF!</definedName>
    <definedName name="REQUIREBUDGETJOURNALSFLAG1" localSheetId="4">#REF!</definedName>
    <definedName name="REQUIREBUDGETJOURNALSFLAG1" localSheetId="5">#REF!</definedName>
    <definedName name="REQUIREBUDGETJOURNALSFLAG1" localSheetId="6">#REF!</definedName>
    <definedName name="REQUIREBUDGETJOURNALSFLAG1" localSheetId="7">#REF!</definedName>
    <definedName name="REQUIREBUDGETJOURNALSFLAG1" localSheetId="8">#REF!</definedName>
    <definedName name="REQUIREBUDGETJOURNALSFLAG1">#REF!</definedName>
    <definedName name="RESPONSIBILITYAPPLICATIONID1" localSheetId="1">#REF!</definedName>
    <definedName name="RESPONSIBILITYAPPLICATIONID1" localSheetId="2">#REF!</definedName>
    <definedName name="RESPONSIBILITYAPPLICATIONID1" localSheetId="3">#REF!</definedName>
    <definedName name="RESPONSIBILITYAPPLICATIONID1" localSheetId="4">#REF!</definedName>
    <definedName name="RESPONSIBILITYAPPLICATIONID1" localSheetId="5">#REF!</definedName>
    <definedName name="RESPONSIBILITYAPPLICATIONID1" localSheetId="6">#REF!</definedName>
    <definedName name="RESPONSIBILITYAPPLICATIONID1" localSheetId="7">#REF!</definedName>
    <definedName name="RESPONSIBILITYAPPLICATIONID1" localSheetId="8">#REF!</definedName>
    <definedName name="RESPONSIBILITYAPPLICATIONID1">#REF!</definedName>
    <definedName name="RESPONSIBILITYID1" localSheetId="1">#REF!</definedName>
    <definedName name="RESPONSIBILITYID1" localSheetId="2">#REF!</definedName>
    <definedName name="RESPONSIBILITYID1" localSheetId="3">#REF!</definedName>
    <definedName name="RESPONSIBILITYID1" localSheetId="4">#REF!</definedName>
    <definedName name="RESPONSIBILITYID1" localSheetId="5">#REF!</definedName>
    <definedName name="RESPONSIBILITYID1" localSheetId="6">#REF!</definedName>
    <definedName name="RESPONSIBILITYID1" localSheetId="7">#REF!</definedName>
    <definedName name="RESPONSIBILITYID1" localSheetId="8">#REF!</definedName>
    <definedName name="RESPONSIBILITYID1">#REF!</definedName>
    <definedName name="RESPONSIBILITYNAME1" localSheetId="1">#REF!</definedName>
    <definedName name="RESPONSIBILITYNAME1" localSheetId="2">#REF!</definedName>
    <definedName name="RESPONSIBILITYNAME1" localSheetId="3">#REF!</definedName>
    <definedName name="RESPONSIBILITYNAME1" localSheetId="4">#REF!</definedName>
    <definedName name="RESPONSIBILITYNAME1" localSheetId="5">#REF!</definedName>
    <definedName name="RESPONSIBILITYNAME1" localSheetId="6">#REF!</definedName>
    <definedName name="RESPONSIBILITYNAME1" localSheetId="7">#REF!</definedName>
    <definedName name="RESPONSIBILITYNAME1" localSheetId="8">#REF!</definedName>
    <definedName name="RESPONSIBILITYNAME1">#REF!</definedName>
    <definedName name="RevenueReport">[32]RevenueReport!$A$4:$AA$712</definedName>
    <definedName name="RevenueReport1">[33]RevenueReport!$A$1:$W$797</definedName>
    <definedName name="Risk_Per_IM_Sys_Named_Pipeline" localSheetId="1">'[7]IM Risk Score Per Pipeline'!$A$2:$B$467</definedName>
    <definedName name="Risk_Per_IM_Sys_Named_Pipeline" localSheetId="2">'[7]IM Risk Score Per Pipeline'!$A$2:$B$467</definedName>
    <definedName name="Risk_Per_IM_Sys_Named_Pipeline" localSheetId="7">'[8]IM Risk Score Per Pipeline'!$A$2:$B$467</definedName>
    <definedName name="Risk_Per_IM_Sys_Named_Pipeline">'[9]IM Risk Score Per Pipeline'!$A$2:$B$467</definedName>
    <definedName name="RiskAfterRecalcMacro" hidden="1">""</definedName>
    <definedName name="RiskAfterSimMacro" hidden="1">""</definedName>
    <definedName name="RiskBeforeRecalcMacro" hidden="1">""</definedName>
    <definedName name="RiskBeforeSimMacro" hidden="1">""</definedName>
    <definedName name="RiskMultipleCPUSupportEnabled" hidden="1">TRUE</definedName>
    <definedName name="rngProjectDetailHeader" localSheetId="1">[34]DB!#REF!</definedName>
    <definedName name="rngProjectDetailHeader" localSheetId="2">[34]DB!#REF!</definedName>
    <definedName name="rngProjectDetailHeader" localSheetId="3">[35]DB!#REF!</definedName>
    <definedName name="rngProjectDetailHeader" localSheetId="4">[35]DB!#REF!</definedName>
    <definedName name="rngProjectDetailHeader" localSheetId="5">[35]DB!#REF!</definedName>
    <definedName name="rngProjectDetailHeader" localSheetId="6">[35]DB!#REF!</definedName>
    <definedName name="rngProjectDetailHeader" localSheetId="8">[35]DB!#REF!</definedName>
    <definedName name="rngProjectDetailHeader">[35]DB!#REF!</definedName>
    <definedName name="ROWSTOUPLOAD1" localSheetId="1">#REF!</definedName>
    <definedName name="ROWSTOUPLOAD1" localSheetId="2">#REF!</definedName>
    <definedName name="ROWSTOUPLOAD1" localSheetId="3">#REF!</definedName>
    <definedName name="ROWSTOUPLOAD1" localSheetId="4">#REF!</definedName>
    <definedName name="ROWSTOUPLOAD1" localSheetId="5">#REF!</definedName>
    <definedName name="ROWSTOUPLOAD1" localSheetId="6">#REF!</definedName>
    <definedName name="ROWSTOUPLOAD1" localSheetId="7">#REF!</definedName>
    <definedName name="ROWSTOUPLOAD1" localSheetId="8">#REF!</definedName>
    <definedName name="ROWSTOUPLOAD1">#REF!</definedName>
    <definedName name="RS_A_EQ">#REF!</definedName>
    <definedName name="RS_A_NO">#REF!</definedName>
    <definedName name="RS_B_EQ">#REF!</definedName>
    <definedName name="RS_B_NO">#REF!</definedName>
    <definedName name="RS_RTBS">#REF!</definedName>
    <definedName name="RTDSGN1">#REF!</definedName>
    <definedName name="RTDSGN10">#REF!</definedName>
    <definedName name="RTDSGN2">#REF!</definedName>
    <definedName name="RTDSGN3">#REF!</definedName>
    <definedName name="RTDSGN4">#REF!</definedName>
    <definedName name="RTDSGN5">#REF!</definedName>
    <definedName name="RTDSGN6">#REF!</definedName>
    <definedName name="RTDSGN7">#REF!</definedName>
    <definedName name="RTDSGN8">#REF!</definedName>
    <definedName name="RTDSGN9">#REF!</definedName>
    <definedName name="S" localSheetId="1">#REF!</definedName>
    <definedName name="S" localSheetId="2">#REF!</definedName>
    <definedName name="S" localSheetId="3">#REF!</definedName>
    <definedName name="S" localSheetId="4">#REF!</definedName>
    <definedName name="S" localSheetId="5">#REF!</definedName>
    <definedName name="S" localSheetId="6">#REF!</definedName>
    <definedName name="S" localSheetId="7">#REF!</definedName>
    <definedName name="S" localSheetId="8">#REF!</definedName>
    <definedName name="S">#REF!</definedName>
    <definedName name="SCH_A1">#REF!</definedName>
    <definedName name="SCH_A2">#REF!</definedName>
    <definedName name="SCH_B1">#REF!</definedName>
    <definedName name="Sch_B2.5P3">[18]SCH_B2.5!#REF!</definedName>
    <definedName name="Sch_B2.5P4">[18]SCH_B2.5!#REF!</definedName>
    <definedName name="Sch_B3.2P1">#REF!</definedName>
    <definedName name="Sch_B3.2P2">#REF!</definedName>
    <definedName name="Sch_B3.2P3">#REF!</definedName>
    <definedName name="Sch_B3.2P4">#REF!</definedName>
    <definedName name="Sch_B3.3P2">[18]SCH_B3.3!#REF!</definedName>
    <definedName name="Sch_B3.3P3">[18]SCH_B3.3!#REF!</definedName>
    <definedName name="Sch_B3.3P4">[18]SCH_B3.3!#REF!</definedName>
    <definedName name="Sch_B4.1">[18]SCH_B4!#REF!</definedName>
    <definedName name="Sch_B4.2">[18]SCH_B4!#REF!</definedName>
    <definedName name="SCH_B6.1P1">#REF!</definedName>
    <definedName name="SCH_B6.2">#REF!</definedName>
    <definedName name="SCH_B6P1">#REF!</definedName>
    <definedName name="SCH_B6P2">#REF!</definedName>
    <definedName name="SCH_B7.1">[18]SCH_B7!#REF!</definedName>
    <definedName name="SCH_C1">#REF!</definedName>
    <definedName name="SCH_C10P1">#REF!</definedName>
    <definedName name="SCH_C11.1P1">#REF!</definedName>
    <definedName name="SCH_C11.1P2">#REF!</definedName>
    <definedName name="SCH_C11.2">#REF!</definedName>
    <definedName name="SCH_C12.1">#REF!</definedName>
    <definedName name="Sch_C12.1P2">#REF!</definedName>
    <definedName name="SCH_C12.2">#REF!</definedName>
    <definedName name="SCH_C12.3">#REF!</definedName>
    <definedName name="Sch_C12.3p2">#REF!</definedName>
    <definedName name="SCH_C12.4">#REF!</definedName>
    <definedName name="SCH_C13">#REF!</definedName>
    <definedName name="SCH_C2">#REF!</definedName>
    <definedName name="SCH_C2.1P1">#REF!</definedName>
    <definedName name="SCH_C2.1P2">#REF!</definedName>
    <definedName name="SCH_C2.1P3">#REF!</definedName>
    <definedName name="SCH_C2.1P4">#REF!</definedName>
    <definedName name="SCH_C2.1P5">#REF!</definedName>
    <definedName name="SCH_C2.1P6">#REF!</definedName>
    <definedName name="SCH_C3.10P1">#REF!</definedName>
    <definedName name="SCH_C3.10P2">#REF!</definedName>
    <definedName name="SCH_C3.10P3">#REF!</definedName>
    <definedName name="SCH_C3.11P1">#REF!</definedName>
    <definedName name="SCH_C3.11P2">#REF!</definedName>
    <definedName name="SCH_C3.12P1">#REF!</definedName>
    <definedName name="SCH_C3.12P2">#REF!</definedName>
    <definedName name="SCH_C3.13P1">#REF!</definedName>
    <definedName name="SCH_C3.14P1">#REF!</definedName>
    <definedName name="SCH_C3.15">#REF!</definedName>
    <definedName name="SCH_C3.15P1">#REF!</definedName>
    <definedName name="SCH_C3.16P1">#REF!</definedName>
    <definedName name="SCH_C3.17P1">#REF!</definedName>
    <definedName name="SCH_C3.1P1">#REF!</definedName>
    <definedName name="SCH_C3.1P2">#REF!</definedName>
    <definedName name="SCH_C3.1P3">#REF!</definedName>
    <definedName name="SCH_C3.1P4">#REF!</definedName>
    <definedName name="SCH_C3.2">#REF!</definedName>
    <definedName name="SCH_C3.3P1">#REF!</definedName>
    <definedName name="SCH_C3.4P1">#REF!</definedName>
    <definedName name="SCH_C3.5P1">#REF!</definedName>
    <definedName name="SCH_C3.5P2">#REF!</definedName>
    <definedName name="SCH_C3.6P1">#REF!</definedName>
    <definedName name="SCH_C3.7P1">#REF!</definedName>
    <definedName name="SCH_C3.8P1">#REF!</definedName>
    <definedName name="SCH_C3.9P1">#REF!</definedName>
    <definedName name="SCH_C3_DEPRC">[18]SCH_C3!#REF!</definedName>
    <definedName name="SCH_C3_OandM">[18]SCH_C3!#REF!</definedName>
    <definedName name="SCH_C3_OTHTX">[18]SCH_C3!#REF!</definedName>
    <definedName name="SCH_C3_REV">[18]SCH_C3!#REF!</definedName>
    <definedName name="SCH_C4.1P1">[18]SCH_C4!#REF!</definedName>
    <definedName name="SCH_C4.1P2">[18]SCH_C4!#REF!</definedName>
    <definedName name="SCH_C5">#REF!</definedName>
    <definedName name="SCH_C6">#REF!</definedName>
    <definedName name="SCH_C9">#REF!</definedName>
    <definedName name="SCH_C9.1P1">#REF!</definedName>
    <definedName name="SCH_C9.1P2">#REF!</definedName>
    <definedName name="SCH_C9.1P3">#REF!</definedName>
    <definedName name="SCH_C9.1P4">#REF!</definedName>
    <definedName name="SCH_C9.1P5">#REF!</definedName>
    <definedName name="SCH_C9.1P6">#REF!</definedName>
    <definedName name="SCH_C9.1P7">#REF!</definedName>
    <definedName name="SCH_D3P3">[18]SCH_D3B!#REF!</definedName>
    <definedName name="SCH_D3P4">[18]SCH_D3B!#REF!</definedName>
    <definedName name="Sch_D5p1">#REF!</definedName>
    <definedName name="Sch_D5p2">#REF!</definedName>
    <definedName name="Sch_D5p3">#REF!</definedName>
    <definedName name="Sch_D5p4">#REF!</definedName>
    <definedName name="Sch_D5p5">#REF!</definedName>
    <definedName name="SCH_E3.1p1">#REF!</definedName>
    <definedName name="SCH_E3.1p2">#REF!</definedName>
    <definedName name="SCH_E3.1p3">#REF!</definedName>
    <definedName name="SchD_5_pg1">#REF!</definedName>
    <definedName name="SchD_5_pg2">#REF!</definedName>
    <definedName name="SchD_5_pg3">#REF!</definedName>
    <definedName name="SchD_5_pg4">#REF!</definedName>
    <definedName name="Sched_Pay">#REF!</definedName>
    <definedName name="Scheduled_Extra_Payments">#REF!</definedName>
    <definedName name="Scheduled_Interest_Rate">#REF!</definedName>
    <definedName name="Scheduled_Monthly_Payment">#REF!</definedName>
    <definedName name="sdfs" localSheetId="1">#REF!</definedName>
    <definedName name="sdfs" localSheetId="2">#REF!</definedName>
    <definedName name="sdfs" localSheetId="3">#REF!</definedName>
    <definedName name="sdfs" localSheetId="4">#REF!</definedName>
    <definedName name="sdfs" localSheetId="5">#REF!</definedName>
    <definedName name="sdfs" localSheetId="6">#REF!</definedName>
    <definedName name="sdfs" localSheetId="7">#REF!</definedName>
    <definedName name="sdfs" localSheetId="8">#REF!</definedName>
    <definedName name="sdfs">#REF!</definedName>
    <definedName name="SEG1_DIRECTION1" localSheetId="1">#REF!</definedName>
    <definedName name="SEG1_DIRECTION1" localSheetId="2">#REF!</definedName>
    <definedName name="SEG1_DIRECTION1" localSheetId="3">#REF!</definedName>
    <definedName name="SEG1_DIRECTION1" localSheetId="4">#REF!</definedName>
    <definedName name="SEG1_DIRECTION1" localSheetId="5">#REF!</definedName>
    <definedName name="SEG1_DIRECTION1" localSheetId="6">#REF!</definedName>
    <definedName name="SEG1_DIRECTION1" localSheetId="7">#REF!</definedName>
    <definedName name="SEG1_DIRECTION1" localSheetId="8">#REF!</definedName>
    <definedName name="SEG1_DIRECTION1">#REF!</definedName>
    <definedName name="SEG1_FROM1" localSheetId="1">#REF!</definedName>
    <definedName name="SEG1_FROM1" localSheetId="2">#REF!</definedName>
    <definedName name="SEG1_FROM1" localSheetId="3">#REF!</definedName>
    <definedName name="SEG1_FROM1" localSheetId="4">#REF!</definedName>
    <definedName name="SEG1_FROM1" localSheetId="5">#REF!</definedName>
    <definedName name="SEG1_FROM1" localSheetId="6">#REF!</definedName>
    <definedName name="SEG1_FROM1" localSheetId="7">#REF!</definedName>
    <definedName name="SEG1_FROM1" localSheetId="8">#REF!</definedName>
    <definedName name="SEG1_FROM1">#REF!</definedName>
    <definedName name="SEG1_SORT1" localSheetId="1">#REF!</definedName>
    <definedName name="SEG1_SORT1" localSheetId="2">#REF!</definedName>
    <definedName name="SEG1_SORT1" localSheetId="3">#REF!</definedName>
    <definedName name="SEG1_SORT1" localSheetId="4">#REF!</definedName>
    <definedName name="SEG1_SORT1" localSheetId="5">#REF!</definedName>
    <definedName name="SEG1_SORT1" localSheetId="6">#REF!</definedName>
    <definedName name="SEG1_SORT1" localSheetId="7">#REF!</definedName>
    <definedName name="SEG1_SORT1" localSheetId="8">#REF!</definedName>
    <definedName name="SEG1_SORT1">#REF!</definedName>
    <definedName name="SEG1_TO1" localSheetId="1">#REF!</definedName>
    <definedName name="SEG1_TO1" localSheetId="2">#REF!</definedName>
    <definedName name="SEG1_TO1" localSheetId="3">#REF!</definedName>
    <definedName name="SEG1_TO1" localSheetId="4">#REF!</definedName>
    <definedName name="SEG1_TO1" localSheetId="5">#REF!</definedName>
    <definedName name="SEG1_TO1" localSheetId="6">#REF!</definedName>
    <definedName name="SEG1_TO1" localSheetId="7">#REF!</definedName>
    <definedName name="SEG1_TO1" localSheetId="8">#REF!</definedName>
    <definedName name="SEG1_TO1">#REF!</definedName>
    <definedName name="SEG2_DIRECTION1" localSheetId="1">#REF!</definedName>
    <definedName name="SEG2_DIRECTION1" localSheetId="2">#REF!</definedName>
    <definedName name="SEG2_DIRECTION1" localSheetId="3">#REF!</definedName>
    <definedName name="SEG2_DIRECTION1" localSheetId="4">#REF!</definedName>
    <definedName name="SEG2_DIRECTION1" localSheetId="5">#REF!</definedName>
    <definedName name="SEG2_DIRECTION1" localSheetId="6">#REF!</definedName>
    <definedName name="SEG2_DIRECTION1" localSheetId="7">#REF!</definedName>
    <definedName name="SEG2_DIRECTION1" localSheetId="8">#REF!</definedName>
    <definedName name="SEG2_DIRECTION1">#REF!</definedName>
    <definedName name="SEG2_FROM1" localSheetId="1">#REF!</definedName>
    <definedName name="SEG2_FROM1" localSheetId="2">#REF!</definedName>
    <definedName name="SEG2_FROM1" localSheetId="3">#REF!</definedName>
    <definedName name="SEG2_FROM1" localSheetId="4">#REF!</definedName>
    <definedName name="SEG2_FROM1" localSheetId="5">#REF!</definedName>
    <definedName name="SEG2_FROM1" localSheetId="6">#REF!</definedName>
    <definedName name="SEG2_FROM1" localSheetId="7">#REF!</definedName>
    <definedName name="SEG2_FROM1" localSheetId="8">#REF!</definedName>
    <definedName name="SEG2_FROM1">#REF!</definedName>
    <definedName name="SEG2_SORT1" localSheetId="1">#REF!</definedName>
    <definedName name="SEG2_SORT1" localSheetId="2">#REF!</definedName>
    <definedName name="SEG2_SORT1" localSheetId="3">#REF!</definedName>
    <definedName name="SEG2_SORT1" localSheetId="4">#REF!</definedName>
    <definedName name="SEG2_SORT1" localSheetId="5">#REF!</definedName>
    <definedName name="SEG2_SORT1" localSheetId="6">#REF!</definedName>
    <definedName name="SEG2_SORT1" localSheetId="7">#REF!</definedName>
    <definedName name="SEG2_SORT1" localSheetId="8">#REF!</definedName>
    <definedName name="SEG2_SORT1">#REF!</definedName>
    <definedName name="SEG2_TO1" localSheetId="1">#REF!</definedName>
    <definedName name="SEG2_TO1" localSheetId="2">#REF!</definedName>
    <definedName name="SEG2_TO1" localSheetId="3">#REF!</definedName>
    <definedName name="SEG2_TO1" localSheetId="4">#REF!</definedName>
    <definedName name="SEG2_TO1" localSheetId="5">#REF!</definedName>
    <definedName name="SEG2_TO1" localSheetId="6">#REF!</definedName>
    <definedName name="SEG2_TO1" localSheetId="7">#REF!</definedName>
    <definedName name="SEG2_TO1" localSheetId="8">#REF!</definedName>
    <definedName name="SEG2_TO1">#REF!</definedName>
    <definedName name="SEG3_DIRECTION1" localSheetId="1">#REF!</definedName>
    <definedName name="SEG3_DIRECTION1" localSheetId="2">#REF!</definedName>
    <definedName name="SEG3_DIRECTION1" localSheetId="3">#REF!</definedName>
    <definedName name="SEG3_DIRECTION1" localSheetId="4">#REF!</definedName>
    <definedName name="SEG3_DIRECTION1" localSheetId="5">#REF!</definedName>
    <definedName name="SEG3_DIRECTION1" localSheetId="6">#REF!</definedName>
    <definedName name="SEG3_DIRECTION1" localSheetId="7">#REF!</definedName>
    <definedName name="SEG3_DIRECTION1" localSheetId="8">#REF!</definedName>
    <definedName name="SEG3_DIRECTION1">#REF!</definedName>
    <definedName name="SEG3_FROM1" localSheetId="1">#REF!</definedName>
    <definedName name="SEG3_FROM1" localSheetId="2">#REF!</definedName>
    <definedName name="SEG3_FROM1" localSheetId="3">#REF!</definedName>
    <definedName name="SEG3_FROM1" localSheetId="4">#REF!</definedName>
    <definedName name="SEG3_FROM1" localSheetId="5">#REF!</definedName>
    <definedName name="SEG3_FROM1" localSheetId="6">#REF!</definedName>
    <definedName name="SEG3_FROM1" localSheetId="7">#REF!</definedName>
    <definedName name="SEG3_FROM1" localSheetId="8">#REF!</definedName>
    <definedName name="SEG3_FROM1">#REF!</definedName>
    <definedName name="SEG3_SORT1" localSheetId="1">#REF!</definedName>
    <definedName name="SEG3_SORT1" localSheetId="2">#REF!</definedName>
    <definedName name="SEG3_SORT1" localSheetId="3">#REF!</definedName>
    <definedName name="SEG3_SORT1" localSheetId="4">#REF!</definedName>
    <definedName name="SEG3_SORT1" localSheetId="5">#REF!</definedName>
    <definedName name="SEG3_SORT1" localSheetId="6">#REF!</definedName>
    <definedName name="SEG3_SORT1" localSheetId="7">#REF!</definedName>
    <definedName name="SEG3_SORT1" localSheetId="8">#REF!</definedName>
    <definedName name="SEG3_SORT1">#REF!</definedName>
    <definedName name="SEG3_TO1" localSheetId="1">#REF!</definedName>
    <definedName name="SEG3_TO1" localSheetId="2">#REF!</definedName>
    <definedName name="SEG3_TO1" localSheetId="3">#REF!</definedName>
    <definedName name="SEG3_TO1" localSheetId="4">#REF!</definedName>
    <definedName name="SEG3_TO1" localSheetId="5">#REF!</definedName>
    <definedName name="SEG3_TO1" localSheetId="6">#REF!</definedName>
    <definedName name="SEG3_TO1" localSheetId="7">#REF!</definedName>
    <definedName name="SEG3_TO1" localSheetId="8">#REF!</definedName>
    <definedName name="SEG3_TO1">#REF!</definedName>
    <definedName name="SEG4_DIRECTION1" localSheetId="1">#REF!</definedName>
    <definedName name="SEG4_DIRECTION1" localSheetId="2">#REF!</definedName>
    <definedName name="SEG4_DIRECTION1" localSheetId="3">#REF!</definedName>
    <definedName name="SEG4_DIRECTION1" localSheetId="4">#REF!</definedName>
    <definedName name="SEG4_DIRECTION1" localSheetId="5">#REF!</definedName>
    <definedName name="SEG4_DIRECTION1" localSheetId="6">#REF!</definedName>
    <definedName name="SEG4_DIRECTION1" localSheetId="7">#REF!</definedName>
    <definedName name="SEG4_DIRECTION1" localSheetId="8">#REF!</definedName>
    <definedName name="SEG4_DIRECTION1">#REF!</definedName>
    <definedName name="SEG4_FROM1" localSheetId="1">#REF!</definedName>
    <definedName name="SEG4_FROM1" localSheetId="2">#REF!</definedName>
    <definedName name="SEG4_FROM1" localSheetId="3">#REF!</definedName>
    <definedName name="SEG4_FROM1" localSheetId="4">#REF!</definedName>
    <definedName name="SEG4_FROM1" localSheetId="5">#REF!</definedName>
    <definedName name="SEG4_FROM1" localSheetId="6">#REF!</definedName>
    <definedName name="SEG4_FROM1" localSheetId="7">#REF!</definedName>
    <definedName name="SEG4_FROM1" localSheetId="8">#REF!</definedName>
    <definedName name="SEG4_FROM1">#REF!</definedName>
    <definedName name="SEG4_SORT1" localSheetId="1">#REF!</definedName>
    <definedName name="SEG4_SORT1" localSheetId="2">#REF!</definedName>
    <definedName name="SEG4_SORT1" localSheetId="3">#REF!</definedName>
    <definedName name="SEG4_SORT1" localSheetId="4">#REF!</definedName>
    <definedName name="SEG4_SORT1" localSheetId="5">#REF!</definedName>
    <definedName name="SEG4_SORT1" localSheetId="6">#REF!</definedName>
    <definedName name="SEG4_SORT1" localSheetId="7">#REF!</definedName>
    <definedName name="SEG4_SORT1" localSheetId="8">#REF!</definedName>
    <definedName name="SEG4_SORT1">#REF!</definedName>
    <definedName name="SEG4_TO1" localSheetId="1">#REF!</definedName>
    <definedName name="SEG4_TO1" localSheetId="2">#REF!</definedName>
    <definedName name="SEG4_TO1" localSheetId="3">#REF!</definedName>
    <definedName name="SEG4_TO1" localSheetId="4">#REF!</definedName>
    <definedName name="SEG4_TO1" localSheetId="5">#REF!</definedName>
    <definedName name="SEG4_TO1" localSheetId="6">#REF!</definedName>
    <definedName name="SEG4_TO1" localSheetId="7">#REF!</definedName>
    <definedName name="SEG4_TO1" localSheetId="8">#REF!</definedName>
    <definedName name="SEG4_TO1">#REF!</definedName>
    <definedName name="SEG5_DIRECTION1" localSheetId="1">#REF!</definedName>
    <definedName name="SEG5_DIRECTION1" localSheetId="2">#REF!</definedName>
    <definedName name="SEG5_DIRECTION1" localSheetId="3">#REF!</definedName>
    <definedName name="SEG5_DIRECTION1" localSheetId="4">#REF!</definedName>
    <definedName name="SEG5_DIRECTION1" localSheetId="5">#REF!</definedName>
    <definedName name="SEG5_DIRECTION1" localSheetId="6">#REF!</definedName>
    <definedName name="SEG5_DIRECTION1" localSheetId="7">#REF!</definedName>
    <definedName name="SEG5_DIRECTION1" localSheetId="8">#REF!</definedName>
    <definedName name="SEG5_DIRECTION1">#REF!</definedName>
    <definedName name="SEG5_FROM1" localSheetId="1">#REF!</definedName>
    <definedName name="SEG5_FROM1" localSheetId="2">#REF!</definedName>
    <definedName name="SEG5_FROM1" localSheetId="3">#REF!</definedName>
    <definedName name="SEG5_FROM1" localSheetId="4">#REF!</definedName>
    <definedName name="SEG5_FROM1" localSheetId="5">#REF!</definedName>
    <definedName name="SEG5_FROM1" localSheetId="6">#REF!</definedName>
    <definedName name="SEG5_FROM1" localSheetId="7">#REF!</definedName>
    <definedName name="SEG5_FROM1" localSheetId="8">#REF!</definedName>
    <definedName name="SEG5_FROM1">#REF!</definedName>
    <definedName name="SEG5_SORT1" localSheetId="1">#REF!</definedName>
    <definedName name="SEG5_SORT1" localSheetId="2">#REF!</definedName>
    <definedName name="SEG5_SORT1" localSheetId="3">#REF!</definedName>
    <definedName name="SEG5_SORT1" localSheetId="4">#REF!</definedName>
    <definedName name="SEG5_SORT1" localSheetId="5">#REF!</definedName>
    <definedName name="SEG5_SORT1" localSheetId="6">#REF!</definedName>
    <definedName name="SEG5_SORT1" localSheetId="7">#REF!</definedName>
    <definedName name="SEG5_SORT1" localSheetId="8">#REF!</definedName>
    <definedName name="SEG5_SORT1">#REF!</definedName>
    <definedName name="SEG5_TO1" localSheetId="1">#REF!</definedName>
    <definedName name="SEG5_TO1" localSheetId="2">#REF!</definedName>
    <definedName name="SEG5_TO1" localSheetId="3">#REF!</definedName>
    <definedName name="SEG5_TO1" localSheetId="4">#REF!</definedName>
    <definedName name="SEG5_TO1" localSheetId="5">#REF!</definedName>
    <definedName name="SEG5_TO1" localSheetId="6">#REF!</definedName>
    <definedName name="SEG5_TO1" localSheetId="7">#REF!</definedName>
    <definedName name="SEG5_TO1" localSheetId="8">#REF!</definedName>
    <definedName name="SEG5_TO1">#REF!</definedName>
    <definedName name="sencount" hidden="1">1</definedName>
    <definedName name="Sep">'[3]Assumptions &amp; Inputs'!$R$28:$R$29</definedName>
    <definedName name="SEP__">#REF!</definedName>
    <definedName name="SEP_KWH">#REF!</definedName>
    <definedName name="sepgas" localSheetId="1">#REF!</definedName>
    <definedName name="sepgas" localSheetId="2">#REF!</definedName>
    <definedName name="sepgas" localSheetId="3">#REF!</definedName>
    <definedName name="sepgas" localSheetId="4">#REF!</definedName>
    <definedName name="sepgas" localSheetId="5">#REF!</definedName>
    <definedName name="sepgas" localSheetId="6">#REF!</definedName>
    <definedName name="sepgas" localSheetId="7">#REF!</definedName>
    <definedName name="sepgas" localSheetId="8">#REF!</definedName>
    <definedName name="sepgas">#REF!</definedName>
    <definedName name="Set">" "</definedName>
    <definedName name="SETOFBOOKSID1" localSheetId="1">#REF!</definedName>
    <definedName name="SETOFBOOKSID1" localSheetId="2">#REF!</definedName>
    <definedName name="SETOFBOOKSID1" localSheetId="3">#REF!</definedName>
    <definedName name="SETOFBOOKSID1" localSheetId="4">#REF!</definedName>
    <definedName name="SETOFBOOKSID1" localSheetId="5">#REF!</definedName>
    <definedName name="SETOFBOOKSID1" localSheetId="6">#REF!</definedName>
    <definedName name="SETOFBOOKSID1" localSheetId="7">#REF!</definedName>
    <definedName name="SETOFBOOKSID1" localSheetId="8">#REF!</definedName>
    <definedName name="SETOFBOOKSID1">#REF!</definedName>
    <definedName name="SETOFBOOKSNAME1" localSheetId="1">#REF!</definedName>
    <definedName name="SETOFBOOKSNAME1" localSheetId="2">#REF!</definedName>
    <definedName name="SETOFBOOKSNAME1" localSheetId="3">#REF!</definedName>
    <definedName name="SETOFBOOKSNAME1" localSheetId="4">#REF!</definedName>
    <definedName name="SETOFBOOKSNAME1" localSheetId="5">#REF!</definedName>
    <definedName name="SETOFBOOKSNAME1" localSheetId="6">#REF!</definedName>
    <definedName name="SETOFBOOKSNAME1" localSheetId="7">#REF!</definedName>
    <definedName name="SETOFBOOKSNAME1" localSheetId="8">#REF!</definedName>
    <definedName name="SETOFBOOKSNAME1">#REF!</definedName>
    <definedName name="SETOFBOOKSNAME2">[10]CRITERIA2!$B$2</definedName>
    <definedName name="SME_Rating" localSheetId="1">'[7]Source Data'!$B$742:$B$746</definedName>
    <definedName name="SME_Rating" localSheetId="2">'[7]Source Data'!$B$742:$B$746</definedName>
    <definedName name="SME_Rating" localSheetId="7">'[8]Source Data'!$B$742:$B$746</definedName>
    <definedName name="SME_Rating">'[9]Source Data'!$B$742:$B$746</definedName>
    <definedName name="SME_Score" localSheetId="1">'[7]Source Data'!$B$742:$C$746</definedName>
    <definedName name="SME_Score" localSheetId="2">'[7]Source Data'!$B$742:$C$746</definedName>
    <definedName name="SME_Score" localSheetId="7">'[8]Source Data'!$B$742:$C$746</definedName>
    <definedName name="SME_Score">'[9]Source Data'!$B$742:$C$746</definedName>
    <definedName name="sod_sulf_equiv">'[3]Assumptions &amp; Inputs'!$J$32</definedName>
    <definedName name="soda_ash_price" localSheetId="1">#REF!</definedName>
    <definedName name="soda_ash_price" localSheetId="2">#REF!</definedName>
    <definedName name="soda_ash_price" localSheetId="3">#REF!</definedName>
    <definedName name="soda_ash_price" localSheetId="4">#REF!</definedName>
    <definedName name="soda_ash_price" localSheetId="5">#REF!</definedName>
    <definedName name="soda_ash_price" localSheetId="6">#REF!</definedName>
    <definedName name="soda_ash_price" localSheetId="7">#REF!</definedName>
    <definedName name="soda_ash_price" localSheetId="8">#REF!</definedName>
    <definedName name="soda_ash_price">#REF!</definedName>
    <definedName name="spinning_max">'[36]Base Case Optimization'!#REF!</definedName>
    <definedName name="spinning_min">'[36]Base Case Optimization'!#REF!</definedName>
    <definedName name="SPWS_WBID">"D3D43EA8-9C5E-49C1-A487-F67A5EF54A17"</definedName>
    <definedName name="START">#REF!</definedName>
    <definedName name="Start_55" localSheetId="1">#REF!</definedName>
    <definedName name="Start_55" localSheetId="2">#REF!</definedName>
    <definedName name="Start_55" localSheetId="3">#REF!</definedName>
    <definedName name="Start_55" localSheetId="4">#REF!</definedName>
    <definedName name="Start_55" localSheetId="5">#REF!</definedName>
    <definedName name="Start_55" localSheetId="6">#REF!</definedName>
    <definedName name="Start_55" localSheetId="7">#REF!</definedName>
    <definedName name="Start_55" localSheetId="8">#REF!</definedName>
    <definedName name="Start_55">#REF!</definedName>
    <definedName name="Start_56" localSheetId="1">#REF!</definedName>
    <definedName name="Start_56" localSheetId="2">#REF!</definedName>
    <definedName name="Start_56" localSheetId="3">#REF!</definedName>
    <definedName name="Start_56" localSheetId="4">#REF!</definedName>
    <definedName name="Start_56" localSheetId="5">#REF!</definedName>
    <definedName name="Start_56" localSheetId="6">#REF!</definedName>
    <definedName name="Start_56" localSheetId="7">#REF!</definedName>
    <definedName name="Start_56" localSheetId="8">#REF!</definedName>
    <definedName name="Start_56">#REF!</definedName>
    <definedName name="Start_57" localSheetId="1">#REF!</definedName>
    <definedName name="Start_57" localSheetId="2">#REF!</definedName>
    <definedName name="Start_57" localSheetId="3">#REF!</definedName>
    <definedName name="Start_57" localSheetId="4">#REF!</definedName>
    <definedName name="Start_57" localSheetId="5">#REF!</definedName>
    <definedName name="Start_57" localSheetId="6">#REF!</definedName>
    <definedName name="Start_57" localSheetId="7">#REF!</definedName>
    <definedName name="Start_57" localSheetId="8">#REF!</definedName>
    <definedName name="Start_57">#REF!</definedName>
    <definedName name="Start_58" localSheetId="1">#REF!</definedName>
    <definedName name="Start_58" localSheetId="2">#REF!</definedName>
    <definedName name="Start_58" localSheetId="3">#REF!</definedName>
    <definedName name="Start_58" localSheetId="4">#REF!</definedName>
    <definedName name="Start_58" localSheetId="5">#REF!</definedName>
    <definedName name="Start_58" localSheetId="6">#REF!</definedName>
    <definedName name="Start_58" localSheetId="7">#REF!</definedName>
    <definedName name="Start_58" localSheetId="8">#REF!</definedName>
    <definedName name="Start_58">#REF!</definedName>
    <definedName name="Start_59" localSheetId="1">#REF!</definedName>
    <definedName name="Start_59" localSheetId="2">#REF!</definedName>
    <definedName name="Start_59" localSheetId="3">#REF!</definedName>
    <definedName name="Start_59" localSheetId="4">#REF!</definedName>
    <definedName name="Start_59" localSheetId="5">#REF!</definedName>
    <definedName name="Start_59" localSheetId="6">#REF!</definedName>
    <definedName name="Start_59" localSheetId="7">#REF!</definedName>
    <definedName name="Start_59" localSheetId="8">#REF!</definedName>
    <definedName name="Start_59">#REF!</definedName>
    <definedName name="STARTBUDGETPOST1" localSheetId="1">#REF!</definedName>
    <definedName name="STARTBUDGETPOST1" localSheetId="2">#REF!</definedName>
    <definedName name="STARTBUDGETPOST1" localSheetId="3">#REF!</definedName>
    <definedName name="STARTBUDGETPOST1" localSheetId="4">#REF!</definedName>
    <definedName name="STARTBUDGETPOST1" localSheetId="5">#REF!</definedName>
    <definedName name="STARTBUDGETPOST1" localSheetId="6">#REF!</definedName>
    <definedName name="STARTBUDGETPOST1" localSheetId="7">#REF!</definedName>
    <definedName name="STARTBUDGETPOST1" localSheetId="8">#REF!</definedName>
    <definedName name="STARTBUDGETPOST1">#REF!</definedName>
    <definedName name="STARTJOURNALIMPORT1">#REF!</definedName>
    <definedName name="STARTPERIODNAME1" localSheetId="1">#REF!</definedName>
    <definedName name="STARTPERIODNAME1" localSheetId="2">#REF!</definedName>
    <definedName name="STARTPERIODNAME1" localSheetId="3">#REF!</definedName>
    <definedName name="STARTPERIODNAME1" localSheetId="4">#REF!</definedName>
    <definedName name="STARTPERIODNAME1" localSheetId="5">#REF!</definedName>
    <definedName name="STARTPERIODNAME1" localSheetId="6">#REF!</definedName>
    <definedName name="STARTPERIODNAME1" localSheetId="7">#REF!</definedName>
    <definedName name="STARTPERIODNAME1" localSheetId="8">#REF!</definedName>
    <definedName name="STARTPERIODNAME1">#REF!</definedName>
    <definedName name="STARTPERIODNUM1" localSheetId="1">#REF!</definedName>
    <definedName name="STARTPERIODNUM1" localSheetId="2">#REF!</definedName>
    <definedName name="STARTPERIODNUM1" localSheetId="3">#REF!</definedName>
    <definedName name="STARTPERIODNUM1" localSheetId="4">#REF!</definedName>
    <definedName name="STARTPERIODNUM1" localSheetId="5">#REF!</definedName>
    <definedName name="STARTPERIODNUM1" localSheetId="6">#REF!</definedName>
    <definedName name="STARTPERIODNUM1" localSheetId="7">#REF!</definedName>
    <definedName name="STARTPERIODNUM1" localSheetId="8">#REF!</definedName>
    <definedName name="STARTPERIODNUM1">#REF!</definedName>
    <definedName name="STARTPERIODYEAR1" localSheetId="1">#REF!</definedName>
    <definedName name="STARTPERIODYEAR1" localSheetId="2">#REF!</definedName>
    <definedName name="STARTPERIODYEAR1" localSheetId="3">#REF!</definedName>
    <definedName name="STARTPERIODYEAR1" localSheetId="4">#REF!</definedName>
    <definedName name="STARTPERIODYEAR1" localSheetId="5">#REF!</definedName>
    <definedName name="STARTPERIODYEAR1" localSheetId="6">#REF!</definedName>
    <definedName name="STARTPERIODYEAR1" localSheetId="7">#REF!</definedName>
    <definedName name="STARTPERIODYEAR1" localSheetId="8">#REF!</definedName>
    <definedName name="STARTPERIODYEAR1">#REF!</definedName>
    <definedName name="STAT1">#REF!</definedName>
    <definedName name="STAT2">#REF!</definedName>
    <definedName name="STAT3">#REF!</definedName>
    <definedName name="Status" localSheetId="1">'[7]Source Data'!$B$612:$B$617</definedName>
    <definedName name="Status" localSheetId="2">'[7]Source Data'!$B$612:$B$617</definedName>
    <definedName name="Status" localSheetId="7">'[8]Source Data'!$B$612:$B$617</definedName>
    <definedName name="Status">'[9]Source Data'!$B$612:$B$617</definedName>
    <definedName name="STMT1">[37]Incomestmt!#REF!</definedName>
    <definedName name="STMT2">[37]Incomestmt!#REF!</definedName>
    <definedName name="SubjectCompany">#REF!</definedName>
    <definedName name="SUPP_C23">#REF!</definedName>
    <definedName name="SUPP_C25">#REF!</definedName>
    <definedName name="SUPP_C7">#REF!</definedName>
    <definedName name="SUPP_C8">#REF!</definedName>
    <definedName name="SUPP_C9">#REF!</definedName>
    <definedName name="System">#REF!</definedName>
    <definedName name="System_Issues" localSheetId="1">'[7]Source Data'!$B$756:$B$759</definedName>
    <definedName name="System_Issues" localSheetId="2">'[7]Source Data'!$B$756:$B$759</definedName>
    <definedName name="System_Issues" localSheetId="7">'[8]Source Data'!$B$756:$B$759</definedName>
    <definedName name="System_Issues">'[9]Source Data'!$B$756:$B$759</definedName>
    <definedName name="System_Issues_Score" localSheetId="1">'[7]Source Data'!$B$756:$C$759</definedName>
    <definedName name="System_Issues_Score" localSheetId="2">'[7]Source Data'!$B$756:$C$759</definedName>
    <definedName name="System_Issues_Score" localSheetId="7">'[8]Source Data'!$B$756:$C$759</definedName>
    <definedName name="System_Issues_Score">'[9]Source Data'!$B$756:$C$759</definedName>
    <definedName name="TABLE">#REF!</definedName>
    <definedName name="tax" localSheetId="1"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tax" localSheetId="2"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tax" localSheetId="3"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tax" localSheetId="4"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tax" localSheetId="5"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tax" localSheetId="6"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tax" localSheetId="7"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tax" localSheetId="8"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tax"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TAXCHECK">[18]SCH_C3!#REF!</definedName>
    <definedName name="TEMP">#REF!</definedName>
    <definedName name="TEMPLATENUMBER1">#REF!</definedName>
    <definedName name="TEMPLATESTYLE1">#REF!</definedName>
    <definedName name="TEMPLATETYPE1">#REF!</definedName>
    <definedName name="Ticker">" "</definedName>
    <definedName name="TOPMENU">#REF!</definedName>
    <definedName name="Total_Interest">#REF!</definedName>
    <definedName name="Total_Pay">#REF!</definedName>
    <definedName name="Total_Payment">Scheduled_Payment+Extra_Payment</definedName>
    <definedName name="TOTRES">#REF!</definedName>
    <definedName name="TR_RATES">#REF!</definedName>
    <definedName name="TRAN_FUNCT">#REF!</definedName>
    <definedName name="TRANACEG">#REF!</definedName>
    <definedName name="TRANO_M">#REF!</definedName>
    <definedName name="TRANRTBS">#REF!</definedName>
    <definedName name="trans_energy">#REF!</definedName>
    <definedName name="trans_price">#REF!</definedName>
    <definedName name="TRUEUP">#REF!</definedName>
    <definedName name="UNBILLBASEREV">#REF!</definedName>
    <definedName name="UNBILLGASREV">#REF!</definedName>
    <definedName name="UNBILLTOTREV">#REF!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3R100C7" hidden="1">'[19]DCS Input Data'!$G$100:$M$100</definedName>
    <definedName name="UNIFORMANCES13R101C7" hidden="1">'[19]DCS Input Data'!$G$101:$M$101</definedName>
    <definedName name="UNIFORMANCES13R102C7" hidden="1">'[19]DCS Input Data'!$G$102:$M$102</definedName>
    <definedName name="UNIFORMANCES13R103C7" hidden="1">'[19]DCS Input Data'!$G$103:$M$103</definedName>
    <definedName name="UNIFORMANCES13R104C7" hidden="1">'[19]DCS Input Data'!$G$104:$M$104</definedName>
    <definedName name="UNIFORMANCES13R105C7" hidden="1">'[19]DCS Input Data'!$G$105:$M$105</definedName>
    <definedName name="UNIFORMANCES13R106C7" hidden="1">'[19]DCS Input Data'!$G$106:$M$106</definedName>
    <definedName name="UNIFORMANCES13R107C7" hidden="1">'[19]DCS Input Data'!$G$107:$M$107</definedName>
    <definedName name="UNIFORMANCES13R108C7" hidden="1">'[19]DCS Input Data'!$G$108:$M$108</definedName>
    <definedName name="UNIFORMANCES13R109C7" hidden="1">'[19]DCS Input Data'!$G$109:$M$109</definedName>
    <definedName name="UNIFORMANCES13R10C7" hidden="1">'[19]DCS Input Data'!$G$10:$M$10</definedName>
    <definedName name="UNIFORMANCES13R110C7" hidden="1">'[19]DCS Input Data'!$G$110:$M$110</definedName>
    <definedName name="UNIFORMANCES13R111C7" hidden="1">'[19]DCS Input Data'!$G$111:$M$111</definedName>
    <definedName name="UNIFORMANCES13R112C7" hidden="1">'[19]DCS Input Data'!$G$112:$M$112</definedName>
    <definedName name="UNIFORMANCES13R113C7" hidden="1">'[19]DCS Input Data'!$G$113:$M$113</definedName>
    <definedName name="UNIFORMANCES13R114C7" hidden="1">'[19]DCS Input Data'!$G$114:$M$114</definedName>
    <definedName name="UNIFORMANCES13R115C7" hidden="1">'[19]DCS Input Data'!$G$115:$M$115</definedName>
    <definedName name="UNIFORMANCES13R116C7" hidden="1">'[19]DCS Input Data'!$G$116:$M$116</definedName>
    <definedName name="UNIFORMANCES13R117C7" hidden="1">'[19]DCS Input Data'!$G$117:$M$117</definedName>
    <definedName name="UNIFORMANCES13R118C7" hidden="1">'[19]DCS Input Data'!$G$118:$M$118</definedName>
    <definedName name="UNIFORMANCES13R119C7" hidden="1">'[19]DCS Input Data'!$G$119:$M$119</definedName>
    <definedName name="UNIFORMANCES13R11C7" hidden="1">'[19]DCS Input Data'!$G$11:$M$11</definedName>
    <definedName name="UNIFORMANCES13R120C7" hidden="1">'[19]DCS Input Data'!$G$120:$M$120</definedName>
    <definedName name="UNIFORMANCES13R121C7" hidden="1">'[19]DCS Input Data'!$G$121:$M$121</definedName>
    <definedName name="UNIFORMANCES13R122C7" hidden="1">'[19]DCS Input Data'!$G$122:$M$122</definedName>
    <definedName name="UNIFORMANCES13R123C7" hidden="1">'[19]DCS Input Data'!$G$123:$M$123</definedName>
    <definedName name="UNIFORMANCES13R124C7" hidden="1">'[19]DCS Input Data'!$G$124:$M$124</definedName>
    <definedName name="UNIFORMANCES13R125C7" hidden="1">'[19]DCS Input Data'!$G$125:$M$125</definedName>
    <definedName name="UNIFORMANCES13R126C7" hidden="1">'[19]DCS Input Data'!$G$126:$M$126</definedName>
    <definedName name="UNIFORMANCES13R127C7" hidden="1">'[19]DCS Input Data'!$G$127:$M$127</definedName>
    <definedName name="UNIFORMANCES13R128C7" hidden="1">'[19]DCS Input Data'!$G$128:$M$128</definedName>
    <definedName name="UNIFORMANCES13R129C7" hidden="1">'[19]DCS Input Data'!$G$129:$M$129</definedName>
    <definedName name="UNIFORMANCES13R12C7" hidden="1">'[19]DCS Input Data'!$G$12:$M$12</definedName>
    <definedName name="UNIFORMANCES13R130C7" hidden="1">'[19]DCS Input Data'!$G$130:$M$130</definedName>
    <definedName name="UNIFORMANCES13R132C7" hidden="1">'[19]DCS Input Data'!$G$132:$M$132</definedName>
    <definedName name="UNIFORMANCES13R133C7" hidden="1">'[19]DCS Input Data'!$G$133:$M$133</definedName>
    <definedName name="UNIFORMANCES13R134C7" hidden="1">'[19]DCS Input Data'!$G$134:$M$134</definedName>
    <definedName name="UNIFORMANCES13R135C7" hidden="1">'[19]DCS Input Data'!$G$135:$M$135</definedName>
    <definedName name="UNIFORMANCES13R136C7" hidden="1">'[19]DCS Input Data'!$G$136:$M$136</definedName>
    <definedName name="UNIFORMANCES13R137C7" hidden="1">'[19]DCS Input Data'!$G$137:$M$137</definedName>
    <definedName name="UNIFORMANCES13R138C7" hidden="1">'[19]DCS Input Data'!$G$138:$M$138</definedName>
    <definedName name="UNIFORMANCES13R139C7" hidden="1">'[19]DCS Input Data'!$G$139:$M$139</definedName>
    <definedName name="UNIFORMANCES13R13C7" hidden="1">'[19]DCS Input Data'!$G$13:$M$13</definedName>
    <definedName name="UNIFORMANCES13R140C7" hidden="1">'[19]DCS Input Data'!$G$140:$M$140</definedName>
    <definedName name="UNIFORMANCES13R141C7" hidden="1">'[19]DCS Input Data'!$G$141:$M$141</definedName>
    <definedName name="UNIFORMANCES13R142C7" hidden="1">'[19]DCS Input Data'!$G$142:$M$142</definedName>
    <definedName name="UNIFORMANCES13R143C7" hidden="1">'[19]DCS Input Data'!$G$143:$M$143</definedName>
    <definedName name="UNIFORMANCES13R144C7" hidden="1">'[19]DCS Input Data'!$G$144:$M$144</definedName>
    <definedName name="UNIFORMANCES13R145C7" hidden="1">'[19]DCS Input Data'!$G$145:$M$145</definedName>
    <definedName name="UNIFORMANCES13R146C7" hidden="1">'[19]DCS Input Data'!$G$146:$M$146</definedName>
    <definedName name="UNIFORMANCES13R147C7" hidden="1">'[19]DCS Input Data'!$G$147:$M$147</definedName>
    <definedName name="UNIFORMANCES13R148C7" hidden="1">'[19]DCS Input Data'!$G$148:$M$148</definedName>
    <definedName name="UNIFORMANCES13R14C7" hidden="1">'[19]DCS Input Data'!$G$14:$M$14</definedName>
    <definedName name="UNIFORMANCES13R15C7" hidden="1">'[19]DCS Input Data'!$G$15:$M$15</definedName>
    <definedName name="UNIFORMANCES13R16C7" hidden="1">'[19]DCS Input Data'!$G$16:$M$16</definedName>
    <definedName name="UNIFORMANCES13R17C7" hidden="1">'[19]DCS Input Data'!$G$17:$M$17</definedName>
    <definedName name="UNIFORMANCES13R18C7" hidden="1">'[19]DCS Input Data'!$G$18:$M$18</definedName>
    <definedName name="UNIFORMANCES13R19C7" hidden="1">'[19]DCS Input Data'!$G$19:$M$19</definedName>
    <definedName name="UNIFORMANCES13R20C7" hidden="1">'[19]DCS Input Data'!$G$20:$M$20</definedName>
    <definedName name="UNIFORMANCES13R21C7" hidden="1">'[19]DCS Input Data'!$G$21:$M$21</definedName>
    <definedName name="UNIFORMANCES13R22C7" hidden="1">'[19]DCS Input Data'!$G$22:$M$22</definedName>
    <definedName name="UNIFORMANCES13R23C7" hidden="1">'[19]DCS Input Data'!$G$23:$M$23</definedName>
    <definedName name="UNIFORMANCES13R24C7" hidden="1">'[19]DCS Input Data'!$G$24:$M$24</definedName>
    <definedName name="UNIFORMANCES13R25C7" hidden="1">'[19]DCS Input Data'!$G$25:$M$25</definedName>
    <definedName name="UNIFORMANCES13R26C7" hidden="1">'[19]DCS Input Data'!$G$26:$M$26</definedName>
    <definedName name="UNIFORMANCES13R27C7" hidden="1">'[19]DCS Input Data'!$G$27:$M$27</definedName>
    <definedName name="UNIFORMANCES13R28C7" hidden="1">'[19]DCS Input Data'!$G$28:$M$28</definedName>
    <definedName name="UNIFORMANCES13R29C7" hidden="1">'[19]DCS Input Data'!$G$29:$M$29</definedName>
    <definedName name="UNIFORMANCES13R30C7" hidden="1">'[19]DCS Input Data'!$G$30:$M$30</definedName>
    <definedName name="UNIFORMANCES13R31C7" hidden="1">'[19]DCS Input Data'!$G$31:$M$31</definedName>
    <definedName name="UNIFORMANCES13R32C7" hidden="1">'[19]DCS Input Data'!$G$32:$M$32</definedName>
    <definedName name="UNIFORMANCES13R33C7" hidden="1">'[19]DCS Input Data'!$G$33:$M$33</definedName>
    <definedName name="UNIFORMANCES13R34C7" hidden="1">'[19]DCS Input Data'!$G$34:$M$34</definedName>
    <definedName name="UNIFORMANCES13R35C7" hidden="1">'[19]DCS Input Data'!$G$35:$M$35</definedName>
    <definedName name="UNIFORMANCES13R36C7" hidden="1">'[19]DCS Input Data'!$G$36:$M$36</definedName>
    <definedName name="UNIFORMANCES13R37C7" hidden="1">'[19]DCS Input Data'!$G$37:$M$37</definedName>
    <definedName name="UNIFORMANCES13R38C7" hidden="1">'[19]DCS Input Data'!$G$38:$M$38</definedName>
    <definedName name="UNIFORMANCES13R39C7" hidden="1">'[19]DCS Input Data'!$G$39:$M$39</definedName>
    <definedName name="UNIFORMANCES13R40C7" hidden="1">'[19]DCS Input Data'!$G$40:$M$40</definedName>
    <definedName name="UNIFORMANCES13R41C7" hidden="1">'[19]DCS Input Data'!$G$41:$M$41</definedName>
    <definedName name="UNIFORMANCES13R42C7" hidden="1">'[19]DCS Input Data'!$G$42:$M$42</definedName>
    <definedName name="UNIFORMANCES13R43C7" hidden="1">'[19]DCS Input Data'!$G$43:$M$43</definedName>
    <definedName name="UNIFORMANCES13R45C7" hidden="1">'[19]DCS Input Data'!$G$45:$M$45</definedName>
    <definedName name="UNIFORMANCES13R46C7" hidden="1">'[19]DCS Input Data'!$G$46:$M$46</definedName>
    <definedName name="UNIFORMANCES13R47C7" hidden="1">'[19]DCS Input Data'!$G$47:$M$47</definedName>
    <definedName name="UNIFORMANCES13R48C7" hidden="1">'[19]DCS Input Data'!$G$48:$M$48</definedName>
    <definedName name="UNIFORMANCES13R49C7" hidden="1">'[19]DCS Input Data'!$G$49:$M$49</definedName>
    <definedName name="UNIFORMANCES13R4C7" hidden="1">'[19]DCS Input Data'!$G$4:$M$4</definedName>
    <definedName name="UNIFORMANCES13R50C7" hidden="1">'[19]DCS Input Data'!$G$50:$M$50</definedName>
    <definedName name="UNIFORMANCES13R51C7" hidden="1">'[19]DCS Input Data'!$G$51:$M$51</definedName>
    <definedName name="UNIFORMANCES13R52C7" hidden="1">'[19]DCS Input Data'!$G$52:$M$52</definedName>
    <definedName name="UNIFORMANCES13R53C7" hidden="1">'[19]DCS Input Data'!$G$53:$M$53</definedName>
    <definedName name="UNIFORMANCES13R54C7" hidden="1">'[19]DCS Input Data'!$G$54:$M$54</definedName>
    <definedName name="UNIFORMANCES13R55C7" hidden="1">'[19]DCS Input Data'!$G$55:$M$55</definedName>
    <definedName name="UNIFORMANCES13R56C7" hidden="1">'[19]DCS Input Data'!$G$56:$M$56</definedName>
    <definedName name="UNIFORMANCES13R57C7" hidden="1">'[19]DCS Input Data'!$G$57:$M$57</definedName>
    <definedName name="UNIFORMANCES13R58C7" hidden="1">'[19]DCS Input Data'!$G$58:$M$58</definedName>
    <definedName name="UNIFORMANCES13R59C7" hidden="1">'[19]DCS Input Data'!$G$59:$M$59</definedName>
    <definedName name="UNIFORMANCES13R5C7" hidden="1">'[19]DCS Input Data'!$G$5:$M$5</definedName>
    <definedName name="UNIFORMANCES13R60C7" hidden="1">'[19]DCS Input Data'!$G$60:$M$60</definedName>
    <definedName name="UNIFORMANCES13R61C7" hidden="1">'[19]DCS Input Data'!$G$61:$M$61</definedName>
    <definedName name="UNIFORMANCES13R62C7" hidden="1">'[19]DCS Input Data'!$G$62:$M$62</definedName>
    <definedName name="UNIFORMANCES13R63C7" hidden="1">'[19]DCS Input Data'!$G$63:$M$63</definedName>
    <definedName name="UNIFORMANCES13R64C7" hidden="1">'[19]DCS Input Data'!$G$64:$M$64</definedName>
    <definedName name="UNIFORMANCES13R65C7" hidden="1">'[19]DCS Input Data'!$G$65:$M$65</definedName>
    <definedName name="UNIFORMANCES13R66C7" hidden="1">'[19]DCS Input Data'!$G$66:$M$66</definedName>
    <definedName name="UNIFORMANCES13R67C7" hidden="1">'[19]DCS Input Data'!$G$67:$M$67</definedName>
    <definedName name="UNIFORMANCES13R68C7" hidden="1">'[19]DCS Input Data'!$G$68:$M$68</definedName>
    <definedName name="UNIFORMANCES13R69C7" hidden="1">'[19]DCS Input Data'!$G$69:$M$69</definedName>
    <definedName name="UNIFORMANCES13R6C7" hidden="1">'[19]DCS Input Data'!$G$6:$M$6</definedName>
    <definedName name="UNIFORMANCES13R70C7" hidden="1">'[19]DCS Input Data'!$G$70:$M$70</definedName>
    <definedName name="UNIFORMANCES13R71C7" hidden="1">'[19]DCS Input Data'!$G$71:$M$71</definedName>
    <definedName name="UNIFORMANCES13R72C7" hidden="1">'[19]DCS Input Data'!$G$72:$M$72</definedName>
    <definedName name="UNIFORMANCES13R73C7" hidden="1">'[19]DCS Input Data'!$G$73:$M$73</definedName>
    <definedName name="UNIFORMANCES13R74C7" hidden="1">'[19]DCS Input Data'!$G$74:$M$74</definedName>
    <definedName name="UNIFORMANCES13R75C7" hidden="1">'[19]DCS Input Data'!$G$75:$M$75</definedName>
    <definedName name="UNIFORMANCES13R76C7" hidden="1">'[19]DCS Input Data'!$G$76:$M$76</definedName>
    <definedName name="UNIFORMANCES13R77C7" hidden="1">'[19]DCS Input Data'!$G$77:$M$77</definedName>
    <definedName name="UNIFORMANCES13R78C7" hidden="1">'[19]DCS Input Data'!$G$78:$M$78</definedName>
    <definedName name="UNIFORMANCES13R79C7" hidden="1">'[19]DCS Input Data'!$G$79:$M$79</definedName>
    <definedName name="UNIFORMANCES13R7C7" hidden="1">'[19]DCS Input Data'!$G$7:$M$7</definedName>
    <definedName name="UNIFORMANCES13R80C7" hidden="1">'[19]DCS Input Data'!$G$80:$M$80</definedName>
    <definedName name="UNIFORMANCES13R81C7" hidden="1">'[19]DCS Input Data'!$G$81:$M$81</definedName>
    <definedName name="UNIFORMANCES13R82C7" hidden="1">'[19]DCS Input Data'!$G$82:$M$82</definedName>
    <definedName name="UNIFORMANCES13R83C7" hidden="1">'[19]DCS Input Data'!$G$83:$M$83</definedName>
    <definedName name="UNIFORMANCES13R84C7" hidden="1">'[19]DCS Input Data'!$G$84:$M$84</definedName>
    <definedName name="UNIFORMANCES13R85C7" hidden="1">'[19]DCS Input Data'!$G$85:$M$85</definedName>
    <definedName name="UNIFORMANCES13R86C7" hidden="1">'[19]DCS Input Data'!$G$86:$M$86</definedName>
    <definedName name="UNIFORMANCES13R87C7" hidden="1">'[19]DCS Input Data'!$G$87:$M$87</definedName>
    <definedName name="UNIFORMANCES13R88C7" hidden="1">'[19]DCS Input Data'!$G$88:$M$88</definedName>
    <definedName name="UNIFORMANCES13R89C7" hidden="1">'[19]DCS Input Data'!$G$89:$M$89</definedName>
    <definedName name="UNIFORMANCES13R8C7" hidden="1">'[19]DCS Input Data'!$G$8:$M$8</definedName>
    <definedName name="UNIFORMANCES13R91C7" hidden="1">'[19]DCS Input Data'!$G$91:$M$91</definedName>
    <definedName name="UNIFORMANCES13R92C7" hidden="1">'[19]DCS Input Data'!$G$92:$M$92</definedName>
    <definedName name="UNIFORMANCES13R93C7" hidden="1">'[19]DCS Input Data'!$G$93:$M$93</definedName>
    <definedName name="UNIFORMANCES13R94C7" hidden="1">'[19]DCS Input Data'!$G$94:$M$94</definedName>
    <definedName name="UNIFORMANCES13R95C7" hidden="1">'[19]DCS Input Data'!$G$95:$M$95</definedName>
    <definedName name="UNIFORMANCES13R98C7" hidden="1">'[19]DCS Input Data'!$G$98:$M$98</definedName>
    <definedName name="UNIFORMANCES13R99C7" hidden="1">'[19]DCS Input Data'!$G$99:$M$99</definedName>
    <definedName name="UNIFORMANCES13R9C7" hidden="1">'[19]DCS Input Data'!$G$9:$M$9</definedName>
    <definedName name="UPDATELOGICTYPE1" localSheetId="1">#REF!</definedName>
    <definedName name="UPDATELOGICTYPE1" localSheetId="2">#REF!</definedName>
    <definedName name="UPDATELOGICTYPE1" localSheetId="3">#REF!</definedName>
    <definedName name="UPDATELOGICTYPE1" localSheetId="4">#REF!</definedName>
    <definedName name="UPDATELOGICTYPE1" localSheetId="5">#REF!</definedName>
    <definedName name="UPDATELOGICTYPE1" localSheetId="6">#REF!</definedName>
    <definedName name="UPDATELOGICTYPE1" localSheetId="7">#REF!</definedName>
    <definedName name="UPDATELOGICTYPE1" localSheetId="8">#REF!</definedName>
    <definedName name="UPDATELOGICTYPE1">#REF!</definedName>
    <definedName name="UPLOADRANGE">#REF!</definedName>
    <definedName name="Vacancy">#REF!</definedName>
    <definedName name="Values_Entered">IF(Loan_Amount*Interest_Rate*Loan_Years*Loan_Start&gt;0,1,0)</definedName>
    <definedName name="Vintage" localSheetId="1">'[7]Source Data'!$B$684:$B$690</definedName>
    <definedName name="Vintage" localSheetId="2">'[7]Source Data'!$B$684:$B$690</definedName>
    <definedName name="Vintage" localSheetId="7">'[8]Source Data'!$B$684:$B$690</definedName>
    <definedName name="Vintage">'[9]Source Data'!$B$684:$B$690</definedName>
    <definedName name="Vintage_Score" localSheetId="1">'[7]Source Data'!$B$684:$C$690</definedName>
    <definedName name="Vintage_Score" localSheetId="2">'[7]Source Data'!$B$684:$C$690</definedName>
    <definedName name="Vintage_Score" localSheetId="7">'[8]Source Data'!$B$684:$C$690</definedName>
    <definedName name="Vintage_Score">'[9]Source Data'!$B$684:$C$690</definedName>
    <definedName name="w" localSheetId="1"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 localSheetId="2"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 localSheetId="3"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 localSheetId="4"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 localSheetId="5"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 localSheetId="6"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 localSheetId="7"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 localSheetId="8"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4_min">'[38]Hourly Pricing'!$E$15</definedName>
    <definedName name="w4_mw">'[38]Hourly Pricing'!$D$15</definedName>
    <definedName name="WGS4_coal_HV" localSheetId="1">#REF!</definedName>
    <definedName name="WGS4_coal_HV" localSheetId="2">#REF!</definedName>
    <definedName name="WGS4_coal_HV" localSheetId="3">#REF!</definedName>
    <definedName name="WGS4_coal_HV" localSheetId="4">#REF!</definedName>
    <definedName name="WGS4_coal_HV" localSheetId="5">#REF!</definedName>
    <definedName name="WGS4_coal_HV" localSheetId="6">#REF!</definedName>
    <definedName name="WGS4_coal_HV" localSheetId="7">#REF!</definedName>
    <definedName name="WGS4_coal_HV" localSheetId="8">#REF!</definedName>
    <definedName name="WGS4_coal_HV">#REF!</definedName>
    <definedName name="WGS4_coal_price" localSheetId="1">#REF!</definedName>
    <definedName name="WGS4_coal_price" localSheetId="2">#REF!</definedName>
    <definedName name="WGS4_coal_price" localSheetId="3">#REF!</definedName>
    <definedName name="WGS4_coal_price" localSheetId="4">#REF!</definedName>
    <definedName name="WGS4_coal_price" localSheetId="5">#REF!</definedName>
    <definedName name="WGS4_coal_price" localSheetId="6">#REF!</definedName>
    <definedName name="WGS4_coal_price" localSheetId="7">#REF!</definedName>
    <definedName name="WGS4_coal_price" localSheetId="8">#REF!</definedName>
    <definedName name="WGS4_coal_price">#REF!</definedName>
    <definedName name="WGS4_coal_S" localSheetId="1">#REF!</definedName>
    <definedName name="WGS4_coal_S" localSheetId="2">#REF!</definedName>
    <definedName name="WGS4_coal_S" localSheetId="3">#REF!</definedName>
    <definedName name="WGS4_coal_S" localSheetId="4">#REF!</definedName>
    <definedName name="WGS4_coal_S" localSheetId="5">#REF!</definedName>
    <definedName name="WGS4_coal_S" localSheetId="6">#REF!</definedName>
    <definedName name="WGS4_coal_S" localSheetId="7">#REF!</definedName>
    <definedName name="WGS4_coal_S" localSheetId="8">#REF!</definedName>
    <definedName name="WGS4_coal_S">#REF!</definedName>
    <definedName name="WGS4act">#REF!</definedName>
    <definedName name="WGS4gasnonOS">'[3]Assumptions &amp; Inputs'!$C$65</definedName>
    <definedName name="WGS4gasOS">'[3]Assumptions &amp; Inputs'!$C$64</definedName>
    <definedName name="WORKING_CAPITAL">[18]SCH_B5!#REF!</definedName>
    <definedName name="WPB_5.1a">#REF!</definedName>
    <definedName name="WPB_5.1b">#REF!</definedName>
    <definedName name="WPB_5.1c">#REF!</definedName>
    <definedName name="WPB_5.1d">#REF!</definedName>
    <definedName name="WPB_5.1e">#REF!</definedName>
    <definedName name="WPB_5.1f">#REF!</definedName>
    <definedName name="WPB_5.1g">#REF!</definedName>
    <definedName name="WPB_6.1C">#REF!</definedName>
    <definedName name="WPB_6a">#REF!</definedName>
    <definedName name="WPC_10a">#REF!</definedName>
    <definedName name="WPC_10b">#REF!</definedName>
    <definedName name="WPC_10d">#REF!</definedName>
    <definedName name="WPC_10f">#REF!</definedName>
    <definedName name="WPC_1a">#REF!</definedName>
    <definedName name="WPC_2a">#REF!</definedName>
    <definedName name="WPC_3.10a">#REF!</definedName>
    <definedName name="WPC_3.11a">#REF!</definedName>
    <definedName name="WPC_3.12a">#REF!</definedName>
    <definedName name="WPC_3.13a">#REF!</definedName>
    <definedName name="WPC_3.14a">#REF!</definedName>
    <definedName name="WPC_3.14b">#REF!</definedName>
    <definedName name="WPC_3.15a">#REF!</definedName>
    <definedName name="WPC_3.15b">#REF!</definedName>
    <definedName name="WPC_3.16a">#REF!</definedName>
    <definedName name="WPC_3.17a">#REF!</definedName>
    <definedName name="WPC_3.1a">#REF!</definedName>
    <definedName name="WPC_3.1b">#REF!</definedName>
    <definedName name="WPC_3.1c">#REF!</definedName>
    <definedName name="WPC_3.2a">#REF!</definedName>
    <definedName name="WPC_3.3a">#REF!</definedName>
    <definedName name="WPC_3.4a">#REF!</definedName>
    <definedName name="WPC_3.5a">#REF!</definedName>
    <definedName name="WPC_3.7a">#REF!</definedName>
    <definedName name="WPC_3.7b">#REF!</definedName>
    <definedName name="WPC_3.7c">#REF!</definedName>
    <definedName name="WPC_3.7d">#REF!</definedName>
    <definedName name="WPC_3.8a">#REF!</definedName>
    <definedName name="WPC_3.9a">#REF!</definedName>
    <definedName name="WPC_4.1A">[18]SCH_C4!#REF!</definedName>
    <definedName name="wrn.04._.PM._.Rpt._.Draft." localSheetId="1"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rn.04._.PM._.Rpt._.Draft." localSheetId="2"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rn.04._.PM._.Rpt._.Draft." localSheetId="3"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rn.04._.PM._.Rpt._.Draft." localSheetId="4"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rn.04._.PM._.Rpt._.Draft." localSheetId="5"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rn.04._.PM._.Rpt._.Draft." localSheetId="6"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rn.04._.PM._.Rpt._.Draft." localSheetId="7"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rn.04._.PM._.Rpt._.Draft." localSheetId="8"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rn.04._.PM._.Rpt._.Draft."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rn.04._.Targets." localSheetId="1" hidden="1">{#N/A,#N/A,FALSE,"04 Target Calc.";#N/A,#N/A,FALSE,"03 Projection Calc"}</definedName>
    <definedName name="wrn.04._.Targets." localSheetId="2" hidden="1">{#N/A,#N/A,FALSE,"04 Target Calc.";#N/A,#N/A,FALSE,"03 Projection Calc"}</definedName>
    <definedName name="wrn.04._.Targets." localSheetId="3" hidden="1">{#N/A,#N/A,FALSE,"04 Target Calc.";#N/A,#N/A,FALSE,"03 Projection Calc"}</definedName>
    <definedName name="wrn.04._.Targets." localSheetId="4" hidden="1">{#N/A,#N/A,FALSE,"04 Target Calc.";#N/A,#N/A,FALSE,"03 Projection Calc"}</definedName>
    <definedName name="wrn.04._.Targets." localSheetId="5" hidden="1">{#N/A,#N/A,FALSE,"04 Target Calc.";#N/A,#N/A,FALSE,"03 Projection Calc"}</definedName>
    <definedName name="wrn.04._.Targets." localSheetId="6" hidden="1">{#N/A,#N/A,FALSE,"04 Target Calc.";#N/A,#N/A,FALSE,"03 Projection Calc"}</definedName>
    <definedName name="wrn.04._.Targets." localSheetId="7" hidden="1">{#N/A,#N/A,FALSE,"04 Target Calc.";#N/A,#N/A,FALSE,"03 Projection Calc"}</definedName>
    <definedName name="wrn.04._.Targets." localSheetId="8" hidden="1">{#N/A,#N/A,FALSE,"04 Target Calc.";#N/A,#N/A,FALSE,"03 Projection Calc"}</definedName>
    <definedName name="wrn.04._.Targets." hidden="1">{#N/A,#N/A,FALSE,"04 Target Calc.";#N/A,#N/A,FALSE,"03 Projection Calc"}</definedName>
    <definedName name="wrn.Aging._.and._.Trend._.Analysis." hidden="1">{#N/A,#N/A,FALSE,"Aging Summary";#N/A,#N/A,FALSE,"Ratio Analysis";#N/A,#N/A,FALSE,"Test 120 Day Accts";#N/A,#N/A,FALSE,"Tickmarks"}</definedName>
    <definedName name="wrn.Feb._.Senior._.Staff." localSheetId="1"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rn.Feb._.Senior._.Staff." localSheetId="2"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rn.Feb._.Senior._.Staff." localSheetId="3"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rn.Feb._.Senior._.Staff." localSheetId="4"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rn.Feb._.Senior._.Staff." localSheetId="5"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rn.Feb._.Senior._.Staff." localSheetId="6"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rn.Feb._.Senior._.Staff." localSheetId="7"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rn.Feb._.Senior._.Staff." localSheetId="8"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rn.Feb._.Senior._.Staff."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rn.PRINTALL." localSheetId="1" hidden="1">{"Page 1",#N/A,FALSE,"pages 1     2";"Page 2",#N/A,FALSE,"pages 1     2";"Page 3",#N/A,FALSE,"page 3";"Page4",#N/A,FALSE,"page 4";"Page 5",#N/A,FALSE,"pages 5   6   7";"Page 6",#N/A,FALSE,"pages 5   6   7";"Page 7",#N/A,FALSE,"pages 5   6   7";"Page 8",#N/A,FALSE,"page 8";"Page 9",#N/A,FALSE,"pg 9";"APX B",#N/A,FALSE,"APX B";"APX C",#N/A,FALSE,"Apx C"}</definedName>
    <definedName name="wrn.PRINTALL." localSheetId="2" hidden="1">{"Page 1",#N/A,FALSE,"pages 1     2";"Page 2",#N/A,FALSE,"pages 1     2";"Page 3",#N/A,FALSE,"page 3";"Page4",#N/A,FALSE,"page 4";"Page 5",#N/A,FALSE,"pages 5   6   7";"Page 6",#N/A,FALSE,"pages 5   6   7";"Page 7",#N/A,FALSE,"pages 5   6   7";"Page 8",#N/A,FALSE,"page 8";"Page 9",#N/A,FALSE,"pg 9";"APX B",#N/A,FALSE,"APX B";"APX C",#N/A,FALSE,"Apx C"}</definedName>
    <definedName name="wrn.PRINTALL." localSheetId="3" hidden="1">{"Page 1",#N/A,FALSE,"pages 1     2";"Page 2",#N/A,FALSE,"pages 1     2";"Page 3",#N/A,FALSE,"page 3";"Page4",#N/A,FALSE,"page 4";"Page 5",#N/A,FALSE,"pages 5   6   7";"Page 6",#N/A,FALSE,"pages 5   6   7";"Page 7",#N/A,FALSE,"pages 5   6   7";"Page 8",#N/A,FALSE,"page 8";"Page 9",#N/A,FALSE,"pg 9";"APX B",#N/A,FALSE,"APX B";"APX C",#N/A,FALSE,"Apx C"}</definedName>
    <definedName name="wrn.PRINTALL." localSheetId="4" hidden="1">{"Page 1",#N/A,FALSE,"pages 1     2";"Page 2",#N/A,FALSE,"pages 1     2";"Page 3",#N/A,FALSE,"page 3";"Page4",#N/A,FALSE,"page 4";"Page 5",#N/A,FALSE,"pages 5   6   7";"Page 6",#N/A,FALSE,"pages 5   6   7";"Page 7",#N/A,FALSE,"pages 5   6   7";"Page 8",#N/A,FALSE,"page 8";"Page 9",#N/A,FALSE,"pg 9";"APX B",#N/A,FALSE,"APX B";"APX C",#N/A,FALSE,"Apx C"}</definedName>
    <definedName name="wrn.PRINTALL." localSheetId="5" hidden="1">{"Page 1",#N/A,FALSE,"pages 1     2";"Page 2",#N/A,FALSE,"pages 1     2";"Page 3",#N/A,FALSE,"page 3";"Page4",#N/A,FALSE,"page 4";"Page 5",#N/A,FALSE,"pages 5   6   7";"Page 6",#N/A,FALSE,"pages 5   6   7";"Page 7",#N/A,FALSE,"pages 5   6   7";"Page 8",#N/A,FALSE,"page 8";"Page 9",#N/A,FALSE,"pg 9";"APX B",#N/A,FALSE,"APX B";"APX C",#N/A,FALSE,"Apx C"}</definedName>
    <definedName name="wrn.PRINTALL." localSheetId="6" hidden="1">{"Page 1",#N/A,FALSE,"pages 1     2";"Page 2",#N/A,FALSE,"pages 1     2";"Page 3",#N/A,FALSE,"page 3";"Page4",#N/A,FALSE,"page 4";"Page 5",#N/A,FALSE,"pages 5   6   7";"Page 6",#N/A,FALSE,"pages 5   6   7";"Page 7",#N/A,FALSE,"pages 5   6   7";"Page 8",#N/A,FALSE,"page 8";"Page 9",#N/A,FALSE,"pg 9";"APX B",#N/A,FALSE,"APX B";"APX C",#N/A,FALSE,"Apx C"}</definedName>
    <definedName name="wrn.PRINTALL." localSheetId="7" hidden="1">{"Page 1",#N/A,FALSE,"pages 1     2";"Page 2",#N/A,FALSE,"pages 1     2";"Page 3",#N/A,FALSE,"page 3";"Page4",#N/A,FALSE,"page 4";"Page 5",#N/A,FALSE,"pages 5   6   7";"Page 6",#N/A,FALSE,"pages 5   6   7";"Page 7",#N/A,FALSE,"pages 5   6   7";"Page 8",#N/A,FALSE,"page 8";"Page 9",#N/A,FALSE,"pg 9";"APX B",#N/A,FALSE,"APX B";"APX C",#N/A,FALSE,"Apx C"}</definedName>
    <definedName name="wrn.PRINTALL." localSheetId="8" hidden="1">{"Page 1",#N/A,FALSE,"pages 1     2";"Page 2",#N/A,FALSE,"pages 1     2";"Page 3",#N/A,FALSE,"page 3";"Page4",#N/A,FALSE,"page 4";"Page 5",#N/A,FALSE,"pages 5   6   7";"Page 6",#N/A,FALSE,"pages 5   6   7";"Page 7",#N/A,FALSE,"pages 5   6   7";"Page 8",#N/A,FALSE,"page 8";"Page 9",#N/A,FALSE,"pg 9";"APX B",#N/A,FALSE,"APX B";"APX C",#N/A,FALSE,"Apx C"}</definedName>
    <definedName name="wrn.PRINTALL." hidden="1">{"Page 1",#N/A,FALSE,"pages 1     2";"Page 2",#N/A,FALSE,"pages 1     2";"Page 3",#N/A,FALSE,"page 3";"Page4",#N/A,FALSE,"page 4";"Page 5",#N/A,FALSE,"pages 5   6   7";"Page 6",#N/A,FALSE,"pages 5   6   7";"Page 7",#N/A,FALSE,"pages 5   6   7";"Page 8",#N/A,FALSE,"page 8";"Page 9",#N/A,FALSE,"pg 9";"APX B",#N/A,FALSE,"APX B";"APX C",#N/A,FALSE,"Apx C"}</definedName>
    <definedName name="wrn.Senior._.Staff." localSheetId="1"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rn.Senior._.Staff." localSheetId="2"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rn.Senior._.Staff." localSheetId="3"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rn.Senior._.Staff." localSheetId="4"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rn.Senior._.Staff." localSheetId="5"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rn.Senior._.Staff." localSheetId="6"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rn.Senior._.Staff." localSheetId="7"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rn.Senior._.Staff." localSheetId="8"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rn.Senior._.Staff."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1.printal." hidden="1">{#N/A,#N/A,FALSE,"PREFDIV";#N/A,#N/A,FALSE,"STINT";#N/A,#N/A,FALSE,"LTINT";#N/A,#N/A,FALSE,"BTL";#N/A,#N/A,FALSE,"AFC";#N/A,#N/A,FALSE,"OTHNET";#N/A,#N/A,FALSE,"ATL"}</definedName>
    <definedName name="ws" localSheetId="1"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s" localSheetId="2"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s" localSheetId="3"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s" localSheetId="4"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s" localSheetId="5"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s" localSheetId="6"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s" localSheetId="7"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s" localSheetId="8"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s"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S_ABB_coal_HV" localSheetId="1">#REF!</definedName>
    <definedName name="WS_ABB_coal_HV" localSheetId="2">#REF!</definedName>
    <definedName name="WS_ABB_coal_HV" localSheetId="3">#REF!</definedName>
    <definedName name="WS_ABB_coal_HV" localSheetId="4">#REF!</definedName>
    <definedName name="WS_ABB_coal_HV" localSheetId="5">#REF!</definedName>
    <definedName name="WS_ABB_coal_HV" localSheetId="6">#REF!</definedName>
    <definedName name="WS_ABB_coal_HV" localSheetId="7">#REF!</definedName>
    <definedName name="WS_ABB_coal_HV" localSheetId="8">#REF!</definedName>
    <definedName name="WS_ABB_coal_HV">#REF!</definedName>
    <definedName name="WS_ABB_coal_price" localSheetId="1">#REF!</definedName>
    <definedName name="WS_ABB_coal_price" localSheetId="2">#REF!</definedName>
    <definedName name="WS_ABB_coal_price" localSheetId="3">#REF!</definedName>
    <definedName name="WS_ABB_coal_price" localSheetId="4">#REF!</definedName>
    <definedName name="WS_ABB_coal_price" localSheetId="5">#REF!</definedName>
    <definedName name="WS_ABB_coal_price" localSheetId="6">#REF!</definedName>
    <definedName name="WS_ABB_coal_price" localSheetId="7">#REF!</definedName>
    <definedName name="WS_ABB_coal_price" localSheetId="8">#REF!</definedName>
    <definedName name="WS_ABB_coal_price">#REF!</definedName>
    <definedName name="WS_ABB_coal_S" localSheetId="1">#REF!</definedName>
    <definedName name="WS_ABB_coal_S" localSheetId="2">#REF!</definedName>
    <definedName name="WS_ABB_coal_S" localSheetId="3">#REF!</definedName>
    <definedName name="WS_ABB_coal_S" localSheetId="4">#REF!</definedName>
    <definedName name="WS_ABB_coal_S" localSheetId="5">#REF!</definedName>
    <definedName name="WS_ABB_coal_S" localSheetId="6">#REF!</definedName>
    <definedName name="WS_ABB_coal_S" localSheetId="7">#REF!</definedName>
    <definedName name="WS_ABB_coal_S" localSheetId="8">#REF!</definedName>
    <definedName name="WS_ABB_coal_S">#REF!</definedName>
    <definedName name="WS_ABB1_erate" localSheetId="1">#REF!</definedName>
    <definedName name="WS_ABB1_erate" localSheetId="2">#REF!</definedName>
    <definedName name="WS_ABB1_erate" localSheetId="3">#REF!</definedName>
    <definedName name="WS_ABB1_erate" localSheetId="4">#REF!</definedName>
    <definedName name="WS_ABB1_erate" localSheetId="5">#REF!</definedName>
    <definedName name="WS_ABB1_erate" localSheetId="6">#REF!</definedName>
    <definedName name="WS_ABB1_erate" localSheetId="7">#REF!</definedName>
    <definedName name="WS_ABB1_erate" localSheetId="8">#REF!</definedName>
    <definedName name="WS_ABB1_erate">#REF!</definedName>
    <definedName name="WS_ABB1_lm_rate" localSheetId="1">#REF!</definedName>
    <definedName name="WS_ABB1_lm_rate" localSheetId="2">#REF!</definedName>
    <definedName name="WS_ABB1_lm_rate" localSheetId="3">#REF!</definedName>
    <definedName name="WS_ABB1_lm_rate" localSheetId="4">#REF!</definedName>
    <definedName name="WS_ABB1_lm_rate" localSheetId="5">#REF!</definedName>
    <definedName name="WS_ABB1_lm_rate" localSheetId="6">#REF!</definedName>
    <definedName name="WS_ABB1_lm_rate" localSheetId="7">#REF!</definedName>
    <definedName name="WS_ABB1_lm_rate" localSheetId="8">#REF!</definedName>
    <definedName name="WS_ABB1_lm_rate">#REF!</definedName>
    <definedName name="WS_ABB1_lp_price" localSheetId="1">#REF!</definedName>
    <definedName name="WS_ABB1_lp_price" localSheetId="2">#REF!</definedName>
    <definedName name="WS_ABB1_lp_price" localSheetId="3">#REF!</definedName>
    <definedName name="WS_ABB1_lp_price" localSheetId="4">#REF!</definedName>
    <definedName name="WS_ABB1_lp_price" localSheetId="5">#REF!</definedName>
    <definedName name="WS_ABB1_lp_price" localSheetId="6">#REF!</definedName>
    <definedName name="WS_ABB1_lp_price" localSheetId="7">#REF!</definedName>
    <definedName name="WS_ABB1_lp_price" localSheetId="8">#REF!</definedName>
    <definedName name="WS_ABB1_lp_price">#REF!</definedName>
    <definedName name="WS_ABB1_lp_rate" localSheetId="1">#REF!</definedName>
    <definedName name="WS_ABB1_lp_rate" localSheetId="2">#REF!</definedName>
    <definedName name="WS_ABB1_lp_rate" localSheetId="3">#REF!</definedName>
    <definedName name="WS_ABB1_lp_rate" localSheetId="4">#REF!</definedName>
    <definedName name="WS_ABB1_lp_rate" localSheetId="5">#REF!</definedName>
    <definedName name="WS_ABB1_lp_rate" localSheetId="6">#REF!</definedName>
    <definedName name="WS_ABB1_lp_rate" localSheetId="7">#REF!</definedName>
    <definedName name="WS_ABB1_lp_rate" localSheetId="8">#REF!</definedName>
    <definedName name="WS_ABB1_lp_rate">#REF!</definedName>
    <definedName name="www" localSheetId="1"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ww" localSheetId="2"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ww" localSheetId="3"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ww" localSheetId="4"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ww" localSheetId="5"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ww" localSheetId="6"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ww" localSheetId="7"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ww" localSheetId="8"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ww"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X">#REF!</definedName>
    <definedName name="XTRACT">#REF!</definedName>
    <definedName name="XTRACT_FILE1">#REF!</definedName>
    <definedName name="XTRACT_FILES">#REF!</definedName>
    <definedName name="Year" localSheetId="1">'[7]Source Data'!$B$21:$B$44</definedName>
    <definedName name="Year" localSheetId="2">'[7]Source Data'!$B$21:$B$44</definedName>
    <definedName name="Year" localSheetId="7">'[8]Source Data'!$B$21:$B$44</definedName>
    <definedName name="Year">'[9]Source Data'!$B$21:$B$44</definedName>
    <definedName name="Z_005F0399_B55C_4748_ACAC_5019F1CD5032_.wvu.FilterData" localSheetId="8" hidden="1">'SAH-9 (Public)'!$A$6:$J$6</definedName>
    <definedName name="Z_01563A5C_6B8C_403D_8C7D_49B7CA70463A_.wvu.FilterData" localSheetId="8" hidden="1">'SAH-9 (Public)'!$A$6:$J$6</definedName>
    <definedName name="Z_01563A5C_6B8C_403D_8C7D_49B7CA70463A_.wvu.PrintArea" localSheetId="8" hidden="1">'SAH-9 (Public)'!$A$1:$J$6</definedName>
    <definedName name="Z_01563A5C_6B8C_403D_8C7D_49B7CA70463A_.wvu.PrintTitles" localSheetId="8" hidden="1">'SAH-9 (Public)'!$6:$6</definedName>
    <definedName name="Z_02756A0B_FEE1_4B50_A8D8_752FE787F51F_.wvu.FilterData" localSheetId="3" hidden="1">'SAH-4 (Public)'!$A$6:$J$6</definedName>
    <definedName name="Z_056D250E_C076_4340_9CC2_9F7F804014B3_.wvu.Cols" localSheetId="3" hidden="1">'SAH-4 (Public)'!#REF!,'SAH-4 (Public)'!#REF!,'SAH-4 (Public)'!#REF!</definedName>
    <definedName name="Z_056D250E_C076_4340_9CC2_9F7F804014B3_.wvu.Cols" localSheetId="4" hidden="1">'SAH-5 (Public)'!#REF!,'SAH-5 (Public)'!#REF!,'SAH-5 (Public)'!#REF!,'SAH-5 (Public)'!#REF!</definedName>
    <definedName name="Z_056D250E_C076_4340_9CC2_9F7F804014B3_.wvu.Cols" localSheetId="5" hidden="1">'SAH-6 (Public)'!#REF!,'SAH-6 (Public)'!#REF!,'SAH-6 (Public)'!#REF!</definedName>
    <definedName name="Z_056D250E_C076_4340_9CC2_9F7F804014B3_.wvu.Cols" localSheetId="6" hidden="1">'SAH-7 (Public)'!#REF!,'SAH-7 (Public)'!#REF!,'SAH-7 (Public)'!#REF!,'SAH-7 (Public)'!#REF!</definedName>
    <definedName name="Z_056D250E_C076_4340_9CC2_9F7F804014B3_.wvu.Cols" localSheetId="8" hidden="1">'SAH-9 (Public)'!#REF!,'SAH-9 (Public)'!#REF!</definedName>
    <definedName name="Z_056D250E_C076_4340_9CC2_9F7F804014B3_.wvu.FilterData" localSheetId="3" hidden="1">'SAH-4 (Public)'!$A$6:$J$6</definedName>
    <definedName name="Z_056D250E_C076_4340_9CC2_9F7F804014B3_.wvu.FilterData" localSheetId="4" hidden="1">'SAH-5 (Public)'!$A$6:$J$6</definedName>
    <definedName name="Z_056D250E_C076_4340_9CC2_9F7F804014B3_.wvu.FilterData" localSheetId="5" hidden="1">'SAH-6 (Public)'!$A$6:$J$6</definedName>
    <definedName name="Z_056D250E_C076_4340_9CC2_9F7F804014B3_.wvu.FilterData" localSheetId="6" hidden="1">'SAH-7 (Public)'!$A$6:$J$13</definedName>
    <definedName name="Z_056D250E_C076_4340_9CC2_9F7F804014B3_.wvu.FilterData" localSheetId="8" hidden="1">'SAH-9 (Public)'!$A$6:$J$6</definedName>
    <definedName name="Z_056D250E_C076_4340_9CC2_9F7F804014B3_.wvu.PrintArea" localSheetId="3" hidden="1">'SAH-4 (Public)'!$A$1:$J$6</definedName>
    <definedName name="Z_056D250E_C076_4340_9CC2_9F7F804014B3_.wvu.PrintArea" localSheetId="4" hidden="1">'SAH-5 (Public)'!$A$1:$J$6</definedName>
    <definedName name="Z_056D250E_C076_4340_9CC2_9F7F804014B3_.wvu.PrintArea" localSheetId="5" hidden="1">'SAH-6 (Public)'!$A$1:$J$6</definedName>
    <definedName name="Z_056D250E_C076_4340_9CC2_9F7F804014B3_.wvu.PrintArea" localSheetId="6" hidden="1">'SAH-7 (Public)'!$A$1:$J$13</definedName>
    <definedName name="Z_056D250E_C076_4340_9CC2_9F7F804014B3_.wvu.PrintArea" localSheetId="8" hidden="1">'SAH-9 (Public)'!$A$1:$J$6</definedName>
    <definedName name="Z_056D250E_C076_4340_9CC2_9F7F804014B3_.wvu.PrintTitles" localSheetId="3" hidden="1">'SAH-4 (Public)'!$6:$6</definedName>
    <definedName name="Z_056D250E_C076_4340_9CC2_9F7F804014B3_.wvu.PrintTitles" localSheetId="4" hidden="1">'SAH-5 (Public)'!$6:$6</definedName>
    <definedName name="Z_056D250E_C076_4340_9CC2_9F7F804014B3_.wvu.PrintTitles" localSheetId="5" hidden="1">'SAH-6 (Public)'!$6:$6</definedName>
    <definedName name="Z_056D250E_C076_4340_9CC2_9F7F804014B3_.wvu.PrintTitles" localSheetId="8" hidden="1">'SAH-9 (Public)'!$6:$6</definedName>
    <definedName name="Z_056D250E_C076_4340_9CC2_9F7F804014B3_.wvu.Rows" localSheetId="3" hidden="1">'SAH-4 (Public)'!#REF!</definedName>
    <definedName name="Z_056D250E_C076_4340_9CC2_9F7F804014B3_.wvu.Rows" localSheetId="4" hidden="1">'SAH-5 (Public)'!#REF!</definedName>
    <definedName name="Z_056D250E_C076_4340_9CC2_9F7F804014B3_.wvu.Rows" localSheetId="5" hidden="1">'SAH-6 (Public)'!#REF!</definedName>
    <definedName name="Z_056D250E_C076_4340_9CC2_9F7F804014B3_.wvu.Rows" localSheetId="6" hidden="1">'SAH-7 (Public)'!$7:$13</definedName>
    <definedName name="Z_056D250E_C076_4340_9CC2_9F7F804014B3_.wvu.Rows" localSheetId="8" hidden="1">'SAH-9 (Public)'!#REF!</definedName>
    <definedName name="Z_05E6DD07_CF59_4A92_95B6_81094C9F58C6_.wvu.FilterData" localSheetId="8" hidden="1">'SAH-9 (Public)'!$A$6:$J$6</definedName>
    <definedName name="Z_05E6DD07_CF59_4A92_95B6_81094C9F58C6_.wvu.PrintArea" localSheetId="8" hidden="1">'SAH-9 (Public)'!$A$1:$J$6</definedName>
    <definedName name="Z_05E6DD07_CF59_4A92_95B6_81094C9F58C6_.wvu.PrintTitles" localSheetId="8" hidden="1">'SAH-9 (Public)'!$6:$6</definedName>
    <definedName name="Z_0724244F_9E32_43BA_8DBB_4C7288D31C4F_.wvu.FilterData" localSheetId="3" hidden="1">'SAH-4 (Public)'!$A$6:$J$6</definedName>
    <definedName name="Z_0724244F_9E32_43BA_8DBB_4C7288D31C4F_.wvu.FilterData" localSheetId="4" hidden="1">'SAH-5 (Public)'!$A$6:$J$6</definedName>
    <definedName name="Z_0724244F_9E32_43BA_8DBB_4C7288D31C4F_.wvu.FilterData" localSheetId="5" hidden="1">'SAH-6 (Public)'!$A$6:$J$6</definedName>
    <definedName name="Z_0724244F_9E32_43BA_8DBB_4C7288D31C4F_.wvu.FilterData" localSheetId="6" hidden="1">'SAH-7 (Public)'!$A$6:$J$13</definedName>
    <definedName name="Z_0724244F_9E32_43BA_8DBB_4C7288D31C4F_.wvu.FilterData" localSheetId="8" hidden="1">'SAH-9 (Public)'!$A$6:$J$6</definedName>
    <definedName name="Z_0724244F_9E32_43BA_8DBB_4C7288D31C4F_.wvu.PrintArea" localSheetId="3" hidden="1">'SAH-4 (Public)'!$A$1:$J$6</definedName>
    <definedName name="Z_0724244F_9E32_43BA_8DBB_4C7288D31C4F_.wvu.PrintArea" localSheetId="4" hidden="1">'SAH-5 (Public)'!$A$1:$J$6</definedName>
    <definedName name="Z_0724244F_9E32_43BA_8DBB_4C7288D31C4F_.wvu.PrintArea" localSheetId="5" hidden="1">'SAH-6 (Public)'!$A$1:$J$6</definedName>
    <definedName name="Z_0724244F_9E32_43BA_8DBB_4C7288D31C4F_.wvu.PrintArea" localSheetId="6" hidden="1">'SAH-7 (Public)'!$A$1:$J$13</definedName>
    <definedName name="Z_0724244F_9E32_43BA_8DBB_4C7288D31C4F_.wvu.PrintTitles" localSheetId="3" hidden="1">'SAH-4 (Public)'!$6:$6</definedName>
    <definedName name="Z_0724244F_9E32_43BA_8DBB_4C7288D31C4F_.wvu.PrintTitles" localSheetId="4" hidden="1">'SAH-5 (Public)'!$6:$6</definedName>
    <definedName name="Z_0724244F_9E32_43BA_8DBB_4C7288D31C4F_.wvu.PrintTitles" localSheetId="5" hidden="1">'SAH-6 (Public)'!$6:$6</definedName>
    <definedName name="Z_0724244F_9E32_43BA_8DBB_4C7288D31C4F_.wvu.PrintTitles" localSheetId="8" hidden="1">'SAH-9 (Public)'!$6:$6</definedName>
    <definedName name="Z_0734A004_9F67_49A7_8AA2_A50B3417978F_.wvu.FilterData" localSheetId="4" hidden="1">'SAH-5 (Public)'!$A$6:$J$6</definedName>
    <definedName name="Z_0734A004_9F67_49A7_8AA2_A50B3417978F_.wvu.FilterData" localSheetId="6" hidden="1">'SAH-7 (Public)'!$A$6:$J$13</definedName>
    <definedName name="Z_08237A70_6717_4878_856D_1ED42461076D_.wvu.FilterData" localSheetId="3" hidden="1">'SAH-4 (Public)'!$A$6:$N$6</definedName>
    <definedName name="Z_08237A70_6717_4878_856D_1ED42461076D_.wvu.FilterData" localSheetId="4" hidden="1">'SAH-5 (Public)'!$A$6:$J$6</definedName>
    <definedName name="Z_08237A70_6717_4878_856D_1ED42461076D_.wvu.FilterData" localSheetId="5" hidden="1">'SAH-6 (Public)'!$A$6:$J$6</definedName>
    <definedName name="Z_08237A70_6717_4878_856D_1ED42461076D_.wvu.FilterData" localSheetId="6" hidden="1">'SAH-7 (Public)'!$A$6:$J$11</definedName>
    <definedName name="Z_08237A70_6717_4878_856D_1ED42461076D_.wvu.FilterData" localSheetId="8" hidden="1">'SAH-9 (Public)'!$A$6:$CC$6</definedName>
    <definedName name="Z_08237A70_6717_4878_856D_1ED42461076D_.wvu.PrintArea" localSheetId="4" hidden="1">'SAH-5 (Public)'!$A$1:$J$6</definedName>
    <definedName name="Z_08237A70_6717_4878_856D_1ED42461076D_.wvu.PrintArea" localSheetId="5" hidden="1">'SAH-6 (Public)'!$A$1:$J$6</definedName>
    <definedName name="Z_08237A70_6717_4878_856D_1ED42461076D_.wvu.PrintArea" localSheetId="8" hidden="1">'SAH-9 (Public)'!$A$1:$J$6</definedName>
    <definedName name="Z_08237A70_6717_4878_856D_1ED42461076D_.wvu.PrintTitles" localSheetId="3" hidden="1">'SAH-4 (Public)'!$1:$6</definedName>
    <definedName name="Z_08237A70_6717_4878_856D_1ED42461076D_.wvu.PrintTitles" localSheetId="4" hidden="1">'SAH-5 (Public)'!$1:$6</definedName>
    <definedName name="Z_08237A70_6717_4878_856D_1ED42461076D_.wvu.PrintTitles" localSheetId="5" hidden="1">'SAH-6 (Public)'!$1:$6</definedName>
    <definedName name="Z_08237A70_6717_4878_856D_1ED42461076D_.wvu.PrintTitles" localSheetId="6" hidden="1">'SAH-7 (Public)'!$1:$6</definedName>
    <definedName name="Z_08237A70_6717_4878_856D_1ED42461076D_.wvu.PrintTitles" localSheetId="8" hidden="1">'SAH-9 (Public)'!$1:$6</definedName>
    <definedName name="Z_08248940_418E_4B1A_9FD7_74EB4754A77D_.wvu.Cols" localSheetId="5" hidden="1">'SAH-6 (Public)'!#REF!</definedName>
    <definedName name="Z_08248940_418E_4B1A_9FD7_74EB4754A77D_.wvu.FilterData" localSheetId="5" hidden="1">'SAH-6 (Public)'!$A$6:$J$6</definedName>
    <definedName name="Z_08248940_418E_4B1A_9FD7_74EB4754A77D_.wvu.PrintTitles" localSheetId="5" hidden="1">'SAH-6 (Public)'!$6:$6</definedName>
    <definedName name="Z_08DF1068_04FA_4F88_A935_ECFC152AA512_.wvu.Cols" localSheetId="3" hidden="1">'SAH-4 (Public)'!#REF!,'SAH-4 (Public)'!#REF!</definedName>
    <definedName name="Z_08DF1068_04FA_4F88_A935_ECFC152AA512_.wvu.Cols" localSheetId="4" hidden="1">'SAH-5 (Public)'!#REF!,'SAH-5 (Public)'!#REF!,'SAH-5 (Public)'!#REF!</definedName>
    <definedName name="Z_08DF1068_04FA_4F88_A935_ECFC152AA512_.wvu.Cols" localSheetId="5" hidden="1">'SAH-6 (Public)'!#REF!,'SAH-6 (Public)'!#REF!</definedName>
    <definedName name="Z_08DF1068_04FA_4F88_A935_ECFC152AA512_.wvu.Cols" localSheetId="6" hidden="1">'SAH-7 (Public)'!#REF!,'SAH-7 (Public)'!#REF!,'SAH-7 (Public)'!#REF!</definedName>
    <definedName name="Z_08DF1068_04FA_4F88_A935_ECFC152AA512_.wvu.Cols" localSheetId="8" hidden="1">'SAH-9 (Public)'!#REF!</definedName>
    <definedName name="Z_08DF1068_04FA_4F88_A935_ECFC152AA512_.wvu.FilterData" localSheetId="3" hidden="1">'SAH-4 (Public)'!$A$6:$J$6</definedName>
    <definedName name="Z_08DF1068_04FA_4F88_A935_ECFC152AA512_.wvu.FilterData" localSheetId="4" hidden="1">'SAH-5 (Public)'!$A$6:$J$6</definedName>
    <definedName name="Z_08DF1068_04FA_4F88_A935_ECFC152AA512_.wvu.FilterData" localSheetId="5" hidden="1">'SAH-6 (Public)'!$A$6:$J$6</definedName>
    <definedName name="Z_08DF1068_04FA_4F88_A935_ECFC152AA512_.wvu.FilterData" localSheetId="6" hidden="1">'SAH-7 (Public)'!$A$6:$J$13</definedName>
    <definedName name="Z_08DF1068_04FA_4F88_A935_ECFC152AA512_.wvu.FilterData" localSheetId="8" hidden="1">'SAH-9 (Public)'!$A$6:$J$6</definedName>
    <definedName name="Z_08DF1068_04FA_4F88_A935_ECFC152AA512_.wvu.PrintArea" localSheetId="3" hidden="1">'SAH-4 (Public)'!$A$1:$J$6</definedName>
    <definedName name="Z_08DF1068_04FA_4F88_A935_ECFC152AA512_.wvu.PrintArea" localSheetId="4" hidden="1">'SAH-5 (Public)'!$A$1:$J$6</definedName>
    <definedName name="Z_08DF1068_04FA_4F88_A935_ECFC152AA512_.wvu.PrintArea" localSheetId="5" hidden="1">'SAH-6 (Public)'!$A$1:$J$6</definedName>
    <definedName name="Z_08DF1068_04FA_4F88_A935_ECFC152AA512_.wvu.PrintArea" localSheetId="6" hidden="1">'SAH-7 (Public)'!$A$1:$J$13</definedName>
    <definedName name="Z_08DF1068_04FA_4F88_A935_ECFC152AA512_.wvu.PrintArea" localSheetId="8" hidden="1">'SAH-9 (Public)'!$A$1:$J$6</definedName>
    <definedName name="Z_08DF1068_04FA_4F88_A935_ECFC152AA512_.wvu.PrintTitles" localSheetId="3" hidden="1">'SAH-4 (Public)'!$6:$6</definedName>
    <definedName name="Z_08DF1068_04FA_4F88_A935_ECFC152AA512_.wvu.PrintTitles" localSheetId="4" hidden="1">'SAH-5 (Public)'!$6:$6</definedName>
    <definedName name="Z_08DF1068_04FA_4F88_A935_ECFC152AA512_.wvu.PrintTitles" localSheetId="5" hidden="1">'SAH-6 (Public)'!$6:$6</definedName>
    <definedName name="Z_08DF1068_04FA_4F88_A935_ECFC152AA512_.wvu.PrintTitles" localSheetId="8" hidden="1">'SAH-9 (Public)'!$6:$6</definedName>
    <definedName name="Z_092817CA_56AB_4004_8663_37DFD515CA2F_.wvu.FilterData" localSheetId="6" hidden="1">'SAH-7 (Public)'!$A$6:$J$13</definedName>
    <definedName name="Z_09FAA496_6338_4406_AD3B_7C9DFA6D464F_.wvu.Cols" localSheetId="4" hidden="1">'SAH-5 (Public)'!#REF!</definedName>
    <definedName name="Z_09FAA496_6338_4406_AD3B_7C9DFA6D464F_.wvu.Cols" localSheetId="5" hidden="1">'SAH-6 (Public)'!#REF!</definedName>
    <definedName name="Z_09FAA496_6338_4406_AD3B_7C9DFA6D464F_.wvu.FilterData" localSheetId="3" hidden="1">'SAH-4 (Public)'!$A$6:$N$6</definedName>
    <definedName name="Z_09FAA496_6338_4406_AD3B_7C9DFA6D464F_.wvu.FilterData" localSheetId="4" hidden="1">'SAH-5 (Public)'!$A$6:$J$6</definedName>
    <definedName name="Z_09FAA496_6338_4406_AD3B_7C9DFA6D464F_.wvu.FilterData" localSheetId="5" hidden="1">'SAH-6 (Public)'!$A$6:$J$6</definedName>
    <definedName name="Z_09FAA496_6338_4406_AD3B_7C9DFA6D464F_.wvu.FilterData" localSheetId="6" hidden="1">'SAH-7 (Public)'!$A$6:$J$11</definedName>
    <definedName name="Z_09FAA496_6338_4406_AD3B_7C9DFA6D464F_.wvu.FilterData" localSheetId="8" hidden="1">'SAH-9 (Public)'!$A$6:$J$6</definedName>
    <definedName name="Z_09FAA496_6338_4406_AD3B_7C9DFA6D464F_.wvu.PrintTitles" localSheetId="3" hidden="1">'SAH-4 (Public)'!$6:$6</definedName>
    <definedName name="Z_09FAA496_6338_4406_AD3B_7C9DFA6D464F_.wvu.PrintTitles" localSheetId="4" hidden="1">'SAH-5 (Public)'!$6:$6</definedName>
    <definedName name="Z_09FAA496_6338_4406_AD3B_7C9DFA6D464F_.wvu.PrintTitles" localSheetId="5" hidden="1">'SAH-6 (Public)'!$6:$6</definedName>
    <definedName name="Z_09FAA496_6338_4406_AD3B_7C9DFA6D464F_.wvu.PrintTitles" localSheetId="6" hidden="1">'SAH-7 (Public)'!$6:$6</definedName>
    <definedName name="Z_09FAA496_6338_4406_AD3B_7C9DFA6D464F_.wvu.PrintTitles" localSheetId="8" hidden="1">'SAH-9 (Public)'!$6:$6</definedName>
    <definedName name="Z_0B4A96BA_0AEC_43AE_81E2_5CE3B84AA064_.wvu.FilterData" localSheetId="8" hidden="1">'SAH-9 (Public)'!$A$6:$J$6</definedName>
    <definedName name="Z_0B4B21FC_4582_4997_A850_965444BC7762_.wvu.FilterData" localSheetId="3" hidden="1">'SAH-4 (Public)'!$A$6:$J$6</definedName>
    <definedName name="Z_0B4B21FC_4582_4997_A850_965444BC7762_.wvu.FilterData" localSheetId="5" hidden="1">'SAH-6 (Public)'!$A$6:$J$6</definedName>
    <definedName name="Z_0B5B3C18_9BA7_44A9_80A6_B4D5787BABD6_.wvu.Cols" localSheetId="5" hidden="1">'SAH-6 (Public)'!#REF!</definedName>
    <definedName name="Z_0B5B3C18_9BA7_44A9_80A6_B4D5787BABD6_.wvu.FilterData" localSheetId="3" hidden="1">'SAH-4 (Public)'!$A$6:$J$6</definedName>
    <definedName name="Z_0B5B3C18_9BA7_44A9_80A6_B4D5787BABD6_.wvu.FilterData" localSheetId="4" hidden="1">'SAH-5 (Public)'!$A$6:$J$6</definedName>
    <definedName name="Z_0B5B3C18_9BA7_44A9_80A6_B4D5787BABD6_.wvu.FilterData" localSheetId="5" hidden="1">'SAH-6 (Public)'!$A$6:$J$6</definedName>
    <definedName name="Z_0B5B3C18_9BA7_44A9_80A6_B4D5787BABD6_.wvu.FilterData" localSheetId="8" hidden="1">'SAH-9 (Public)'!$A$6:$J$6</definedName>
    <definedName name="Z_0B5B3C18_9BA7_44A9_80A6_B4D5787BABD6_.wvu.PrintArea" localSheetId="3" hidden="1">'SAH-4 (Public)'!$A$1:$J$6</definedName>
    <definedName name="Z_0B5B3C18_9BA7_44A9_80A6_B4D5787BABD6_.wvu.PrintArea" localSheetId="4" hidden="1">'SAH-5 (Public)'!$A$1:$J$6</definedName>
    <definedName name="Z_0B5B3C18_9BA7_44A9_80A6_B4D5787BABD6_.wvu.PrintArea" localSheetId="5" hidden="1">'SAH-6 (Public)'!$A$1:$J$6</definedName>
    <definedName name="Z_0B5B3C18_9BA7_44A9_80A6_B4D5787BABD6_.wvu.PrintArea" localSheetId="8" hidden="1">'SAH-9 (Public)'!$A$1:$J$6</definedName>
    <definedName name="Z_0B5B3C18_9BA7_44A9_80A6_B4D5787BABD6_.wvu.PrintTitles" localSheetId="3" hidden="1">'SAH-4 (Public)'!$6:$6</definedName>
    <definedName name="Z_0B5B3C18_9BA7_44A9_80A6_B4D5787BABD6_.wvu.PrintTitles" localSheetId="4" hidden="1">'SAH-5 (Public)'!$6:$6</definedName>
    <definedName name="Z_0B5B3C18_9BA7_44A9_80A6_B4D5787BABD6_.wvu.PrintTitles" localSheetId="5" hidden="1">'SAH-6 (Public)'!$6:$6</definedName>
    <definedName name="Z_0B5B3C18_9BA7_44A9_80A6_B4D5787BABD6_.wvu.PrintTitles" localSheetId="8" hidden="1">'SAH-9 (Public)'!$6:$6</definedName>
    <definedName name="Z_0B5E6762_C2D0_42C9_86F9_134E34EB23A4_.wvu.FilterData" localSheetId="3" hidden="1">'SAH-4 (Public)'!$A$6:$N$6</definedName>
    <definedName name="Z_0FDB9BD4_0714_4C64_BA3B_89B4FFA0562F_.wvu.FilterData" localSheetId="3" hidden="1">'SAH-4 (Public)'!$A$6:$N$6</definedName>
    <definedName name="Z_0FDB9BD4_0714_4C64_BA3B_89B4FFA0562F_.wvu.FilterData" localSheetId="4" hidden="1">'SAH-5 (Public)'!$A$6:$J$6</definedName>
    <definedName name="Z_0FDB9BD4_0714_4C64_BA3B_89B4FFA0562F_.wvu.FilterData" localSheetId="5" hidden="1">'SAH-6 (Public)'!$A$6:$J$6</definedName>
    <definedName name="Z_0FDB9BD4_0714_4C64_BA3B_89B4FFA0562F_.wvu.FilterData" localSheetId="8" hidden="1">'SAH-9 (Public)'!$A$6:$J$6</definedName>
    <definedName name="Z_0FDB9BD4_0714_4C64_BA3B_89B4FFA0562F_.wvu.PrintTitles" localSheetId="3" hidden="1">'SAH-4 (Public)'!$6:$6</definedName>
    <definedName name="Z_0FDB9BD4_0714_4C64_BA3B_89B4FFA0562F_.wvu.PrintTitles" localSheetId="4" hidden="1">'SAH-5 (Public)'!$6:$6</definedName>
    <definedName name="Z_0FDB9BD4_0714_4C64_BA3B_89B4FFA0562F_.wvu.PrintTitles" localSheetId="5" hidden="1">'SAH-6 (Public)'!$6:$6</definedName>
    <definedName name="Z_0FDB9BD4_0714_4C64_BA3B_89B4FFA0562F_.wvu.PrintTitles" localSheetId="8" hidden="1">'SAH-9 (Public)'!$6:$6</definedName>
    <definedName name="Z_1064961A_EEEB_40A0_8CCF_F4238DEC32DB_.wvu.FilterData" localSheetId="8" hidden="1">'SAH-9 (Public)'!$A$6:$J$6</definedName>
    <definedName name="Z_11477079_2342_4FEF_96F5_5D69180C7BF8_.wvu.Cols" localSheetId="3" hidden="1">'SAH-4 (Public)'!#REF!,'SAH-4 (Public)'!#REF!,'SAH-4 (Public)'!#REF!,'SAH-4 (Public)'!#REF!,'SAH-4 (Public)'!#REF!,'SAH-4 (Public)'!#REF!,'SAH-4 (Public)'!#REF!</definedName>
    <definedName name="Z_11477079_2342_4FEF_96F5_5D69180C7BF8_.wvu.Cols" localSheetId="4" hidden="1">'SAH-5 (Public)'!#REF!,'SAH-5 (Public)'!#REF!,'SAH-5 (Public)'!#REF!,'SAH-5 (Public)'!#REF!</definedName>
    <definedName name="Z_11477079_2342_4FEF_96F5_5D69180C7BF8_.wvu.Cols" localSheetId="5" hidden="1">'SAH-6 (Public)'!#REF!,'SAH-6 (Public)'!#REF!,'SAH-6 (Public)'!#REF!,'SAH-6 (Public)'!#REF!,'SAH-6 (Public)'!#REF!,'SAH-6 (Public)'!#REF!,'SAH-6 (Public)'!#REF!</definedName>
    <definedName name="Z_11477079_2342_4FEF_96F5_5D69180C7BF8_.wvu.Cols" localSheetId="6" hidden="1">'SAH-7 (Public)'!#REF!,'SAH-7 (Public)'!#REF!</definedName>
    <definedName name="Z_11477079_2342_4FEF_96F5_5D69180C7BF8_.wvu.Cols" localSheetId="8" hidden="1">'SAH-9 (Public)'!#REF!,'SAH-9 (Public)'!#REF!,'SAH-9 (Public)'!#REF!,'SAH-9 (Public)'!#REF!,'SAH-9 (Public)'!#REF!,'SAH-9 (Public)'!#REF!</definedName>
    <definedName name="Z_11477079_2342_4FEF_96F5_5D69180C7BF8_.wvu.FilterData" localSheetId="3" hidden="1">'SAH-4 (Public)'!$A$6:$N$6</definedName>
    <definedName name="Z_11477079_2342_4FEF_96F5_5D69180C7BF8_.wvu.FilterData" localSheetId="4" hidden="1">'SAH-5 (Public)'!$A$6:$J$6</definedName>
    <definedName name="Z_11477079_2342_4FEF_96F5_5D69180C7BF8_.wvu.FilterData" localSheetId="5" hidden="1">'SAH-6 (Public)'!$A$6:$J$6</definedName>
    <definedName name="Z_11477079_2342_4FEF_96F5_5D69180C7BF8_.wvu.FilterData" localSheetId="6" hidden="1">'SAH-7 (Public)'!$A$6:$J$11</definedName>
    <definedName name="Z_11477079_2342_4FEF_96F5_5D69180C7BF8_.wvu.FilterData" localSheetId="8" hidden="1">'SAH-9 (Public)'!$A$6:$J$6</definedName>
    <definedName name="Z_11477079_2342_4FEF_96F5_5D69180C7BF8_.wvu.PrintTitles" localSheetId="3" hidden="1">'SAH-4 (Public)'!$6:$6</definedName>
    <definedName name="Z_11477079_2342_4FEF_96F5_5D69180C7BF8_.wvu.PrintTitles" localSheetId="4" hidden="1">'SAH-5 (Public)'!$6:$6</definedName>
    <definedName name="Z_11477079_2342_4FEF_96F5_5D69180C7BF8_.wvu.PrintTitles" localSheetId="5" hidden="1">'SAH-6 (Public)'!$6:$6</definedName>
    <definedName name="Z_11477079_2342_4FEF_96F5_5D69180C7BF8_.wvu.PrintTitles" localSheetId="6" hidden="1">'SAH-7 (Public)'!$6:$6</definedName>
    <definedName name="Z_11477079_2342_4FEF_96F5_5D69180C7BF8_.wvu.PrintTitles" localSheetId="8" hidden="1">'SAH-9 (Public)'!$6:$6</definedName>
    <definedName name="Z_127521F6_A4E0_4B6D_B1ED_7082332AF23B_.wvu.FilterData" localSheetId="8" hidden="1">'SAH-9 (Public)'!$A$6:$J$6</definedName>
    <definedName name="Z_127521F6_A4E0_4B6D_B1ED_7082332AF23B_.wvu.PrintArea" localSheetId="8" hidden="1">'SAH-9 (Public)'!$A$1:$J$6</definedName>
    <definedName name="Z_127521F6_A4E0_4B6D_B1ED_7082332AF23B_.wvu.PrintTitles" localSheetId="8" hidden="1">'SAH-9 (Public)'!$6:$6</definedName>
    <definedName name="Z_136032F1_99F4_4FBA_98C2_2EB10816AC41_.wvu.FilterData" localSheetId="3" hidden="1">'SAH-4 (Public)'!$A$6:$N$6</definedName>
    <definedName name="Z_13C2C60D_013E_45E8_ABED_15BD50E510F2_.wvu.FilterData" localSheetId="8" hidden="1">'SAH-9 (Public)'!$A$6:$J$6</definedName>
    <definedName name="Z_13C2C60D_013E_45E8_ABED_15BD50E510F2_.wvu.PrintArea" localSheetId="8" hidden="1">'SAH-9 (Public)'!$A$1:$J$6</definedName>
    <definedName name="Z_13C2C60D_013E_45E8_ABED_15BD50E510F2_.wvu.PrintTitles" localSheetId="8" hidden="1">'SAH-9 (Public)'!$6:$6</definedName>
    <definedName name="Z_173DEA15_A358_49C0_B677_077A73B2E984_.wvu.FilterData" localSheetId="8" hidden="1">'SAH-9 (Public)'!$A$6:$J$6</definedName>
    <definedName name="Z_177B407B_5703_4E44_A1DE_BEFF5346E863_.wvu.FilterData" localSheetId="3" hidden="1">'SAH-4 (Public)'!$A$6:$J$6</definedName>
    <definedName name="Z_17835A96_0655_4CED_B3A3_E83F57863DBF_.wvu.FilterData" localSheetId="3" hidden="1">'SAH-4 (Public)'!$A$6:$J$6</definedName>
    <definedName name="Z_18260405_0ED0_45AC_9FB2_D47F2C5485C9_.wvu.FilterData" localSheetId="4" hidden="1">'SAH-5 (Public)'!$A$6:$J$6</definedName>
    <definedName name="Z_18879F37_6516_4E08_89FE_4A1D54D3AE7D_.wvu.FilterData" localSheetId="6" hidden="1">'SAH-7 (Public)'!$A$6:$J$13</definedName>
    <definedName name="Z_18E57FF2_E429_4CEE_BC5D_42E38CDD97BE_.wvu.Cols" localSheetId="4" hidden="1">'SAH-5 (Public)'!#REF!</definedName>
    <definedName name="Z_18E57FF2_E429_4CEE_BC5D_42E38CDD97BE_.wvu.Cols" localSheetId="5" hidden="1">'SAH-6 (Public)'!#REF!</definedName>
    <definedName name="Z_18E57FF2_E429_4CEE_BC5D_42E38CDD97BE_.wvu.FilterData" localSheetId="3" hidden="1">'SAH-4 (Public)'!$A$6:$N$6</definedName>
    <definedName name="Z_18E57FF2_E429_4CEE_BC5D_42E38CDD97BE_.wvu.FilterData" localSheetId="4" hidden="1">'SAH-5 (Public)'!$A$6:$J$6</definedName>
    <definedName name="Z_18E57FF2_E429_4CEE_BC5D_42E38CDD97BE_.wvu.FilterData" localSheetId="5" hidden="1">'SAH-6 (Public)'!$A$6:$J$6</definedName>
    <definedName name="Z_18E57FF2_E429_4CEE_BC5D_42E38CDD97BE_.wvu.FilterData" localSheetId="6" hidden="1">'SAH-7 (Public)'!$A$6:$J$11</definedName>
    <definedName name="Z_18E57FF2_E429_4CEE_BC5D_42E38CDD97BE_.wvu.FilterData" localSheetId="8" hidden="1">'SAH-9 (Public)'!$A$6:$J$6</definedName>
    <definedName name="Z_18E57FF2_E429_4CEE_BC5D_42E38CDD97BE_.wvu.PrintTitles" localSheetId="3" hidden="1">'SAH-4 (Public)'!$6:$6</definedName>
    <definedName name="Z_18E57FF2_E429_4CEE_BC5D_42E38CDD97BE_.wvu.PrintTitles" localSheetId="4" hidden="1">'SAH-5 (Public)'!$6:$6</definedName>
    <definedName name="Z_18E57FF2_E429_4CEE_BC5D_42E38CDD97BE_.wvu.PrintTitles" localSheetId="5" hidden="1">'SAH-6 (Public)'!$6:$6</definedName>
    <definedName name="Z_18E57FF2_E429_4CEE_BC5D_42E38CDD97BE_.wvu.PrintTitles" localSheetId="6" hidden="1">'SAH-7 (Public)'!$6:$6</definedName>
    <definedName name="Z_18E57FF2_E429_4CEE_BC5D_42E38CDD97BE_.wvu.PrintTitles" localSheetId="8" hidden="1">'SAH-9 (Public)'!$6:$6</definedName>
    <definedName name="Z_1980790E_CC43_4F35_A601_3A958941E603_.wvu.FilterData" localSheetId="8" hidden="1">'SAH-9 (Public)'!$A$6:$J$6</definedName>
    <definedName name="Z_1A032E9B_E6C4_468C_A057_0316BC537AFD_.wvu.FilterData" localSheetId="8" hidden="1">'SAH-9 (Public)'!$A$6:$G$6</definedName>
    <definedName name="Z_1A032E9B_E6C4_468C_A057_0316BC537AFD_.wvu.PrintArea" localSheetId="8" hidden="1">'SAH-9 (Public)'!$A$1:$G$6</definedName>
    <definedName name="Z_1A032E9B_E6C4_468C_A057_0316BC537AFD_.wvu.PrintTitles" localSheetId="8" hidden="1">'SAH-9 (Public)'!$6:$6</definedName>
    <definedName name="Z_1A9567A5_2131_4265_A4B6_4476F2E3F1A8_.wvu.FilterData" localSheetId="6" hidden="1">'SAH-7 (Public)'!$A$6:$J$13</definedName>
    <definedName name="Z_1B7A742B_288B_468E_BC39_7095885A08A6_.wvu.FilterData" localSheetId="3" hidden="1">'SAH-4 (Public)'!$A$6:$J$6</definedName>
    <definedName name="Z_1B7A742B_288B_468E_BC39_7095885A08A6_.wvu.PrintArea" localSheetId="3" hidden="1">'SAH-4 (Public)'!$A$1:$J$6</definedName>
    <definedName name="Z_1B7A742B_288B_468E_BC39_7095885A08A6_.wvu.PrintTitles" localSheetId="3" hidden="1">'SAH-4 (Public)'!$6:$6</definedName>
    <definedName name="Z_1C8628B3_002E_4D5C_AC32_296451B66999_.wvu.FilterData" localSheetId="8" hidden="1">'SAH-9 (Public)'!$A$6:$J$6</definedName>
    <definedName name="Z_1E633570_7820_4B4A_A00F_86A899E8A85C_.wvu.FilterData" localSheetId="3" hidden="1">'SAH-4 (Public)'!$A$6:$J$6</definedName>
    <definedName name="Z_2232C9CF_A9AF_4A99_A9FD_BB431FC40304_.wvu.FilterData" localSheetId="8" hidden="1">'SAH-9 (Public)'!$A$6:$G$6</definedName>
    <definedName name="Z_2232C9CF_A9AF_4A99_A9FD_BB431FC40304_.wvu.PrintArea" localSheetId="8" hidden="1">'SAH-9 (Public)'!$A$1:$G$6</definedName>
    <definedName name="Z_2232C9CF_A9AF_4A99_A9FD_BB431FC40304_.wvu.PrintTitles" localSheetId="8" hidden="1">'SAH-9 (Public)'!$6:$6</definedName>
    <definedName name="Z_2235C92F_DD1E_4ED1_9609_8BC4D468C69D_.wvu.FilterData" localSheetId="3" hidden="1">'SAH-4 (Public)'!$A$6:$J$6</definedName>
    <definedName name="Z_2235C92F_DD1E_4ED1_9609_8BC4D468C69D_.wvu.FilterData" localSheetId="4" hidden="1">'SAH-5 (Public)'!$A$6:$J$6</definedName>
    <definedName name="Z_2235C92F_DD1E_4ED1_9609_8BC4D468C69D_.wvu.FilterData" localSheetId="5" hidden="1">'SAH-6 (Public)'!$A$6:$J$6</definedName>
    <definedName name="Z_2235C92F_DD1E_4ED1_9609_8BC4D468C69D_.wvu.FilterData" localSheetId="6" hidden="1">'SAH-7 (Public)'!$A$6:$J$13</definedName>
    <definedName name="Z_2235C92F_DD1E_4ED1_9609_8BC4D468C69D_.wvu.FilterData" localSheetId="8" hidden="1">'SAH-9 (Public)'!$A$6:$J$6</definedName>
    <definedName name="Z_2235C92F_DD1E_4ED1_9609_8BC4D468C69D_.wvu.PrintArea" localSheetId="3" hidden="1">'SAH-4 (Public)'!$A$1:$J$6</definedName>
    <definedName name="Z_2235C92F_DD1E_4ED1_9609_8BC4D468C69D_.wvu.PrintArea" localSheetId="4" hidden="1">'SAH-5 (Public)'!$A$1:$J$6</definedName>
    <definedName name="Z_2235C92F_DD1E_4ED1_9609_8BC4D468C69D_.wvu.PrintArea" localSheetId="5" hidden="1">'SAH-6 (Public)'!$A$1:$J$6</definedName>
    <definedName name="Z_2235C92F_DD1E_4ED1_9609_8BC4D468C69D_.wvu.PrintArea" localSheetId="6" hidden="1">'SAH-7 (Public)'!$A$1:$J$13</definedName>
    <definedName name="Z_2235C92F_DD1E_4ED1_9609_8BC4D468C69D_.wvu.PrintArea" localSheetId="8" hidden="1">'SAH-9 (Public)'!$A$1:$J$6</definedName>
    <definedName name="Z_2235C92F_DD1E_4ED1_9609_8BC4D468C69D_.wvu.PrintTitles" localSheetId="3" hidden="1">'SAH-4 (Public)'!$6:$6</definedName>
    <definedName name="Z_2235C92F_DD1E_4ED1_9609_8BC4D468C69D_.wvu.PrintTitles" localSheetId="4" hidden="1">'SAH-5 (Public)'!$6:$6</definedName>
    <definedName name="Z_2235C92F_DD1E_4ED1_9609_8BC4D468C69D_.wvu.PrintTitles" localSheetId="5" hidden="1">'SAH-6 (Public)'!$6:$6</definedName>
    <definedName name="Z_2235C92F_DD1E_4ED1_9609_8BC4D468C69D_.wvu.PrintTitles" localSheetId="8" hidden="1">'SAH-9 (Public)'!$6:$6</definedName>
    <definedName name="Z_23DB9FE0_C1F8_4D57_A420_5B73E2C85B43_.wvu.FilterData" localSheetId="6" hidden="1">'SAH-7 (Public)'!$A$6:$J$13</definedName>
    <definedName name="Z_24EE9676_E187_4E6C_96B7_DD3B0FEE3460_.wvu.FilterData" localSheetId="8" hidden="1">'SAH-9 (Public)'!$A$6:$J$6</definedName>
    <definedName name="Z_26776F4F_F427_455E_824B_BE114224AF4F_.wvu.FilterData" localSheetId="3" hidden="1">'SAH-4 (Public)'!$A$6:$N$6</definedName>
    <definedName name="Z_26776F4F_F427_455E_824B_BE114224AF4F_.wvu.FilterData" localSheetId="4" hidden="1">'SAH-5 (Public)'!$A$6:$J$6</definedName>
    <definedName name="Z_26776F4F_F427_455E_824B_BE114224AF4F_.wvu.FilterData" localSheetId="5" hidden="1">'SAH-6 (Public)'!$A$6:$J$6</definedName>
    <definedName name="Z_26776F4F_F427_455E_824B_BE114224AF4F_.wvu.FilterData" localSheetId="8" hidden="1">'SAH-9 (Public)'!$A$6:$J$6</definedName>
    <definedName name="Z_2690AC5B_A54A_4399_9FE2_C576648ED848_.wvu.FilterData" localSheetId="4" hidden="1">'SAH-5 (Public)'!$A$6:$J$6</definedName>
    <definedName name="Z_2690AC5B_A54A_4399_9FE2_C576648ED848_.wvu.FilterData" localSheetId="5" hidden="1">'SAH-6 (Public)'!$A$6:$J$6</definedName>
    <definedName name="Z_2732E87F_E95F_4AA4_8C76_40FF11AB8DF2_.wvu.FilterData" localSheetId="4" hidden="1">'SAH-5 (Public)'!$A$6:$J$6</definedName>
    <definedName name="Z_279E8210_E660_4B6E_844C_E5346D1AC4BC_.wvu.FilterData" localSheetId="8" hidden="1">'SAH-9 (Public)'!$A$6:$J$6</definedName>
    <definedName name="Z_2813ECE8_391D_4CEF_90CF_866EC5C5064D_.wvu.FilterData" localSheetId="4" hidden="1">'SAH-5 (Public)'!$A$6:$J$6</definedName>
    <definedName name="Z_28F1AA3F_1024_4746_9A8C_8197431783B2_.wvu.FilterData" localSheetId="3" hidden="1">'SAH-4 (Public)'!$A$6:$N$6</definedName>
    <definedName name="Z_29FCE202_2E87_4139_8BD5_8EF3D2CA1CB8_.wvu.FilterData" localSheetId="4" hidden="1">'SAH-5 (Public)'!$A$6:$J$6</definedName>
    <definedName name="Z_2C03EF3E_585E_47F4_9BD6_3772E907CA9D_.wvu.FilterData" localSheetId="8" hidden="1">'SAH-9 (Public)'!$A$6:$J$6</definedName>
    <definedName name="Z_2C38AC3A_EEA0_4E29_973A_4EB575FEFBE3_.wvu.FilterData" localSheetId="8" hidden="1">'SAH-9 (Public)'!$A$6:$J$6</definedName>
    <definedName name="Z_2CC5E55C_2315_4F1E_A43E_1D9CE6917947_.wvu.FilterData" localSheetId="8" hidden="1">'SAH-9 (Public)'!$A$6:$J$6</definedName>
    <definedName name="Z_2EB7FB84_E409_4C2B_BDB5_FAAEA63F95CE_.wvu.FilterData" localSheetId="8" hidden="1">'SAH-9 (Public)'!$A$6:$J$6</definedName>
    <definedName name="Z_2EB7FB84_E409_4C2B_BDB5_FAAEA63F95CE_.wvu.PrintArea" localSheetId="8" hidden="1">'SAH-9 (Public)'!$A$1:$J$6</definedName>
    <definedName name="Z_2EB7FB84_E409_4C2B_BDB5_FAAEA63F95CE_.wvu.PrintTitles" localSheetId="8" hidden="1">'SAH-9 (Public)'!$6:$6</definedName>
    <definedName name="Z_31D7A05D_A11D_4D4C_B658_A829E0DAC46F_.wvu.Cols" localSheetId="3" hidden="1">'SAH-4 (Public)'!#REF!,'SAH-4 (Public)'!#REF!</definedName>
    <definedName name="Z_31D7A05D_A11D_4D4C_B658_A829E0DAC46F_.wvu.FilterData" localSheetId="3" hidden="1">'SAH-4 (Public)'!$A$6:$J$6</definedName>
    <definedName name="Z_31D7A05D_A11D_4D4C_B658_A829E0DAC46F_.wvu.PrintTitles" localSheetId="3" hidden="1">'SAH-4 (Public)'!$6:$6</definedName>
    <definedName name="Z_325406FD_0561_4495_B04B_D984FEE2879E_.wvu.FilterData" localSheetId="3" hidden="1">'SAH-4 (Public)'!$A$6:$N$6</definedName>
    <definedName name="Z_33398FA9_1A05_4846_A9B8_AD93FAAE6863_.wvu.FilterData" localSheetId="8" hidden="1">'SAH-9 (Public)'!$A$6:$G$6</definedName>
    <definedName name="Z_33398FA9_1A05_4846_A9B8_AD93FAAE6863_.wvu.PrintArea" localSheetId="8" hidden="1">'SAH-9 (Public)'!$A$1:$G$6</definedName>
    <definedName name="Z_33398FA9_1A05_4846_A9B8_AD93FAAE6863_.wvu.PrintTitles" localSheetId="8" hidden="1">'SAH-9 (Public)'!$1:$6</definedName>
    <definedName name="Z_34A40626_D559_4F55_BF73_C5208F7CD5A6_.wvu.Cols" localSheetId="3" hidden="1">'SAH-4 (Public)'!#REF!,'SAH-4 (Public)'!#REF!,'SAH-4 (Public)'!#REF!</definedName>
    <definedName name="Z_34A40626_D559_4F55_BF73_C5208F7CD5A6_.wvu.Cols" localSheetId="4" hidden="1">'SAH-5 (Public)'!#REF!,'SAH-5 (Public)'!#REF!,'SAH-5 (Public)'!#REF!,'SAH-5 (Public)'!#REF!</definedName>
    <definedName name="Z_34A40626_D559_4F55_BF73_C5208F7CD5A6_.wvu.Cols" localSheetId="5" hidden="1">'SAH-6 (Public)'!#REF!,'SAH-6 (Public)'!#REF!,'SAH-6 (Public)'!#REF!,'SAH-6 (Public)'!#REF!,'SAH-6 (Public)'!#REF!,'SAH-6 (Public)'!#REF!,'SAH-6 (Public)'!#REF!</definedName>
    <definedName name="Z_34A40626_D559_4F55_BF73_C5208F7CD5A6_.wvu.Cols" localSheetId="8" hidden="1">'SAH-9 (Public)'!#REF!,'SAH-9 (Public)'!#REF!,'SAH-9 (Public)'!#REF!,'SAH-9 (Public)'!#REF!,'SAH-9 (Public)'!#REF!,'SAH-9 (Public)'!#REF!</definedName>
    <definedName name="Z_34A40626_D559_4F55_BF73_C5208F7CD5A6_.wvu.FilterData" localSheetId="3" hidden="1">'SAH-4 (Public)'!$A$6:$N$6</definedName>
    <definedName name="Z_34A40626_D559_4F55_BF73_C5208F7CD5A6_.wvu.FilterData" localSheetId="4" hidden="1">'SAH-5 (Public)'!$A$6:$J$6</definedName>
    <definedName name="Z_34A40626_D559_4F55_BF73_C5208F7CD5A6_.wvu.FilterData" localSheetId="5" hidden="1">'SAH-6 (Public)'!$A$6:$J$6</definedName>
    <definedName name="Z_34A40626_D559_4F55_BF73_C5208F7CD5A6_.wvu.FilterData" localSheetId="8" hidden="1">'SAH-9 (Public)'!$A$6:$J$6</definedName>
    <definedName name="Z_34A40626_D559_4F55_BF73_C5208F7CD5A6_.wvu.PrintTitles" localSheetId="3" hidden="1">'SAH-4 (Public)'!$6:$6</definedName>
    <definedName name="Z_34A40626_D559_4F55_BF73_C5208F7CD5A6_.wvu.PrintTitles" localSheetId="4" hidden="1">'SAH-5 (Public)'!$6:$6</definedName>
    <definedName name="Z_34A40626_D559_4F55_BF73_C5208F7CD5A6_.wvu.PrintTitles" localSheetId="5" hidden="1">'SAH-6 (Public)'!$6:$6</definedName>
    <definedName name="Z_34A40626_D559_4F55_BF73_C5208F7CD5A6_.wvu.PrintTitles" localSheetId="8" hidden="1">'SAH-9 (Public)'!$6:$6</definedName>
    <definedName name="Z_34DC824A_B95F_4D02_B3C5_59B4B63E2C58_.wvu.FilterData" localSheetId="4" hidden="1">'SAH-5 (Public)'!$A$6:$J$6</definedName>
    <definedName name="Z_38D73177_5F55_4EAF_A57A_CB16DFBE7570_.wvu.FilterData" localSheetId="6" hidden="1">'SAH-7 (Public)'!$A$6:$J$13</definedName>
    <definedName name="Z_38D73177_5F55_4EAF_A57A_CB16DFBE7570_.wvu.PrintTitles" localSheetId="6" hidden="1">'SAH-7 (Public)'!$6:$6</definedName>
    <definedName name="Z_3905A457_5FB7_4EC5_8982_1C1ACF61DDA1_.wvu.FilterData" localSheetId="8" hidden="1">'SAH-9 (Public)'!$A$6:$J$6</definedName>
    <definedName name="Z_3905A457_5FB7_4EC5_8982_1C1ACF61DDA1_.wvu.PrintArea" localSheetId="8" hidden="1">'SAH-9 (Public)'!$A$1:$J$6</definedName>
    <definedName name="Z_3905A457_5FB7_4EC5_8982_1C1ACF61DDA1_.wvu.PrintTitles" localSheetId="8" hidden="1">'SAH-9 (Public)'!$6:$6</definedName>
    <definedName name="Z_39535C29_2EF6_4B46_993A_FD1317B4D321_.wvu.Cols" localSheetId="4" hidden="1">'SAH-5 (Public)'!#REF!</definedName>
    <definedName name="Z_39535C29_2EF6_4B46_993A_FD1317B4D321_.wvu.Cols" localSheetId="8" hidden="1">'SAH-9 (Public)'!#REF!</definedName>
    <definedName name="Z_39535C29_2EF6_4B46_993A_FD1317B4D321_.wvu.FilterData" localSheetId="4" hidden="1">'SAH-5 (Public)'!$A$6:$J$6</definedName>
    <definedName name="Z_39535C29_2EF6_4B46_993A_FD1317B4D321_.wvu.FilterData" localSheetId="8" hidden="1">'SAH-9 (Public)'!$A$6:$J$6</definedName>
    <definedName name="Z_39535C29_2EF6_4B46_993A_FD1317B4D321_.wvu.PrintTitles" localSheetId="4" hidden="1">'SAH-5 (Public)'!$6:$6</definedName>
    <definedName name="Z_39535C29_2EF6_4B46_993A_FD1317B4D321_.wvu.PrintTitles" localSheetId="8" hidden="1">'SAH-9 (Public)'!$6:$6</definedName>
    <definedName name="Z_39EBF744_FFB2_4731_8935_3C96420BFFD8_.wvu.FilterData" localSheetId="3" hidden="1">'SAH-4 (Public)'!$A$6:$J$6</definedName>
    <definedName name="Z_3AA4244B_F7CB_4E55_8D93_D0B0A0E55662_.wvu.FilterData" localSheetId="3" hidden="1">'SAH-4 (Public)'!$A$6:$N$6</definedName>
    <definedName name="Z_3AA4244B_F7CB_4E55_8D93_D0B0A0E55662_.wvu.FilterData" localSheetId="4" hidden="1">'SAH-5 (Public)'!$A$6:$J$6</definedName>
    <definedName name="Z_3B3F4A5F_B455_4CF5_8679_6013A0D47E00_.wvu.FilterData" localSheetId="3" hidden="1">'SAH-4 (Public)'!$A$6:$J$6</definedName>
    <definedName name="Z_3BC1366A_6B60_4276_B823_F6635659B00E_.wvu.Cols" localSheetId="4" hidden="1">'SAH-5 (Public)'!#REF!</definedName>
    <definedName name="Z_3BC1366A_6B60_4276_B823_F6635659B00E_.wvu.Cols" localSheetId="8" hidden="1">'SAH-9 (Public)'!#REF!</definedName>
    <definedName name="Z_3BC1366A_6B60_4276_B823_F6635659B00E_.wvu.FilterData" localSheetId="3" hidden="1">'SAH-4 (Public)'!$A$1:$J$6</definedName>
    <definedName name="Z_3BC1366A_6B60_4276_B823_F6635659B00E_.wvu.FilterData" localSheetId="4" hidden="1">'SAH-5 (Public)'!$A$6:$J$6</definedName>
    <definedName name="Z_3BC1366A_6B60_4276_B823_F6635659B00E_.wvu.FilterData" localSheetId="5" hidden="1">'SAH-6 (Public)'!$A$6:$J$6</definedName>
    <definedName name="Z_3BC1366A_6B60_4276_B823_F6635659B00E_.wvu.FilterData" localSheetId="8" hidden="1">'SAH-9 (Public)'!$A$6:$J$6</definedName>
    <definedName name="Z_3BC1366A_6B60_4276_B823_F6635659B00E_.wvu.PrintArea" localSheetId="3" hidden="1">'SAH-4 (Public)'!$A$1:$J$6</definedName>
    <definedName name="Z_3BC1366A_6B60_4276_B823_F6635659B00E_.wvu.PrintArea" localSheetId="4" hidden="1">'SAH-5 (Public)'!$A$1:$J$6</definedName>
    <definedName name="Z_3BC1366A_6B60_4276_B823_F6635659B00E_.wvu.PrintArea" localSheetId="5" hidden="1">'SAH-6 (Public)'!$A$1:$J$6</definedName>
    <definedName name="Z_3BC1366A_6B60_4276_B823_F6635659B00E_.wvu.PrintArea" localSheetId="8" hidden="1">'SAH-9 (Public)'!$A$1:$J$6</definedName>
    <definedName name="Z_3BC1366A_6B60_4276_B823_F6635659B00E_.wvu.PrintTitles" localSheetId="3" hidden="1">'SAH-4 (Public)'!$6:$6</definedName>
    <definedName name="Z_3BC1366A_6B60_4276_B823_F6635659B00E_.wvu.PrintTitles" localSheetId="4" hidden="1">'SAH-5 (Public)'!$6:$6</definedName>
    <definedName name="Z_3BC1366A_6B60_4276_B823_F6635659B00E_.wvu.PrintTitles" localSheetId="5" hidden="1">'SAH-6 (Public)'!$6:$6</definedName>
    <definedName name="Z_3BC1366A_6B60_4276_B823_F6635659B00E_.wvu.PrintTitles" localSheetId="8" hidden="1">'SAH-9 (Public)'!$6:$6</definedName>
    <definedName name="Z_3DE42F13_C86E_4D66_BC32_FC1EA2297756_.wvu.FilterData" localSheetId="5" hidden="1">'SAH-6 (Public)'!$A$6:$J$6</definedName>
    <definedName name="Z_3DE42F13_C86E_4D66_BC32_FC1EA2297756_.wvu.PrintArea" localSheetId="5" hidden="1">'SAH-6 (Public)'!$A$1:$J$6</definedName>
    <definedName name="Z_3DE42F13_C86E_4D66_BC32_FC1EA2297756_.wvu.PrintTitles" localSheetId="5" hidden="1">'SAH-6 (Public)'!$6:$6</definedName>
    <definedName name="Z_3F2219E0_4E30_4AB6_8A80_C006CD671F15_.wvu.FilterData" localSheetId="3" hidden="1">'SAH-4 (Public)'!$A$6:$N$6</definedName>
    <definedName name="Z_3F2219E0_4E30_4AB6_8A80_C006CD671F15_.wvu.FilterData" localSheetId="8" hidden="1">'SAH-9 (Public)'!$A$6:$J$6</definedName>
    <definedName name="Z_3F7613E3_4490_458B_8EF9_4848DB53D901_.wvu.FilterData" localSheetId="8" hidden="1">'SAH-9 (Public)'!$A$6:$J$6</definedName>
    <definedName name="Z_3F7613E3_4490_458B_8EF9_4848DB53D901_.wvu.PrintArea" localSheetId="8" hidden="1">'SAH-9 (Public)'!$A$1:$J$6</definedName>
    <definedName name="Z_3F7613E3_4490_458B_8EF9_4848DB53D901_.wvu.PrintTitles" localSheetId="8" hidden="1">'SAH-9 (Public)'!$6:$6</definedName>
    <definedName name="Z_40FF16D3_5370_4BD9_869B_3AC7AC7C7973_.wvu.Cols" localSheetId="5" hidden="1">'SAH-6 (Public)'!#REF!,'SAH-6 (Public)'!#REF!,'SAH-6 (Public)'!#REF!</definedName>
    <definedName name="Z_40FF16D3_5370_4BD9_869B_3AC7AC7C7973_.wvu.FilterData" localSheetId="5" hidden="1">'SAH-6 (Public)'!$A$6:$J$6</definedName>
    <definedName name="Z_40FF16D3_5370_4BD9_869B_3AC7AC7C7973_.wvu.PrintTitles" localSheetId="5" hidden="1">'SAH-6 (Public)'!$6:$6</definedName>
    <definedName name="Z_416E3A4E_D9CB_4A24_A32D_8C09D2B6C996_.wvu.Cols" localSheetId="5" hidden="1">'SAH-6 (Public)'!#REF!</definedName>
    <definedName name="Z_416E3A4E_D9CB_4A24_A32D_8C09D2B6C996_.wvu.FilterData" localSheetId="5" hidden="1">'SAH-6 (Public)'!$A$6:$J$6</definedName>
    <definedName name="Z_416E3A4E_D9CB_4A24_A32D_8C09D2B6C996_.wvu.PrintTitles" localSheetId="5" hidden="1">'SAH-6 (Public)'!$6:$6</definedName>
    <definedName name="Z_42AD495D_1294_477D_83B9_AD3C30E8DD92_.wvu.FilterData" localSheetId="3" hidden="1">'SAH-4 (Public)'!$A$6:$J$6</definedName>
    <definedName name="Z_42AD495D_1294_477D_83B9_AD3C30E8DD92_.wvu.FilterData" localSheetId="4" hidden="1">'SAH-5 (Public)'!$A$6:$J$6</definedName>
    <definedName name="Z_42AD495D_1294_477D_83B9_AD3C30E8DD92_.wvu.FilterData" localSheetId="5" hidden="1">'SAH-6 (Public)'!$A$6:$J$6</definedName>
    <definedName name="Z_42AD495D_1294_477D_83B9_AD3C30E8DD92_.wvu.FilterData" localSheetId="8" hidden="1">'SAH-9 (Public)'!$A$6:$J$6</definedName>
    <definedName name="Z_42DFC3B5_518B_46CF_B351_7E0F9F9E4427_.wvu.FilterData" localSheetId="3" hidden="1">'SAH-4 (Public)'!$A$6:$J$6</definedName>
    <definedName name="Z_4328C827_DD95_4AED_B5C7_E7E6F0782DA8_.wvu.FilterData" localSheetId="3" hidden="1">'SAH-4 (Public)'!$A$6:$N$6</definedName>
    <definedName name="Z_4328C827_DD95_4AED_B5C7_E7E6F0782DA8_.wvu.FilterData" localSheetId="4" hidden="1">'SAH-5 (Public)'!$A$6:$J$6</definedName>
    <definedName name="Z_4328C827_DD95_4AED_B5C7_E7E6F0782DA8_.wvu.FilterData" localSheetId="8" hidden="1">'SAH-9 (Public)'!$A$6:$CC$6</definedName>
    <definedName name="Z_47B1A8EE_71FB_432D_9F9B_41E9871531AB_.wvu.Cols" localSheetId="3" hidden="1">'SAH-4 (Public)'!#REF!</definedName>
    <definedName name="Z_47B1A8EE_71FB_432D_9F9B_41E9871531AB_.wvu.Cols" localSheetId="4" hidden="1">'SAH-5 (Public)'!#REF!</definedName>
    <definedName name="Z_47B1A8EE_71FB_432D_9F9B_41E9871531AB_.wvu.Cols" localSheetId="5" hidden="1">'SAH-6 (Public)'!#REF!</definedName>
    <definedName name="Z_47B1A8EE_71FB_432D_9F9B_41E9871531AB_.wvu.FilterData" localSheetId="3" hidden="1">'SAH-4 (Public)'!$A$6:$J$6</definedName>
    <definedName name="Z_47B1A8EE_71FB_432D_9F9B_41E9871531AB_.wvu.FilterData" localSheetId="4" hidden="1">'SAH-5 (Public)'!$A$6:$J$6</definedName>
    <definedName name="Z_47B1A8EE_71FB_432D_9F9B_41E9871531AB_.wvu.FilterData" localSheetId="5" hidden="1">'SAH-6 (Public)'!$A$6:$J$6</definedName>
    <definedName name="Z_47B1A8EE_71FB_432D_9F9B_41E9871531AB_.wvu.FilterData" localSheetId="8" hidden="1">'SAH-9 (Public)'!$A$6:$J$6</definedName>
    <definedName name="Z_47B1A8EE_71FB_432D_9F9B_41E9871531AB_.wvu.PrintTitles" localSheetId="3" hidden="1">'SAH-4 (Public)'!$6:$6</definedName>
    <definedName name="Z_47B1A8EE_71FB_432D_9F9B_41E9871531AB_.wvu.PrintTitles" localSheetId="4" hidden="1">'SAH-5 (Public)'!$6:$6</definedName>
    <definedName name="Z_47B1A8EE_71FB_432D_9F9B_41E9871531AB_.wvu.PrintTitles" localSheetId="5" hidden="1">'SAH-6 (Public)'!$6:$6</definedName>
    <definedName name="Z_47B1A8EE_71FB_432D_9F9B_41E9871531AB_.wvu.PrintTitles" localSheetId="8" hidden="1">'SAH-9 (Public)'!$6:$6</definedName>
    <definedName name="Z_491342C4_7AFF_4B4F_BBDC_FEF0E69AD3EF_.wvu.FilterData" localSheetId="8" hidden="1">'SAH-9 (Public)'!$A$6:$J$6</definedName>
    <definedName name="Z_496356D4_C33F_4A1C_A0FD_4A1CDC7C48BF_.wvu.FilterData" localSheetId="6" hidden="1">'SAH-7 (Public)'!$A$6:$J$13</definedName>
    <definedName name="Z_49A1F562_06EE_4E6A_82AF_225ADC26FE9A_.wvu.FilterData" localSheetId="3" hidden="1">'SAH-4 (Public)'!$A$6:$N$6</definedName>
    <definedName name="Z_49A1F562_06EE_4E6A_82AF_225ADC26FE9A_.wvu.PrintArea" localSheetId="3" hidden="1">'SAH-4 (Public)'!$A$1:$J$6</definedName>
    <definedName name="Z_49A1F562_06EE_4E6A_82AF_225ADC26FE9A_.wvu.PrintTitles" localSheetId="3" hidden="1">'SAH-4 (Public)'!$6:$6</definedName>
    <definedName name="Z_4A7D05B1_B370_4335_AC88_681A48C44430_.wvu.FilterData" localSheetId="3" hidden="1">'SAH-4 (Public)'!$A$6:$N$6</definedName>
    <definedName name="Z_4AE95D0F_F25C_4E78_B8DF_B1133D020B7D_.wvu.FilterData" localSheetId="4" hidden="1">'SAH-5 (Public)'!$A$6:$J$6</definedName>
    <definedName name="Z_4AEC94B3_A4FD_43E9_88BD_4142D0F2FD20_.wvu.FilterData" localSheetId="3" hidden="1">'SAH-4 (Public)'!$A$6:$J$6</definedName>
    <definedName name="Z_4AEC94B3_A4FD_43E9_88BD_4142D0F2FD20_.wvu.FilterData" localSheetId="4" hidden="1">'SAH-5 (Public)'!$A$6:$J$6</definedName>
    <definedName name="Z_4AEC94B3_A4FD_43E9_88BD_4142D0F2FD20_.wvu.FilterData" localSheetId="5" hidden="1">'SAH-6 (Public)'!$A$6:$J$6</definedName>
    <definedName name="Z_4AEC94B3_A4FD_43E9_88BD_4142D0F2FD20_.wvu.FilterData" localSheetId="8" hidden="1">'SAH-9 (Public)'!$A$6:$J$6</definedName>
    <definedName name="Z_4AEC94B3_A4FD_43E9_88BD_4142D0F2FD20_.wvu.PrintArea" localSheetId="3" hidden="1">'SAH-4 (Public)'!$A$1:$J$6</definedName>
    <definedName name="Z_4AEC94B3_A4FD_43E9_88BD_4142D0F2FD20_.wvu.PrintArea" localSheetId="4" hidden="1">'SAH-5 (Public)'!$A$1:$J$6</definedName>
    <definedName name="Z_4AEC94B3_A4FD_43E9_88BD_4142D0F2FD20_.wvu.PrintArea" localSheetId="5" hidden="1">'SAH-6 (Public)'!$A$1:$J$6</definedName>
    <definedName name="Z_4AEC94B3_A4FD_43E9_88BD_4142D0F2FD20_.wvu.PrintArea" localSheetId="8" hidden="1">'SAH-9 (Public)'!$A$1:$J$6</definedName>
    <definedName name="Z_4AEC94B3_A4FD_43E9_88BD_4142D0F2FD20_.wvu.PrintTitles" localSheetId="3" hidden="1">'SAH-4 (Public)'!$6:$6</definedName>
    <definedName name="Z_4AEC94B3_A4FD_43E9_88BD_4142D0F2FD20_.wvu.PrintTitles" localSheetId="4" hidden="1">'SAH-5 (Public)'!$6:$6</definedName>
    <definedName name="Z_4AEC94B3_A4FD_43E9_88BD_4142D0F2FD20_.wvu.PrintTitles" localSheetId="5" hidden="1">'SAH-6 (Public)'!$6:$6</definedName>
    <definedName name="Z_4AEC94B3_A4FD_43E9_88BD_4142D0F2FD20_.wvu.PrintTitles" localSheetId="8" hidden="1">'SAH-9 (Public)'!$6:$6</definedName>
    <definedName name="Z_4B41C1CD_F07F_4533_9B7A_59195446E590_.wvu.Cols" localSheetId="4" hidden="1">'SAH-5 (Public)'!#REF!,'SAH-5 (Public)'!#REF!</definedName>
    <definedName name="Z_4B41C1CD_F07F_4533_9B7A_59195446E590_.wvu.FilterData" localSheetId="3" hidden="1">'SAH-4 (Public)'!$A$6:$N$6</definedName>
    <definedName name="Z_4B41C1CD_F07F_4533_9B7A_59195446E590_.wvu.FilterData" localSheetId="4" hidden="1">'SAH-5 (Public)'!$A$6:$J$6</definedName>
    <definedName name="Z_4B41C1CD_F07F_4533_9B7A_59195446E590_.wvu.FilterData" localSheetId="5" hidden="1">'SAH-6 (Public)'!$A$6:$J$6</definedName>
    <definedName name="Z_4B41C1CD_F07F_4533_9B7A_59195446E590_.wvu.FilterData" localSheetId="8" hidden="1">'SAH-9 (Public)'!$A$6:$J$6</definedName>
    <definedName name="Z_4B41C1CD_F07F_4533_9B7A_59195446E590_.wvu.PrintTitles" localSheetId="3" hidden="1">'SAH-4 (Public)'!$6:$6</definedName>
    <definedName name="Z_4B41C1CD_F07F_4533_9B7A_59195446E590_.wvu.PrintTitles" localSheetId="4" hidden="1">'SAH-5 (Public)'!$6:$6</definedName>
    <definedName name="Z_4B41C1CD_F07F_4533_9B7A_59195446E590_.wvu.PrintTitles" localSheetId="5" hidden="1">'SAH-6 (Public)'!$6:$6</definedName>
    <definedName name="Z_4B41C1CD_F07F_4533_9B7A_59195446E590_.wvu.PrintTitles" localSheetId="8" hidden="1">'SAH-9 (Public)'!$6:$6</definedName>
    <definedName name="Z_4C97EE90_CEE8_440E_B4ED_7E053EB4F8B6_.wvu.Cols" localSheetId="6" hidden="1">'SAH-7 (Public)'!#REF!</definedName>
    <definedName name="Z_4C97EE90_CEE8_440E_B4ED_7E053EB4F8B6_.wvu.FilterData" localSheetId="6" hidden="1">'SAH-7 (Public)'!$A$6:$J$6</definedName>
    <definedName name="Z_4C97EE90_CEE8_440E_B4ED_7E053EB4F8B6_.wvu.PrintTitles" localSheetId="6" hidden="1">'SAH-7 (Public)'!$6:$6</definedName>
    <definedName name="Z_4CD1D943_0D47_49DB_A6EB_0B6220D7AB64_.wvu.FilterData" localSheetId="6" hidden="1">'SAH-7 (Public)'!$A$6:$J$13</definedName>
    <definedName name="Z_4CD1D943_0D47_49DB_A6EB_0B6220D7AB64_.wvu.PrintTitles" localSheetId="6" hidden="1">'SAH-7 (Public)'!$6:$6</definedName>
    <definedName name="Z_4E03F492_E629_43CE_8130_D9510B13D749_.wvu.FilterData" localSheetId="8" hidden="1">'SAH-9 (Public)'!$A$6:$J$6</definedName>
    <definedName name="Z_4E03F492_E629_43CE_8130_D9510B13D749_.wvu.PrintArea" localSheetId="8" hidden="1">'SAH-9 (Public)'!$A$1:$J$6</definedName>
    <definedName name="Z_4E03F492_E629_43CE_8130_D9510B13D749_.wvu.PrintTitles" localSheetId="8" hidden="1">'SAH-9 (Public)'!$6:$6</definedName>
    <definedName name="Z_4E0E16F6_3A93_4C29_B093_177ED25BCC64_.wvu.FilterData" localSheetId="4" hidden="1">'SAH-5 (Public)'!$A$6:$J$6</definedName>
    <definedName name="Z_4E2F8B17_5A79_45F5_9039_CAB5008EDA35_.wvu.FilterData" localSheetId="4" hidden="1">'SAH-5 (Public)'!$A$6:$J$6</definedName>
    <definedName name="Z_4E2F8B17_5A79_45F5_9039_CAB5008EDA35_.wvu.FilterData" localSheetId="5" hidden="1">'SAH-6 (Public)'!$A$6:$J$6</definedName>
    <definedName name="Z_4E33128F_9CDA_45AE_BB6D_677B9C23F246_.wvu.FilterData" localSheetId="3" hidden="1">'SAH-4 (Public)'!$A$6:$N$6</definedName>
    <definedName name="Z_4E6FAB50_7FD9_4C68_BAE3_78372CDBB367_.wvu.FilterData" localSheetId="4" hidden="1">'SAH-5 (Public)'!$A$6:$J$6</definedName>
    <definedName name="Z_4EA3662A_87BE_463E_97FF_183233687E4D_.wvu.FilterData" localSheetId="3" hidden="1">'SAH-4 (Public)'!$A$6:$N$6</definedName>
    <definedName name="Z_4EA3662A_87BE_463E_97FF_183233687E4D_.wvu.FilterData" localSheetId="4" hidden="1">'SAH-5 (Public)'!$A$6:$J$6</definedName>
    <definedName name="Z_4EA3662A_87BE_463E_97FF_183233687E4D_.wvu.FilterData" localSheetId="5" hidden="1">'SAH-6 (Public)'!$A$6:$J$6</definedName>
    <definedName name="Z_4EA3662A_87BE_463E_97FF_183233687E4D_.wvu.FilterData" localSheetId="6" hidden="1">'SAH-7 (Public)'!$A$6:$J$11</definedName>
    <definedName name="Z_4EA3662A_87BE_463E_97FF_183233687E4D_.wvu.FilterData" localSheetId="8" hidden="1">'SAH-9 (Public)'!$A$6:$CC$6</definedName>
    <definedName name="Z_4EA3662A_87BE_463E_97FF_183233687E4D_.wvu.PrintArea" localSheetId="4" hidden="1">'SAH-5 (Public)'!$A$1:$J$6</definedName>
    <definedName name="Z_4EA3662A_87BE_463E_97FF_183233687E4D_.wvu.PrintArea" localSheetId="5" hidden="1">'SAH-6 (Public)'!$A$1:$J$6</definedName>
    <definedName name="Z_4EA3662A_87BE_463E_97FF_183233687E4D_.wvu.PrintArea" localSheetId="8" hidden="1">'SAH-9 (Public)'!$A$1:$J$6</definedName>
    <definedName name="Z_4EA3662A_87BE_463E_97FF_183233687E4D_.wvu.PrintTitles" localSheetId="3" hidden="1">'SAH-4 (Public)'!$1:$6</definedName>
    <definedName name="Z_4EA3662A_87BE_463E_97FF_183233687E4D_.wvu.PrintTitles" localSheetId="4" hidden="1">'SAH-5 (Public)'!$1:$6</definedName>
    <definedName name="Z_4EA3662A_87BE_463E_97FF_183233687E4D_.wvu.PrintTitles" localSheetId="5" hidden="1">'SAH-6 (Public)'!$1:$6</definedName>
    <definedName name="Z_4EA3662A_87BE_463E_97FF_183233687E4D_.wvu.PrintTitles" localSheetId="6" hidden="1">'SAH-7 (Public)'!$1:$6</definedName>
    <definedName name="Z_4EA3662A_87BE_463E_97FF_183233687E4D_.wvu.PrintTitles" localSheetId="8" hidden="1">'SAH-9 (Public)'!$1:$6</definedName>
    <definedName name="Z_4EBA9AA4_CDD8_44D7_8C3F_D06F3DF1ADEB_.wvu.FilterData" localSheetId="8" hidden="1">'SAH-9 (Public)'!$A$6:$J$6</definedName>
    <definedName name="Z_4EBA9AA4_CDD8_44D7_8C3F_D06F3DF1ADEB_.wvu.PrintArea" localSheetId="8" hidden="1">'SAH-9 (Public)'!$A$1:$J$6</definedName>
    <definedName name="Z_4EBA9AA4_CDD8_44D7_8C3F_D06F3DF1ADEB_.wvu.PrintTitles" localSheetId="8" hidden="1">'SAH-9 (Public)'!$6:$6</definedName>
    <definedName name="Z_4F4330B7_AFBC_4176_84CD_B71DD7D5224B_.wvu.FilterData" localSheetId="3" hidden="1">'SAH-4 (Public)'!$A$6:$J$6</definedName>
    <definedName name="Z_4F4330B7_AFBC_4176_84CD_B71DD7D5224B_.wvu.FilterData" localSheetId="4" hidden="1">'SAH-5 (Public)'!$A$6:$J$6</definedName>
    <definedName name="Z_4F4330B7_AFBC_4176_84CD_B71DD7D5224B_.wvu.FilterData" localSheetId="5" hidden="1">'SAH-6 (Public)'!$A$6:$J$6</definedName>
    <definedName name="Z_4F4330B7_AFBC_4176_84CD_B71DD7D5224B_.wvu.FilterData" localSheetId="6" hidden="1">'SAH-7 (Public)'!$A$6:$J$13</definedName>
    <definedName name="Z_4F4330B7_AFBC_4176_84CD_B71DD7D5224B_.wvu.FilterData" localSheetId="8" hidden="1">'SAH-9 (Public)'!$A$6:$J$6</definedName>
    <definedName name="Z_4F4330B7_AFBC_4176_84CD_B71DD7D5224B_.wvu.PrintArea" localSheetId="3" hidden="1">'SAH-4 (Public)'!$A$1:$J$6</definedName>
    <definedName name="Z_4F4330B7_AFBC_4176_84CD_B71DD7D5224B_.wvu.PrintArea" localSheetId="4" hidden="1">'SAH-5 (Public)'!$A$1:$J$6</definedName>
    <definedName name="Z_4F4330B7_AFBC_4176_84CD_B71DD7D5224B_.wvu.PrintArea" localSheetId="5" hidden="1">'SAH-6 (Public)'!$A$1:$J$6</definedName>
    <definedName name="Z_4F4330B7_AFBC_4176_84CD_B71DD7D5224B_.wvu.PrintArea" localSheetId="6" hidden="1">'SAH-7 (Public)'!$A$1:$J$13</definedName>
    <definedName name="Z_4F4330B7_AFBC_4176_84CD_B71DD7D5224B_.wvu.PrintArea" localSheetId="8" hidden="1">'SAH-9 (Public)'!$A$1:$J$6</definedName>
    <definedName name="Z_4F4330B7_AFBC_4176_84CD_B71DD7D5224B_.wvu.PrintTitles" localSheetId="3" hidden="1">'SAH-4 (Public)'!$6:$6</definedName>
    <definedName name="Z_4F4330B7_AFBC_4176_84CD_B71DD7D5224B_.wvu.PrintTitles" localSheetId="4" hidden="1">'SAH-5 (Public)'!$6:$6</definedName>
    <definedName name="Z_4F4330B7_AFBC_4176_84CD_B71DD7D5224B_.wvu.PrintTitles" localSheetId="5" hidden="1">'SAH-6 (Public)'!$6:$6</definedName>
    <definedName name="Z_4F4330B7_AFBC_4176_84CD_B71DD7D5224B_.wvu.PrintTitles" localSheetId="8" hidden="1">'SAH-9 (Public)'!$6:$6</definedName>
    <definedName name="Z_4FD09128_756F_4711_8714_5EECF2F94970_.wvu.FilterData" localSheetId="3" hidden="1">'SAH-4 (Public)'!$A$6:$J$6</definedName>
    <definedName name="Z_528713A7_3AA3_4738_BD5C_89A4A359A32E_.wvu.FilterData" localSheetId="8" hidden="1">'SAH-9 (Public)'!$A$6:$J$6</definedName>
    <definedName name="Z_528713A7_3AA3_4738_BD5C_89A4A359A32E_.wvu.PrintArea" localSheetId="8" hidden="1">'SAH-9 (Public)'!$A$1:$J$6</definedName>
    <definedName name="Z_528713A7_3AA3_4738_BD5C_89A4A359A32E_.wvu.PrintTitles" localSheetId="8" hidden="1">'SAH-9 (Public)'!$6:$6</definedName>
    <definedName name="Z_53BC9E0D_E894_41B5_B012_266354BC623E_.wvu.FilterData" localSheetId="3" hidden="1">'SAH-4 (Public)'!$A$6:$J$6</definedName>
    <definedName name="Z_545B6BB0_A4E7_4601_BB03_314760B2909E_.wvu.Cols" localSheetId="8" hidden="1">'SAH-9 (Public)'!#REF!</definedName>
    <definedName name="Z_545B6BB0_A4E7_4601_BB03_314760B2909E_.wvu.FilterData" localSheetId="3" hidden="1">'SAH-4 (Public)'!$A$6:$J$6</definedName>
    <definedName name="Z_545B6BB0_A4E7_4601_BB03_314760B2909E_.wvu.FilterData" localSheetId="4" hidden="1">'SAH-5 (Public)'!$A$6:$J$6</definedName>
    <definedName name="Z_545B6BB0_A4E7_4601_BB03_314760B2909E_.wvu.FilterData" localSheetId="5" hidden="1">'SAH-6 (Public)'!$A$6:$J$6</definedName>
    <definedName name="Z_545B6BB0_A4E7_4601_BB03_314760B2909E_.wvu.FilterData" localSheetId="8" hidden="1">'SAH-9 (Public)'!$A$6:$J$6</definedName>
    <definedName name="Z_545B6BB0_A4E7_4601_BB03_314760B2909E_.wvu.PrintTitles" localSheetId="3" hidden="1">'SAH-4 (Public)'!$6:$6</definedName>
    <definedName name="Z_545B6BB0_A4E7_4601_BB03_314760B2909E_.wvu.PrintTitles" localSheetId="4" hidden="1">'SAH-5 (Public)'!$6:$6</definedName>
    <definedName name="Z_545B6BB0_A4E7_4601_BB03_314760B2909E_.wvu.PrintTitles" localSheetId="5" hidden="1">'SAH-6 (Public)'!$6:$6</definedName>
    <definedName name="Z_545B6BB0_A4E7_4601_BB03_314760B2909E_.wvu.PrintTitles" localSheetId="8" hidden="1">'SAH-9 (Public)'!$6:$6</definedName>
    <definedName name="Z_55A66B76_666E_4973_9011_CF283A4D6CDA_.wvu.FilterData" localSheetId="4" hidden="1">'SAH-5 (Public)'!$A$6:$J$6</definedName>
    <definedName name="Z_55A66B76_666E_4973_9011_CF283A4D6CDA_.wvu.FilterData" localSheetId="8" hidden="1">'SAH-9 (Public)'!$A$6:$J$6</definedName>
    <definedName name="Z_57DEB679_D232_4D8B_9116_BE9DC98BE2E6_.wvu.FilterData" localSheetId="8" hidden="1">'SAH-9 (Public)'!$A$6:$J$6</definedName>
    <definedName name="Z_587A72AE_2DAD_48E2_813D_5D21E7E49156_.wvu.FilterData" localSheetId="4" hidden="1">'SAH-5 (Public)'!$A$6:$J$6</definedName>
    <definedName name="Z_5A3E0DAA_06EB_48B4_B979_69F5354CD8B7_.wvu.FilterData" localSheetId="4" hidden="1">'SAH-5 (Public)'!$A$6:$J$6</definedName>
    <definedName name="Z_5AC5FFD0_B06C_4290_BD74_9AA1AAB6BF3F_.wvu.FilterData" localSheetId="3" hidden="1">'SAH-4 (Public)'!$A$6:$N$6</definedName>
    <definedName name="Z_5D2F6EC3_8E96_4FAA_94F8_D44554D6DBD9_.wvu.FilterData" localSheetId="8" hidden="1">'SAH-9 (Public)'!$A$6:$G$6</definedName>
    <definedName name="Z_5D2F6EC3_8E96_4FAA_94F8_D44554D6DBD9_.wvu.PrintArea" localSheetId="8" hidden="1">'SAH-9 (Public)'!$A$1:$G$6</definedName>
    <definedName name="Z_5D2F6EC3_8E96_4FAA_94F8_D44554D6DBD9_.wvu.PrintTitles" localSheetId="8" hidden="1">'SAH-9 (Public)'!$1:$6</definedName>
    <definedName name="Z_5E474A7E_B9E0_4B85_8DC1_10BB02B2BA5C_.wvu.FilterData" localSheetId="3" hidden="1">'SAH-4 (Public)'!$A$6:$N$6</definedName>
    <definedName name="Z_5E474A7E_B9E0_4B85_8DC1_10BB02B2BA5C_.wvu.FilterData" localSheetId="4" hidden="1">'SAH-5 (Public)'!$A$6:$J$6</definedName>
    <definedName name="Z_5E474A7E_B9E0_4B85_8DC1_10BB02B2BA5C_.wvu.FilterData" localSheetId="5" hidden="1">'SAH-6 (Public)'!$A$6:$J$6</definedName>
    <definedName name="Z_5E474A7E_B9E0_4B85_8DC1_10BB02B2BA5C_.wvu.FilterData" localSheetId="6" hidden="1">'SAH-7 (Public)'!$A$6:$J$11</definedName>
    <definedName name="Z_5E474A7E_B9E0_4B85_8DC1_10BB02B2BA5C_.wvu.FilterData" localSheetId="8" hidden="1">'SAH-9 (Public)'!$A$6:$CC$6</definedName>
    <definedName name="Z_5E474A7E_B9E0_4B85_8DC1_10BB02B2BA5C_.wvu.PrintArea" localSheetId="4" hidden="1">'SAH-5 (Public)'!$A$1:$J$6</definedName>
    <definedName name="Z_5E474A7E_B9E0_4B85_8DC1_10BB02B2BA5C_.wvu.PrintArea" localSheetId="5" hidden="1">'SAH-6 (Public)'!$A$1:$J$6</definedName>
    <definedName name="Z_5E474A7E_B9E0_4B85_8DC1_10BB02B2BA5C_.wvu.PrintArea" localSheetId="8" hidden="1">'SAH-9 (Public)'!$A$1:$J$6</definedName>
    <definedName name="Z_5E474A7E_B9E0_4B85_8DC1_10BB02B2BA5C_.wvu.PrintTitles" localSheetId="3" hidden="1">'SAH-4 (Public)'!$1:$6</definedName>
    <definedName name="Z_5E474A7E_B9E0_4B85_8DC1_10BB02B2BA5C_.wvu.PrintTitles" localSheetId="4" hidden="1">'SAH-5 (Public)'!$1:$6</definedName>
    <definedName name="Z_5E474A7E_B9E0_4B85_8DC1_10BB02B2BA5C_.wvu.PrintTitles" localSheetId="5" hidden="1">'SAH-6 (Public)'!$1:$6</definedName>
    <definedName name="Z_5E474A7E_B9E0_4B85_8DC1_10BB02B2BA5C_.wvu.PrintTitles" localSheetId="6" hidden="1">'SAH-7 (Public)'!$1:$6</definedName>
    <definedName name="Z_5E474A7E_B9E0_4B85_8DC1_10BB02B2BA5C_.wvu.PrintTitles" localSheetId="8" hidden="1">'SAH-9 (Public)'!$1:$6</definedName>
    <definedName name="Z_5EA8D334_BB87_400D_A795_A53EDDDABDA2_.wvu.FilterData" localSheetId="3" hidden="1">'SAH-4 (Public)'!$A$6:$J$6</definedName>
    <definedName name="Z_5F1ABB90_251F_405C_941C_CD95584D0E6C_.wvu.FilterData" localSheetId="4" hidden="1">'SAH-5 (Public)'!$A$6:$J$6</definedName>
    <definedName name="Z_5F1ABB90_251F_405C_941C_CD95584D0E6C_.wvu.FilterData" localSheetId="6" hidden="1">'SAH-7 (Public)'!$A$6:$J$6</definedName>
    <definedName name="Z_5F1ABB90_251F_405C_941C_CD95584D0E6C_.wvu.PrintArea" localSheetId="4" hidden="1">'SAH-5 (Public)'!$A$1:$J$6</definedName>
    <definedName name="Z_5F1ABB90_251F_405C_941C_CD95584D0E6C_.wvu.PrintArea" localSheetId="6" hidden="1">'SAH-7 (Public)'!$A$1:$J$13</definedName>
    <definedName name="Z_5F1ABB90_251F_405C_941C_CD95584D0E6C_.wvu.PrintTitles" localSheetId="4" hidden="1">'SAH-5 (Public)'!$6:$6</definedName>
    <definedName name="Z_5F50CADA_D234_40BA_8757_5FD7AE3D79F3_.wvu.FilterData" localSheetId="8" hidden="1">'SAH-9 (Public)'!$A$6:$J$6</definedName>
    <definedName name="Z_5F50CADA_D234_40BA_8757_5FD7AE3D79F3_.wvu.PrintArea" localSheetId="8" hidden="1">'SAH-9 (Public)'!$A$1:$J$6</definedName>
    <definedName name="Z_5F50CADA_D234_40BA_8757_5FD7AE3D79F3_.wvu.PrintTitles" localSheetId="8" hidden="1">'SAH-9 (Public)'!$6:$6</definedName>
    <definedName name="Z_6038DB7A_B37C_4E97_B133_803B12D76823_.wvu.FilterData" localSheetId="8" hidden="1">'SAH-9 (Public)'!$A$6:$J$6</definedName>
    <definedName name="Z_6147DFD4_37AC_4F34_B69D_C967A9B2760A_.wvu.FilterData" localSheetId="8" hidden="1">'SAH-9 (Public)'!$A$6:$J$6</definedName>
    <definedName name="Z_6179C473_C911_4E9C_90B7_B4DB00E2C871_.wvu.FilterData" localSheetId="8" hidden="1">'SAH-9 (Public)'!$A$6:$J$6</definedName>
    <definedName name="Z_619C5D83_7A2E_4443_90BE_12A634CD0E19_.wvu.FilterData" localSheetId="8" hidden="1">'SAH-9 (Public)'!$A$6:$J$6</definedName>
    <definedName name="Z_62A9A668_004C_4961_AE96_CB06FEE01478_.wvu.Cols" localSheetId="4" hidden="1">'SAH-5 (Public)'!#REF!</definedName>
    <definedName name="Z_62A9A668_004C_4961_AE96_CB06FEE01478_.wvu.Cols" localSheetId="5" hidden="1">'SAH-6 (Public)'!#REF!</definedName>
    <definedName name="Z_62A9A668_004C_4961_AE96_CB06FEE01478_.wvu.FilterData" localSheetId="3" hidden="1">'SAH-4 (Public)'!$A$6:$N$6</definedName>
    <definedName name="Z_62A9A668_004C_4961_AE96_CB06FEE01478_.wvu.FilterData" localSheetId="4" hidden="1">'SAH-5 (Public)'!$A$6:$J$6</definedName>
    <definedName name="Z_62A9A668_004C_4961_AE96_CB06FEE01478_.wvu.FilterData" localSheetId="5" hidden="1">'SAH-6 (Public)'!$A$6:$J$6</definedName>
    <definedName name="Z_62A9A668_004C_4961_AE96_CB06FEE01478_.wvu.FilterData" localSheetId="6" hidden="1">'SAH-7 (Public)'!$A$6:$J$11</definedName>
    <definedName name="Z_62A9A668_004C_4961_AE96_CB06FEE01478_.wvu.FilterData" localSheetId="8" hidden="1">'SAH-9 (Public)'!$A$6:$J$6</definedName>
    <definedName name="Z_62A9A668_004C_4961_AE96_CB06FEE01478_.wvu.PrintTitles" localSheetId="3" hidden="1">'SAH-4 (Public)'!$6:$6</definedName>
    <definedName name="Z_62A9A668_004C_4961_AE96_CB06FEE01478_.wvu.PrintTitles" localSheetId="4" hidden="1">'SAH-5 (Public)'!$6:$6</definedName>
    <definedName name="Z_62A9A668_004C_4961_AE96_CB06FEE01478_.wvu.PrintTitles" localSheetId="5" hidden="1">'SAH-6 (Public)'!$6:$6</definedName>
    <definedName name="Z_62A9A668_004C_4961_AE96_CB06FEE01478_.wvu.PrintTitles" localSheetId="6" hidden="1">'SAH-7 (Public)'!$6:$6</definedName>
    <definedName name="Z_62A9A668_004C_4961_AE96_CB06FEE01478_.wvu.PrintTitles" localSheetId="8" hidden="1">'SAH-9 (Public)'!$6:$6</definedName>
    <definedName name="Z_62D96B7D_4AB4_4A2B_8831_B3E2B14EB4FB_.wvu.FilterData" localSheetId="4" hidden="1">'SAH-5 (Public)'!$A$6:$J$6</definedName>
    <definedName name="Z_62DE3435_1588_4A1B_8C19_9F0EB8F4C226_.wvu.Cols" localSheetId="3" hidden="1">'SAH-4 (Public)'!#REF!,'SAH-4 (Public)'!#REF!</definedName>
    <definedName name="Z_62DE3435_1588_4A1B_8C19_9F0EB8F4C226_.wvu.Cols" localSheetId="4" hidden="1">'SAH-5 (Public)'!#REF!,'SAH-5 (Public)'!#REF!,'SAH-5 (Public)'!#REF!</definedName>
    <definedName name="Z_62DE3435_1588_4A1B_8C19_9F0EB8F4C226_.wvu.Cols" localSheetId="5" hidden="1">'SAH-6 (Public)'!#REF!,'SAH-6 (Public)'!#REF!</definedName>
    <definedName name="Z_62DE3435_1588_4A1B_8C19_9F0EB8F4C226_.wvu.Cols" localSheetId="6" hidden="1">'SAH-7 (Public)'!#REF!,'SAH-7 (Public)'!#REF!,'SAH-7 (Public)'!#REF!</definedName>
    <definedName name="Z_62DE3435_1588_4A1B_8C19_9F0EB8F4C226_.wvu.Cols" localSheetId="8" hidden="1">'SAH-9 (Public)'!#REF!</definedName>
    <definedName name="Z_62DE3435_1588_4A1B_8C19_9F0EB8F4C226_.wvu.FilterData" localSheetId="3" hidden="1">'SAH-4 (Public)'!$A$6:$J$6</definedName>
    <definedName name="Z_62DE3435_1588_4A1B_8C19_9F0EB8F4C226_.wvu.FilterData" localSheetId="4" hidden="1">'SAH-5 (Public)'!$A$6:$J$6</definedName>
    <definedName name="Z_62DE3435_1588_4A1B_8C19_9F0EB8F4C226_.wvu.FilterData" localSheetId="5" hidden="1">'SAH-6 (Public)'!$A$6:$J$6</definedName>
    <definedName name="Z_62DE3435_1588_4A1B_8C19_9F0EB8F4C226_.wvu.FilterData" localSheetId="6" hidden="1">'SAH-7 (Public)'!$A$6:$J$13</definedName>
    <definedName name="Z_62DE3435_1588_4A1B_8C19_9F0EB8F4C226_.wvu.FilterData" localSheetId="8" hidden="1">'SAH-9 (Public)'!$A$6:$J$6</definedName>
    <definedName name="Z_62DE3435_1588_4A1B_8C19_9F0EB8F4C226_.wvu.PrintArea" localSheetId="3" hidden="1">'SAH-4 (Public)'!$A$1:$J$6</definedName>
    <definedName name="Z_62DE3435_1588_4A1B_8C19_9F0EB8F4C226_.wvu.PrintArea" localSheetId="4" hidden="1">'SAH-5 (Public)'!$A$1:$J$6</definedName>
    <definedName name="Z_62DE3435_1588_4A1B_8C19_9F0EB8F4C226_.wvu.PrintArea" localSheetId="5" hidden="1">'SAH-6 (Public)'!$A$1:$J$6</definedName>
    <definedName name="Z_62DE3435_1588_4A1B_8C19_9F0EB8F4C226_.wvu.PrintArea" localSheetId="6" hidden="1">'SAH-7 (Public)'!$A$1:$J$13</definedName>
    <definedName name="Z_62DE3435_1588_4A1B_8C19_9F0EB8F4C226_.wvu.PrintArea" localSheetId="8" hidden="1">'SAH-9 (Public)'!$A$1:$J$6</definedName>
    <definedName name="Z_62DE3435_1588_4A1B_8C19_9F0EB8F4C226_.wvu.PrintTitles" localSheetId="3" hidden="1">'SAH-4 (Public)'!$6:$6</definedName>
    <definedName name="Z_62DE3435_1588_4A1B_8C19_9F0EB8F4C226_.wvu.PrintTitles" localSheetId="4" hidden="1">'SAH-5 (Public)'!$6:$6</definedName>
    <definedName name="Z_62DE3435_1588_4A1B_8C19_9F0EB8F4C226_.wvu.PrintTitles" localSheetId="5" hidden="1">'SAH-6 (Public)'!$6:$6</definedName>
    <definedName name="Z_62DE3435_1588_4A1B_8C19_9F0EB8F4C226_.wvu.PrintTitles" localSheetId="8" hidden="1">'SAH-9 (Public)'!$6:$6</definedName>
    <definedName name="Z_62E7FA4E_823F_4FD9_AECE_DC37317DE920_.wvu.FilterData" localSheetId="8" hidden="1">'SAH-9 (Public)'!$A$6:$J$6</definedName>
    <definedName name="Z_63A10165_0DED_4FE0_935F_ECC14A842ACA_.wvu.FilterData" localSheetId="8" hidden="1">'SAH-9 (Public)'!$A$6:$G$6</definedName>
    <definedName name="Z_63A10165_0DED_4FE0_935F_ECC14A842ACA_.wvu.PrintArea" localSheetId="8" hidden="1">'SAH-9 (Public)'!$A$1:$G$6</definedName>
    <definedName name="Z_63A10165_0DED_4FE0_935F_ECC14A842ACA_.wvu.PrintTitles" localSheetId="8" hidden="1">'SAH-9 (Public)'!$6:$6</definedName>
    <definedName name="Z_64C69C85_9F2D_4CF1_AABE_B6DE53292A5F_.wvu.FilterData" localSheetId="8" hidden="1">'SAH-9 (Public)'!$A$6:$J$6</definedName>
    <definedName name="Z_650688DA_6AF7_4DDF_BA89_9DF7B36849E7_.wvu.FilterData" localSheetId="4" hidden="1">'SAH-5 (Public)'!$A$6:$J$6</definedName>
    <definedName name="Z_650688DA_6AF7_4DDF_BA89_9DF7B36849E7_.wvu.FilterData" localSheetId="6" hidden="1">'SAH-7 (Public)'!$A$6:$J$13</definedName>
    <definedName name="Z_650688DA_6AF7_4DDF_BA89_9DF7B36849E7_.wvu.PrintArea" localSheetId="4" hidden="1">'SAH-5 (Public)'!$A$1:$J$6</definedName>
    <definedName name="Z_650688DA_6AF7_4DDF_BA89_9DF7B36849E7_.wvu.PrintArea" localSheetId="6" hidden="1">'SAH-7 (Public)'!$A$1:$J$13</definedName>
    <definedName name="Z_650688DA_6AF7_4DDF_BA89_9DF7B36849E7_.wvu.PrintTitles" localSheetId="4" hidden="1">'SAH-5 (Public)'!$6:$6</definedName>
    <definedName name="Z_65CB2BD6_A205_4A8E_9E17_5A0754C183DC_.wvu.Cols" localSheetId="5" hidden="1">'SAH-6 (Public)'!#REF!</definedName>
    <definedName name="Z_65CB2BD6_A205_4A8E_9E17_5A0754C183DC_.wvu.FilterData" localSheetId="5" hidden="1">'SAH-6 (Public)'!$A$6:$J$6</definedName>
    <definedName name="Z_65CB2BD6_A205_4A8E_9E17_5A0754C183DC_.wvu.PrintTitles" localSheetId="5" hidden="1">'SAH-6 (Public)'!$6:$6</definedName>
    <definedName name="Z_69272ADD_3800_45E8_8032_2057176027FB_.wvu.FilterData" localSheetId="8" hidden="1">'SAH-9 (Public)'!$A$6:$J$6</definedName>
    <definedName name="Z_6A3667D9_41A3_4F3E_890C_A8E9EDBA5F0E_.wvu.Cols" localSheetId="4" hidden="1">'SAH-5 (Public)'!#REF!,'SAH-5 (Public)'!#REF!,'SAH-5 (Public)'!#REF!</definedName>
    <definedName name="Z_6A3667D9_41A3_4F3E_890C_A8E9EDBA5F0E_.wvu.Cols" localSheetId="8" hidden="1">'SAH-9 (Public)'!#REF!,'SAH-9 (Public)'!#REF!,'SAH-9 (Public)'!#REF!</definedName>
    <definedName name="Z_6A3667D9_41A3_4F3E_890C_A8E9EDBA5F0E_.wvu.FilterData" localSheetId="4" hidden="1">'SAH-5 (Public)'!$A$6:$J$6</definedName>
    <definedName name="Z_6A3667D9_41A3_4F3E_890C_A8E9EDBA5F0E_.wvu.FilterData" localSheetId="8" hidden="1">'SAH-9 (Public)'!$A$6:$J$6</definedName>
    <definedName name="Z_6A3667D9_41A3_4F3E_890C_A8E9EDBA5F0E_.wvu.PrintTitles" localSheetId="4" hidden="1">'SAH-5 (Public)'!$6:$6</definedName>
    <definedName name="Z_6A3667D9_41A3_4F3E_890C_A8E9EDBA5F0E_.wvu.PrintTitles" localSheetId="8" hidden="1">'SAH-9 (Public)'!$6:$6</definedName>
    <definedName name="Z_6A3E2B95_4729_4F53_A30A_D54E0F8F4565_.wvu.FilterData" localSheetId="3" hidden="1">'SAH-4 (Public)'!$A$6:$N$6</definedName>
    <definedName name="Z_6A3E2B95_4729_4F53_A30A_D54E0F8F4565_.wvu.FilterData" localSheetId="4" hidden="1">'SAH-5 (Public)'!$A$6:$J$6</definedName>
    <definedName name="Z_6A3E2B95_4729_4F53_A30A_D54E0F8F4565_.wvu.FilterData" localSheetId="5" hidden="1">'SAH-6 (Public)'!$A$6:$J$6</definedName>
    <definedName name="Z_6A3E2B95_4729_4F53_A30A_D54E0F8F4565_.wvu.FilterData" localSheetId="6" hidden="1">'SAH-7 (Public)'!$A$6:$J$11</definedName>
    <definedName name="Z_6A3E2B95_4729_4F53_A30A_D54E0F8F4565_.wvu.FilterData" localSheetId="8" hidden="1">'SAH-9 (Public)'!$A$6:$CC$6</definedName>
    <definedName name="Z_6A3E2B95_4729_4F53_A30A_D54E0F8F4565_.wvu.PrintArea" localSheetId="4" hidden="1">'SAH-5 (Public)'!$A$1:$J$6</definedName>
    <definedName name="Z_6A3E2B95_4729_4F53_A30A_D54E0F8F4565_.wvu.PrintArea" localSheetId="5" hidden="1">'SAH-6 (Public)'!$A$1:$J$6</definedName>
    <definedName name="Z_6A3E2B95_4729_4F53_A30A_D54E0F8F4565_.wvu.PrintArea" localSheetId="8" hidden="1">'SAH-9 (Public)'!$A$1:$J$6</definedName>
    <definedName name="Z_6A3E2B95_4729_4F53_A30A_D54E0F8F4565_.wvu.PrintTitles" localSheetId="3" hidden="1">'SAH-4 (Public)'!$1:$6</definedName>
    <definedName name="Z_6A3E2B95_4729_4F53_A30A_D54E0F8F4565_.wvu.PrintTitles" localSheetId="4" hidden="1">'SAH-5 (Public)'!$1:$6</definedName>
    <definedName name="Z_6A3E2B95_4729_4F53_A30A_D54E0F8F4565_.wvu.PrintTitles" localSheetId="5" hidden="1">'SAH-6 (Public)'!$1:$6</definedName>
    <definedName name="Z_6A3E2B95_4729_4F53_A30A_D54E0F8F4565_.wvu.PrintTitles" localSheetId="6" hidden="1">'SAH-7 (Public)'!$1:$6</definedName>
    <definedName name="Z_6A3E2B95_4729_4F53_A30A_D54E0F8F4565_.wvu.PrintTitles" localSheetId="8" hidden="1">'SAH-9 (Public)'!$1:$6</definedName>
    <definedName name="Z_6A5B0A6B_C5DF_40E4_8894_67D7F7FE36DF_.wvu.FilterData" localSheetId="4" hidden="1">'SAH-5 (Public)'!$A$6:$J$6</definedName>
    <definedName name="Z_6A5B0A6B_C5DF_40E4_8894_67D7F7FE36DF_.wvu.FilterData" localSheetId="6" hidden="1">'SAH-7 (Public)'!$A$6:$J$13</definedName>
    <definedName name="Z_6A5B0A6B_C5DF_40E4_8894_67D7F7FE36DF_.wvu.PrintArea" localSheetId="4" hidden="1">'SAH-5 (Public)'!$A$1:$J$6</definedName>
    <definedName name="Z_6A5B0A6B_C5DF_40E4_8894_67D7F7FE36DF_.wvu.PrintArea" localSheetId="6" hidden="1">'SAH-7 (Public)'!$A$1:$J$13</definedName>
    <definedName name="Z_6A5B0A6B_C5DF_40E4_8894_67D7F7FE36DF_.wvu.PrintTitles" localSheetId="4" hidden="1">'SAH-5 (Public)'!$6:$6</definedName>
    <definedName name="Z_6A635895_654B_46EC_86BA_9565D4EF4C1A_.wvu.FilterData" localSheetId="3" hidden="1">'SAH-4 (Public)'!$A$6:$N$6</definedName>
    <definedName name="Z_6DFC6E4D_D871_494C_AE8A_3ED6D2803BCF_.wvu.FilterData" localSheetId="8" hidden="1">'SAH-9 (Public)'!$A$6:$J$6</definedName>
    <definedName name="Z_70418454_1D21_4A66_BC2A_1B6D74ABF025_.wvu.FilterData" localSheetId="6" hidden="1">'SAH-7 (Public)'!$A$6:$J$13</definedName>
    <definedName name="Z_70418454_1D21_4A66_BC2A_1B6D74ABF025_.wvu.PrintArea" localSheetId="6" hidden="1">'SAH-7 (Public)'!$A$1:$J$13</definedName>
    <definedName name="Z_713DE1D3_083E_4D15_80B2_1FC8A9DC4798_.wvu.FilterData" localSheetId="4" hidden="1">'SAH-5 (Public)'!$A$6:$J$6</definedName>
    <definedName name="Z_713DE1D3_083E_4D15_80B2_1FC8A9DC4798_.wvu.FilterData" localSheetId="8" hidden="1">'SAH-9 (Public)'!$A$6:$J$6</definedName>
    <definedName name="Z_7226F521_829C_4A75_86D0_125E6B5C9266_.wvu.FilterData" localSheetId="4" hidden="1">'SAH-5 (Public)'!$A$6:$J$6</definedName>
    <definedName name="Z_7226F521_829C_4A75_86D0_125E6B5C9266_.wvu.FilterData" localSheetId="5" hidden="1">'SAH-6 (Public)'!$A$6:$J$6</definedName>
    <definedName name="Z_74D41B18_0179_48F6_9B8B_46BB73363E9B_.wvu.PrintArea" localSheetId="3" hidden="1">'SAH-4 (Public)'!$A$1:$A$5</definedName>
    <definedName name="Z_74D41B18_0179_48F6_9B8B_46BB73363E9B_.wvu.PrintArea" localSheetId="4" hidden="1">'SAH-5 (Public)'!$A$1:$A$5</definedName>
    <definedName name="Z_74D41B18_0179_48F6_9B8B_46BB73363E9B_.wvu.PrintArea" localSheetId="5" hidden="1">'SAH-6 (Public)'!$A$1:$C$6</definedName>
    <definedName name="Z_74D41B18_0179_48F6_9B8B_46BB73363E9B_.wvu.PrintArea" localSheetId="6" hidden="1">'SAH-7 (Public)'!$A$1:$A$5</definedName>
    <definedName name="Z_74D41B18_0179_48F6_9B8B_46BB73363E9B_.wvu.PrintArea" localSheetId="8" hidden="1">'SAH-9 (Public)'!$A$1:$A$6</definedName>
    <definedName name="Z_74D41B18_0179_48F6_9B8B_46BB73363E9B_.wvu.PrintTitles" localSheetId="3" hidden="1">'SAH-4 (Public)'!$1:$5</definedName>
    <definedName name="Z_74D41B18_0179_48F6_9B8B_46BB73363E9B_.wvu.PrintTitles" localSheetId="4" hidden="1">'SAH-5 (Public)'!$1:$5</definedName>
    <definedName name="Z_74D41B18_0179_48F6_9B8B_46BB73363E9B_.wvu.PrintTitles" localSheetId="5" hidden="1">'SAH-6 (Public)'!$1:$6</definedName>
    <definedName name="Z_74D41B18_0179_48F6_9B8B_46BB73363E9B_.wvu.PrintTitles" localSheetId="6" hidden="1">'SAH-7 (Public)'!$1:$5</definedName>
    <definedName name="Z_74D41B18_0179_48F6_9B8B_46BB73363E9B_.wvu.PrintTitles" localSheetId="8" hidden="1">'SAH-9 (Public)'!$1:$6</definedName>
    <definedName name="Z_750DA2EB_0709_4766_A4DD_CACD162E2F9F_.wvu.FilterData" localSheetId="8" hidden="1">'SAH-9 (Public)'!$A$6:$J$6</definedName>
    <definedName name="Z_75E68DDD_EC2C_489E_BF96_8B3DB8AF6BDA_.wvu.FilterData" localSheetId="3" hidden="1">'SAH-4 (Public)'!$A$6:$J$6</definedName>
    <definedName name="Z_76359663_457F_4FAA_8080_88A7B6995B84_.wvu.Cols" localSheetId="3" hidden="1">'SAH-4 (Public)'!#REF!,'SAH-4 (Public)'!#REF!</definedName>
    <definedName name="Z_76359663_457F_4FAA_8080_88A7B6995B84_.wvu.FilterData" localSheetId="3" hidden="1">'SAH-4 (Public)'!$A$6:$J$6</definedName>
    <definedName name="Z_76359663_457F_4FAA_8080_88A7B6995B84_.wvu.PrintTitles" localSheetId="3" hidden="1">'SAH-4 (Public)'!$6:$6</definedName>
    <definedName name="Z_76BD454F_BA7B_4E0F_8571_A01D3043351D_.wvu.FilterData" localSheetId="8" hidden="1">'SAH-9 (Public)'!$A$6:$J$6</definedName>
    <definedName name="Z_770F32B2_941F_4C5C_84A7_74B73E41B7D3_.wvu.Cols" localSheetId="3" hidden="1">'SAH-4 (Public)'!#REF!,'SAH-4 (Public)'!#REF!,'SAH-4 (Public)'!#REF!</definedName>
    <definedName name="Z_770F32B2_941F_4C5C_84A7_74B73E41B7D3_.wvu.Cols" localSheetId="4" hidden="1">'SAH-5 (Public)'!#REF!,'SAH-5 (Public)'!#REF!,'SAH-5 (Public)'!#REF!,'SAH-5 (Public)'!#REF!</definedName>
    <definedName name="Z_770F32B2_941F_4C5C_84A7_74B73E41B7D3_.wvu.Cols" localSheetId="5" hidden="1">'SAH-6 (Public)'!#REF!,'SAH-6 (Public)'!#REF!,'SAH-6 (Public)'!#REF!</definedName>
    <definedName name="Z_770F32B2_941F_4C5C_84A7_74B73E41B7D3_.wvu.Cols" localSheetId="6" hidden="1">'SAH-7 (Public)'!#REF!,'SAH-7 (Public)'!#REF!,'SAH-7 (Public)'!#REF!,'SAH-7 (Public)'!#REF!</definedName>
    <definedName name="Z_770F32B2_941F_4C5C_84A7_74B73E41B7D3_.wvu.Cols" localSheetId="8" hidden="1">'SAH-9 (Public)'!#REF!</definedName>
    <definedName name="Z_770F32B2_941F_4C5C_84A7_74B73E41B7D3_.wvu.FilterData" localSheetId="3" hidden="1">'SAH-4 (Public)'!$A$6:$J$6</definedName>
    <definedName name="Z_770F32B2_941F_4C5C_84A7_74B73E41B7D3_.wvu.FilterData" localSheetId="4" hidden="1">'SAH-5 (Public)'!$A$6:$J$6</definedName>
    <definedName name="Z_770F32B2_941F_4C5C_84A7_74B73E41B7D3_.wvu.FilterData" localSheetId="5" hidden="1">'SAH-6 (Public)'!$A$6:$J$6</definedName>
    <definedName name="Z_770F32B2_941F_4C5C_84A7_74B73E41B7D3_.wvu.FilterData" localSheetId="6" hidden="1">'SAH-7 (Public)'!$A$6:$J$13</definedName>
    <definedName name="Z_770F32B2_941F_4C5C_84A7_74B73E41B7D3_.wvu.FilterData" localSheetId="8" hidden="1">'SAH-9 (Public)'!$A$6:$J$6</definedName>
    <definedName name="Z_770F32B2_941F_4C5C_84A7_74B73E41B7D3_.wvu.PrintArea" localSheetId="3" hidden="1">'SAH-4 (Public)'!$A$1:$J$6</definedName>
    <definedName name="Z_770F32B2_941F_4C5C_84A7_74B73E41B7D3_.wvu.PrintArea" localSheetId="4" hidden="1">'SAH-5 (Public)'!$A$1:$J$6</definedName>
    <definedName name="Z_770F32B2_941F_4C5C_84A7_74B73E41B7D3_.wvu.PrintArea" localSheetId="5" hidden="1">'SAH-6 (Public)'!$A$1:$J$6</definedName>
    <definedName name="Z_770F32B2_941F_4C5C_84A7_74B73E41B7D3_.wvu.PrintArea" localSheetId="6" hidden="1">'SAH-7 (Public)'!$A$1:$J$13</definedName>
    <definedName name="Z_770F32B2_941F_4C5C_84A7_74B73E41B7D3_.wvu.PrintArea" localSheetId="8" hidden="1">'SAH-9 (Public)'!$A$1:$J$6</definedName>
    <definedName name="Z_770F32B2_941F_4C5C_84A7_74B73E41B7D3_.wvu.PrintTitles" localSheetId="3" hidden="1">'SAH-4 (Public)'!$6:$6</definedName>
    <definedName name="Z_770F32B2_941F_4C5C_84A7_74B73E41B7D3_.wvu.PrintTitles" localSheetId="4" hidden="1">'SAH-5 (Public)'!$6:$6</definedName>
    <definedName name="Z_770F32B2_941F_4C5C_84A7_74B73E41B7D3_.wvu.PrintTitles" localSheetId="5" hidden="1">'SAH-6 (Public)'!$6:$6</definedName>
    <definedName name="Z_770F32B2_941F_4C5C_84A7_74B73E41B7D3_.wvu.PrintTitles" localSheetId="8" hidden="1">'SAH-9 (Public)'!$6:$6</definedName>
    <definedName name="Z_770F32B2_941F_4C5C_84A7_74B73E41B7D3_.wvu.Rows" localSheetId="5" hidden="1">'SAH-6 (Public)'!#REF!</definedName>
    <definedName name="Z_789E1E1E_8F66_49AC_8DE2_621D77CBFCC8_.wvu.FilterData" localSheetId="4" hidden="1">'SAH-5 (Public)'!$A$6:$J$6</definedName>
    <definedName name="Z_792B1D99_3553_4675_B9B4_4A2642902096_.wvu.FilterData" localSheetId="4" hidden="1">'SAH-5 (Public)'!$A$6:$J$6</definedName>
    <definedName name="Z_7AFA5FB7_0F52_4D82_A58E_05F38D532A99_.wvu.Cols" localSheetId="3" hidden="1">'SAH-4 (Public)'!#REF!,'SAH-4 (Public)'!#REF!</definedName>
    <definedName name="Z_7AFA5FB7_0F52_4D82_A58E_05F38D532A99_.wvu.FilterData" localSheetId="3" hidden="1">'SAH-4 (Public)'!$A$6:$N$6</definedName>
    <definedName name="Z_7AFA5FB7_0F52_4D82_A58E_05F38D532A99_.wvu.FilterData" localSheetId="4" hidden="1">'SAH-5 (Public)'!$A$6:$J$6</definedName>
    <definedName name="Z_7AFA5FB7_0F52_4D82_A58E_05F38D532A99_.wvu.FilterData" localSheetId="5" hidden="1">'SAH-6 (Public)'!$A$6:$J$6</definedName>
    <definedName name="Z_7AFA5FB7_0F52_4D82_A58E_05F38D532A99_.wvu.FilterData" localSheetId="8" hidden="1">'SAH-9 (Public)'!$A$6:$J$6</definedName>
    <definedName name="Z_7AFA5FB7_0F52_4D82_A58E_05F38D532A99_.wvu.PrintTitles" localSheetId="3" hidden="1">'SAH-4 (Public)'!$6:$6</definedName>
    <definedName name="Z_7AFA5FB7_0F52_4D82_A58E_05F38D532A99_.wvu.PrintTitles" localSheetId="4" hidden="1">'SAH-5 (Public)'!$6:$6</definedName>
    <definedName name="Z_7AFA5FB7_0F52_4D82_A58E_05F38D532A99_.wvu.PrintTitles" localSheetId="5" hidden="1">'SAH-6 (Public)'!$6:$6</definedName>
    <definedName name="Z_7AFA5FB7_0F52_4D82_A58E_05F38D532A99_.wvu.PrintTitles" localSheetId="8" hidden="1">'SAH-9 (Public)'!$6:$6</definedName>
    <definedName name="Z_7BA1B0D2_6CB8_44D4_88F9_DA6488F8E73C_.wvu.FilterData" localSheetId="8" hidden="1">'SAH-9 (Public)'!$A$6:$J$6</definedName>
    <definedName name="Z_7C020518_142C_46BB_A37E_7A9E14AC1CE8_.wvu.FilterData" localSheetId="8" hidden="1">'SAH-9 (Public)'!$A$6:$J$6</definedName>
    <definedName name="Z_7C020518_142C_46BB_A37E_7A9E14AC1CE8_.wvu.PrintArea" localSheetId="8" hidden="1">'SAH-9 (Public)'!$A$1:$J$6</definedName>
    <definedName name="Z_7C020518_142C_46BB_A37E_7A9E14AC1CE8_.wvu.PrintTitles" localSheetId="8" hidden="1">'SAH-9 (Public)'!$6:$6</definedName>
    <definedName name="Z_7D27821A_745D_4A43_8769_D3A9FACB522A_.wvu.FilterData" localSheetId="8" hidden="1">'SAH-9 (Public)'!$A$6:$J$6</definedName>
    <definedName name="Z_7D3C42DD_0A71_4CF6_817F_6E60192D49E7_.wvu.FilterData" localSheetId="8" hidden="1">'SAH-9 (Public)'!$A$6:$J$6</definedName>
    <definedName name="Z_7D3C42DD_0A71_4CF6_817F_6E60192D49E7_.wvu.PrintArea" localSheetId="8" hidden="1">'SAH-9 (Public)'!$A$1:$J$6</definedName>
    <definedName name="Z_7D3C42DD_0A71_4CF6_817F_6E60192D49E7_.wvu.PrintTitles" localSheetId="8" hidden="1">'SAH-9 (Public)'!$6:$6</definedName>
    <definedName name="Z_7D9CD293_F3AC_4BCF_B457_6D80C35DCE11_.wvu.Cols" localSheetId="3" hidden="1">'SAH-4 (Public)'!#REF!,'SAH-4 (Public)'!#REF!</definedName>
    <definedName name="Z_7D9CD293_F3AC_4BCF_B457_6D80C35DCE11_.wvu.Cols" localSheetId="4" hidden="1">'SAH-5 (Public)'!#REF!,'SAH-5 (Public)'!#REF!,'SAH-5 (Public)'!#REF!</definedName>
    <definedName name="Z_7D9CD293_F3AC_4BCF_B457_6D80C35DCE11_.wvu.Cols" localSheetId="5" hidden="1">'SAH-6 (Public)'!#REF!,'SAH-6 (Public)'!#REF!</definedName>
    <definedName name="Z_7D9CD293_F3AC_4BCF_B457_6D80C35DCE11_.wvu.Cols" localSheetId="6" hidden="1">'SAH-7 (Public)'!#REF!,'SAH-7 (Public)'!#REF!,'SAH-7 (Public)'!#REF!</definedName>
    <definedName name="Z_7D9CD293_F3AC_4BCF_B457_6D80C35DCE11_.wvu.FilterData" localSheetId="3" hidden="1">'SAH-4 (Public)'!$A$6:$J$6</definedName>
    <definedName name="Z_7D9CD293_F3AC_4BCF_B457_6D80C35DCE11_.wvu.FilterData" localSheetId="4" hidden="1">'SAH-5 (Public)'!$A$6:$J$6</definedName>
    <definedName name="Z_7D9CD293_F3AC_4BCF_B457_6D80C35DCE11_.wvu.FilterData" localSheetId="5" hidden="1">'SAH-6 (Public)'!$A$6:$J$6</definedName>
    <definedName name="Z_7D9CD293_F3AC_4BCF_B457_6D80C35DCE11_.wvu.FilterData" localSheetId="6" hidden="1">'SAH-7 (Public)'!$A$6:$H$13</definedName>
    <definedName name="Z_7D9CD293_F3AC_4BCF_B457_6D80C35DCE11_.wvu.FilterData" localSheetId="8" hidden="1">'SAH-9 (Public)'!$A$6:$J$6</definedName>
    <definedName name="Z_7D9CD293_F3AC_4BCF_B457_6D80C35DCE11_.wvu.PrintArea" localSheetId="3" hidden="1">'SAH-4 (Public)'!$A$1:$J$6</definedName>
    <definedName name="Z_7D9CD293_F3AC_4BCF_B457_6D80C35DCE11_.wvu.PrintArea" localSheetId="4" hidden="1">'SAH-5 (Public)'!$A$1:$J$6</definedName>
    <definedName name="Z_7D9CD293_F3AC_4BCF_B457_6D80C35DCE11_.wvu.PrintArea" localSheetId="5" hidden="1">'SAH-6 (Public)'!$A$1:$J$6</definedName>
    <definedName name="Z_7D9CD293_F3AC_4BCF_B457_6D80C35DCE11_.wvu.PrintArea" localSheetId="6" hidden="1">'SAH-7 (Public)'!$A$1:$J$13</definedName>
    <definedName name="Z_7D9CD293_F3AC_4BCF_B457_6D80C35DCE11_.wvu.PrintArea" localSheetId="8" hidden="1">'SAH-9 (Public)'!$A$1:$J$6</definedName>
    <definedName name="Z_7D9CD293_F3AC_4BCF_B457_6D80C35DCE11_.wvu.PrintTitles" localSheetId="3" hidden="1">'SAH-4 (Public)'!$6:$6</definedName>
    <definedName name="Z_7D9CD293_F3AC_4BCF_B457_6D80C35DCE11_.wvu.PrintTitles" localSheetId="4" hidden="1">'SAH-5 (Public)'!$6:$6</definedName>
    <definedName name="Z_7D9CD293_F3AC_4BCF_B457_6D80C35DCE11_.wvu.PrintTitles" localSheetId="5" hidden="1">'SAH-6 (Public)'!$6:$6</definedName>
    <definedName name="Z_7D9CD293_F3AC_4BCF_B457_6D80C35DCE11_.wvu.PrintTitles" localSheetId="8" hidden="1">'SAH-9 (Public)'!$6:$6</definedName>
    <definedName name="Z_7D9CD293_F3AC_4BCF_B457_6D80C35DCE11_.wvu.Rows" localSheetId="3" hidden="1">'SAH-4 (Public)'!#REF!</definedName>
    <definedName name="Z_7D9CD293_F3AC_4BCF_B457_6D80C35DCE11_.wvu.Rows" localSheetId="5" hidden="1">'SAH-6 (Public)'!#REF!</definedName>
    <definedName name="Z_7E2F67A8_3F99_4BCE_8343_574C5B37D35A_.wvu.FilterData" localSheetId="8" hidden="1">'SAH-9 (Public)'!$A$6:$J$6</definedName>
    <definedName name="Z_7E51794A_9736_4514_99C3_22D2CACDF78A_.wvu.Cols" localSheetId="3" hidden="1">'SAH-4 (Public)'!#REF!,'SAH-4 (Public)'!#REF!,'SAH-4 (Public)'!#REF!,'SAH-4 (Public)'!#REF!,'SAH-4 (Public)'!#REF!</definedName>
    <definedName name="Z_7E51794A_9736_4514_99C3_22D2CACDF78A_.wvu.Cols" localSheetId="4" hidden="1">'SAH-5 (Public)'!#REF!,'SAH-5 (Public)'!#REF!,'SAH-5 (Public)'!#REF!,'SAH-5 (Public)'!#REF!,'SAH-5 (Public)'!#REF!,'SAH-5 (Public)'!#REF!</definedName>
    <definedName name="Z_7E51794A_9736_4514_99C3_22D2CACDF78A_.wvu.Cols" localSheetId="5" hidden="1">'SAH-6 (Public)'!#REF!,'SAH-6 (Public)'!#REF!,'SAH-6 (Public)'!#REF!,'SAH-6 (Public)'!#REF!</definedName>
    <definedName name="Z_7E51794A_9736_4514_99C3_22D2CACDF78A_.wvu.Cols" localSheetId="8" hidden="1">'SAH-9 (Public)'!#REF!,'SAH-9 (Public)'!#REF!,'SAH-9 (Public)'!#REF!,'SAH-9 (Public)'!#REF!,'SAH-9 (Public)'!#REF!,'SAH-9 (Public)'!#REF!</definedName>
    <definedName name="Z_7E51794A_9736_4514_99C3_22D2CACDF78A_.wvu.FilterData" localSheetId="3" hidden="1">'SAH-4 (Public)'!$A$6:$N$6</definedName>
    <definedName name="Z_7E51794A_9736_4514_99C3_22D2CACDF78A_.wvu.FilterData" localSheetId="4" hidden="1">'SAH-5 (Public)'!$A$6:$J$6</definedName>
    <definedName name="Z_7E51794A_9736_4514_99C3_22D2CACDF78A_.wvu.FilterData" localSheetId="5" hidden="1">'SAH-6 (Public)'!$A$6:$J$6</definedName>
    <definedName name="Z_7E51794A_9736_4514_99C3_22D2CACDF78A_.wvu.FilterData" localSheetId="8" hidden="1">'SAH-9 (Public)'!$A$6:$J$6</definedName>
    <definedName name="Z_7E51794A_9736_4514_99C3_22D2CACDF78A_.wvu.PrintTitles" localSheetId="3" hidden="1">'SAH-4 (Public)'!$6:$6</definedName>
    <definedName name="Z_7E51794A_9736_4514_99C3_22D2CACDF78A_.wvu.PrintTitles" localSheetId="4" hidden="1">'SAH-5 (Public)'!$6:$6</definedName>
    <definedName name="Z_7E51794A_9736_4514_99C3_22D2CACDF78A_.wvu.PrintTitles" localSheetId="5" hidden="1">'SAH-6 (Public)'!$6:$6</definedName>
    <definedName name="Z_7E51794A_9736_4514_99C3_22D2CACDF78A_.wvu.PrintTitles" localSheetId="8" hidden="1">'SAH-9 (Public)'!$6:$6</definedName>
    <definedName name="Z_7E57687B_FA46_4AA5_9716_07BC69C1886B_.wvu.FilterData" localSheetId="3" hidden="1">'SAH-4 (Public)'!$A$6:$J$6</definedName>
    <definedName name="Z_7E57687B_FA46_4AA5_9716_07BC69C1886B_.wvu.FilterData" localSheetId="5" hidden="1">'SAH-6 (Public)'!$A$6:$J$6</definedName>
    <definedName name="Z_80439EC8_6FBF_428E_BC94_688AFDD69B3D_.wvu.FilterData" localSheetId="8" hidden="1">'SAH-9 (Public)'!$A$6:$J$6</definedName>
    <definedName name="Z_80B260B9_DEBA_4629_97E2_E24D2C8F8A71_.wvu.FilterData" localSheetId="5" hidden="1">'SAH-6 (Public)'!$A$6:$J$6</definedName>
    <definedName name="Z_80B260B9_DEBA_4629_97E2_E24D2C8F8A71_.wvu.PrintArea" localSheetId="5" hidden="1">'SAH-6 (Public)'!$A$1:$J$6</definedName>
    <definedName name="Z_80B260B9_DEBA_4629_97E2_E24D2C8F8A71_.wvu.PrintTitles" localSheetId="5" hidden="1">'SAH-6 (Public)'!$6:$6</definedName>
    <definedName name="Z_83040736_D925_4E1C_B997_92DB4AB33CB8_.wvu.Cols" localSheetId="3" hidden="1">'SAH-4 (Public)'!#REF!,'SAH-4 (Public)'!#REF!</definedName>
    <definedName name="Z_83040736_D925_4E1C_B997_92DB4AB33CB8_.wvu.FilterData" localSheetId="3" hidden="1">'SAH-4 (Public)'!$A$6:$J$6</definedName>
    <definedName name="Z_83040736_D925_4E1C_B997_92DB4AB33CB8_.wvu.PrintTitles" localSheetId="3" hidden="1">'SAH-4 (Public)'!$6:$6</definedName>
    <definedName name="Z_8377DC05_AB57_4ED1_A558_5ACC0DF943F5_.wvu.FilterData" localSheetId="8" hidden="1">'SAH-9 (Public)'!$A$6:$J$6</definedName>
    <definedName name="Z_84EFEE9A_1E64_46FF_9FC2_4B0EDE56DAAC_.wvu.FilterData" localSheetId="8" hidden="1">'SAH-9 (Public)'!$A$6:$J$6</definedName>
    <definedName name="Z_8503A9A5_A281_4025_A8E7_8DFB56637712_.wvu.Cols" localSheetId="3" hidden="1">'SAH-4 (Public)'!#REF!,'SAH-4 (Public)'!#REF!</definedName>
    <definedName name="Z_8503A9A5_A281_4025_A8E7_8DFB56637712_.wvu.FilterData" localSheetId="3" hidden="1">'SAH-4 (Public)'!$A$6:$J$6</definedName>
    <definedName name="Z_8503A9A5_A281_4025_A8E7_8DFB56637712_.wvu.PrintTitles" localSheetId="3" hidden="1">'SAH-4 (Public)'!$6:$6</definedName>
    <definedName name="Z_8535C76E_A8E4_4915_883A_E4C752219F3C_.wvu.FilterData" localSheetId="3" hidden="1">'SAH-4 (Public)'!$A$6:$J$6</definedName>
    <definedName name="Z_8535C76E_A8E4_4915_883A_E4C752219F3C_.wvu.FilterData" localSheetId="4" hidden="1">'SAH-5 (Public)'!$A$6:$J$6</definedName>
    <definedName name="Z_8535C76E_A8E4_4915_883A_E4C752219F3C_.wvu.FilterData" localSheetId="6" hidden="1">'SAH-7 (Public)'!$A$6:$J$13</definedName>
    <definedName name="Z_8535C76E_A8E4_4915_883A_E4C752219F3C_.wvu.FilterData" localSheetId="8" hidden="1">'SAH-9 (Public)'!$A$6:$J$6</definedName>
    <definedName name="Z_871B2EAD_24F6_4209_9DD9_D42ACD64F7E9_.wvu.FilterData" localSheetId="4" hidden="1">'SAH-5 (Public)'!$A$6:$J$6</definedName>
    <definedName name="Z_874AF352_28DD_4975_9F1F_9748A4FB7191_.wvu.FilterData" localSheetId="8" hidden="1">'SAH-9 (Public)'!$A$6:$J$6</definedName>
    <definedName name="Z_874AF352_28DD_4975_9F1F_9748A4FB7191_.wvu.PrintArea" localSheetId="8" hidden="1">'SAH-9 (Public)'!$A$1:$J$6</definedName>
    <definedName name="Z_874AF352_28DD_4975_9F1F_9748A4FB7191_.wvu.PrintTitles" localSheetId="8" hidden="1">'SAH-9 (Public)'!$6:$6</definedName>
    <definedName name="Z_87877E14_A7FB_4E9F_8029_E52C80F12451_.wvu.Cols" localSheetId="3" hidden="1">'SAH-4 (Public)'!#REF!,'SAH-4 (Public)'!#REF!,'SAH-4 (Public)'!#REF!</definedName>
    <definedName name="Z_87877E14_A7FB_4E9F_8029_E52C80F12451_.wvu.Cols" localSheetId="4" hidden="1">'SAH-5 (Public)'!#REF!,'SAH-5 (Public)'!#REF!,'SAH-5 (Public)'!#REF!,'SAH-5 (Public)'!#REF!</definedName>
    <definedName name="Z_87877E14_A7FB_4E9F_8029_E52C80F12451_.wvu.Cols" localSheetId="5" hidden="1">'SAH-6 (Public)'!#REF!,'SAH-6 (Public)'!#REF!,'SAH-6 (Public)'!#REF!,'SAH-6 (Public)'!#REF!,'SAH-6 (Public)'!#REF!,'SAH-6 (Public)'!#REF!,'SAH-6 (Public)'!#REF!</definedName>
    <definedName name="Z_87877E14_A7FB_4E9F_8029_E52C80F12451_.wvu.Cols" localSheetId="8" hidden="1">'SAH-9 (Public)'!#REF!,'SAH-9 (Public)'!#REF!,'SAH-9 (Public)'!#REF!,'SAH-9 (Public)'!#REF!,'SAH-9 (Public)'!#REF!,'SAH-9 (Public)'!#REF!</definedName>
    <definedName name="Z_87877E14_A7FB_4E9F_8029_E52C80F12451_.wvu.FilterData" localSheetId="3" hidden="1">'SAH-4 (Public)'!$A$6:$N$6</definedName>
    <definedName name="Z_87877E14_A7FB_4E9F_8029_E52C80F12451_.wvu.FilterData" localSheetId="4" hidden="1">'SAH-5 (Public)'!$A$6:$J$6</definedName>
    <definedName name="Z_87877E14_A7FB_4E9F_8029_E52C80F12451_.wvu.FilterData" localSheetId="5" hidden="1">'SAH-6 (Public)'!$A$6:$J$6</definedName>
    <definedName name="Z_87877E14_A7FB_4E9F_8029_E52C80F12451_.wvu.FilterData" localSheetId="8" hidden="1">'SAH-9 (Public)'!$A$6:$J$6</definedName>
    <definedName name="Z_87877E14_A7FB_4E9F_8029_E52C80F12451_.wvu.PrintTitles" localSheetId="3" hidden="1">'SAH-4 (Public)'!$6:$6</definedName>
    <definedName name="Z_87877E14_A7FB_4E9F_8029_E52C80F12451_.wvu.PrintTitles" localSheetId="4" hidden="1">'SAH-5 (Public)'!$6:$6</definedName>
    <definedName name="Z_87877E14_A7FB_4E9F_8029_E52C80F12451_.wvu.PrintTitles" localSheetId="5" hidden="1">'SAH-6 (Public)'!$6:$6</definedName>
    <definedName name="Z_87877E14_A7FB_4E9F_8029_E52C80F12451_.wvu.PrintTitles" localSheetId="8" hidden="1">'SAH-9 (Public)'!$6:$6</definedName>
    <definedName name="Z_88EC695F_D177_4780_B713_DB376FA77BF8_.wvu.FilterData" localSheetId="3" hidden="1">'SAH-4 (Public)'!$A$6:$J$6</definedName>
    <definedName name="Z_8931B744_3A95_4495_BC96_CC70F5200F8A_.wvu.FilterData" localSheetId="8" hidden="1">'SAH-9 (Public)'!$A$6:$G$6</definedName>
    <definedName name="Z_8931B744_3A95_4495_BC96_CC70F5200F8A_.wvu.PrintArea" localSheetId="8" hidden="1">'SAH-9 (Public)'!$A$1:$G$6</definedName>
    <definedName name="Z_8931B744_3A95_4495_BC96_CC70F5200F8A_.wvu.PrintTitles" localSheetId="8" hidden="1">'SAH-9 (Public)'!$6:$6</definedName>
    <definedName name="Z_8959C96E_68B5_48FE_8515_86D3ED718A0F_.wvu.FilterData" localSheetId="8" hidden="1">'SAH-9 (Public)'!$A$6:$J$6</definedName>
    <definedName name="Z_8959C96E_68B5_48FE_8515_86D3ED718A0F_.wvu.PrintArea" localSheetId="8" hidden="1">'SAH-9 (Public)'!$A$1:$J$6</definedName>
    <definedName name="Z_8959C96E_68B5_48FE_8515_86D3ED718A0F_.wvu.PrintTitles" localSheetId="8" hidden="1">'SAH-9 (Public)'!$6:$6</definedName>
    <definedName name="Z_8ACE2788_EF53_458E_9B08_74DF5F598EA0_.wvu.FilterData" localSheetId="3" hidden="1">'SAH-4 (Public)'!$A$6:$J$6</definedName>
    <definedName name="Z_8ACE2788_EF53_458E_9B08_74DF5F598EA0_.wvu.FilterData" localSheetId="4" hidden="1">'SAH-5 (Public)'!$A$6:$J$6</definedName>
    <definedName name="Z_8ACE2788_EF53_458E_9B08_74DF5F598EA0_.wvu.FilterData" localSheetId="5" hidden="1">'SAH-6 (Public)'!$A$6:$J$6</definedName>
    <definedName name="Z_8ACE2788_EF53_458E_9B08_74DF5F598EA0_.wvu.FilterData" localSheetId="6" hidden="1">'SAH-7 (Public)'!$A$6:$J$13</definedName>
    <definedName name="Z_8ACE2788_EF53_458E_9B08_74DF5F598EA0_.wvu.FilterData" localSheetId="8" hidden="1">'SAH-9 (Public)'!$A$6:$J$6</definedName>
    <definedName name="Z_8ACE2788_EF53_458E_9B08_74DF5F598EA0_.wvu.PrintArea" localSheetId="3" hidden="1">'SAH-4 (Public)'!$A$1:$J$6</definedName>
    <definedName name="Z_8ACE2788_EF53_458E_9B08_74DF5F598EA0_.wvu.PrintArea" localSheetId="4" hidden="1">'SAH-5 (Public)'!$A$1:$J$6</definedName>
    <definedName name="Z_8ACE2788_EF53_458E_9B08_74DF5F598EA0_.wvu.PrintArea" localSheetId="5" hidden="1">'SAH-6 (Public)'!$A$1:$J$6</definedName>
    <definedName name="Z_8ACE2788_EF53_458E_9B08_74DF5F598EA0_.wvu.PrintArea" localSheetId="6" hidden="1">'SAH-7 (Public)'!$A$1:$J$13</definedName>
    <definedName name="Z_8ACE2788_EF53_458E_9B08_74DF5F598EA0_.wvu.PrintArea" localSheetId="8" hidden="1">'SAH-9 (Public)'!$A$1:$J$6</definedName>
    <definedName name="Z_8ACE2788_EF53_458E_9B08_74DF5F598EA0_.wvu.PrintTitles" localSheetId="3" hidden="1">'SAH-4 (Public)'!$6:$6</definedName>
    <definedName name="Z_8ACE2788_EF53_458E_9B08_74DF5F598EA0_.wvu.PrintTitles" localSheetId="4" hidden="1">'SAH-5 (Public)'!$6:$6</definedName>
    <definedName name="Z_8ACE2788_EF53_458E_9B08_74DF5F598EA0_.wvu.PrintTitles" localSheetId="5" hidden="1">'SAH-6 (Public)'!$6:$6</definedName>
    <definedName name="Z_8ACE2788_EF53_458E_9B08_74DF5F598EA0_.wvu.PrintTitles" localSheetId="8" hidden="1">'SAH-9 (Public)'!$6:$6</definedName>
    <definedName name="Z_8AE1087E_B1F5_4DF2_A734_B38CDA17FD36_.wvu.FilterData" localSheetId="8" hidden="1">'SAH-9 (Public)'!$A$6:$J$6</definedName>
    <definedName name="Z_8B041A93_E759_4F1F_8A1E_1289BB5797BC_.wvu.FilterData" localSheetId="8" hidden="1">'SAH-9 (Public)'!$A$6:$J$6</definedName>
    <definedName name="Z_8B154D2A_C832_4D50_A9E3_A3AA1486FDED_.wvu.FilterData" localSheetId="3" hidden="1">'SAH-4 (Public)'!$A$6:$N$6</definedName>
    <definedName name="Z_8CB17C1F_5358_435E_B2F8_1BF89C984A0F_.wvu.FilterData" localSheetId="8" hidden="1">'SAH-9 (Public)'!$A$6:$J$6</definedName>
    <definedName name="Z_8DCEB30C_7B0F_428C_ADD7_C854A1B3CB34_.wvu.FilterData" localSheetId="8" hidden="1">'SAH-9 (Public)'!$A$6:$J$6</definedName>
    <definedName name="Z_8DCEB30C_7B0F_428C_ADD7_C854A1B3CB34_.wvu.PrintArea" localSheetId="8" hidden="1">'SAH-9 (Public)'!$A$1:$J$6</definedName>
    <definedName name="Z_8DCEB30C_7B0F_428C_ADD7_C854A1B3CB34_.wvu.PrintTitles" localSheetId="8" hidden="1">'SAH-9 (Public)'!$6:$6</definedName>
    <definedName name="Z_8DE56A52_E862_4608_95AB_620E487A05D1_.wvu.FilterData" localSheetId="8" hidden="1">'SAH-9 (Public)'!$A$6:$J$6</definedName>
    <definedName name="Z_8E15F1BB_596A_4DA7_A7BA_5FF7FB13B13A_.wvu.FilterData" localSheetId="3" hidden="1">'SAH-4 (Public)'!$A$6:$N$6</definedName>
    <definedName name="Z_8E15F1BB_596A_4DA7_A7BA_5FF7FB13B13A_.wvu.FilterData" localSheetId="8" hidden="1">'SAH-9 (Public)'!$A$6:$J$6</definedName>
    <definedName name="Z_8F954FDE_1859_47EC_9506_43C42143EE0F_.wvu.FilterData" localSheetId="8" hidden="1">'SAH-9 (Public)'!$A$6:$J$6</definedName>
    <definedName name="Z_8FFF3C77_2825_41B0_9391_60059C2D97A9_.wvu.Cols" localSheetId="3" hidden="1">'SAH-4 (Public)'!#REF!,'SAH-4 (Public)'!#REF!</definedName>
    <definedName name="Z_8FFF3C77_2825_41B0_9391_60059C2D97A9_.wvu.Cols" localSheetId="4" hidden="1">'SAH-5 (Public)'!#REF!,'SAH-5 (Public)'!#REF!,'SAH-5 (Public)'!#REF!</definedName>
    <definedName name="Z_8FFF3C77_2825_41B0_9391_60059C2D97A9_.wvu.Cols" localSheetId="5" hidden="1">'SAH-6 (Public)'!#REF!,'SAH-6 (Public)'!#REF!</definedName>
    <definedName name="Z_8FFF3C77_2825_41B0_9391_60059C2D97A9_.wvu.Cols" localSheetId="6" hidden="1">'SAH-7 (Public)'!#REF!,'SAH-7 (Public)'!#REF!,'SAH-7 (Public)'!#REF!</definedName>
    <definedName name="Z_8FFF3C77_2825_41B0_9391_60059C2D97A9_.wvu.FilterData" localSheetId="3" hidden="1">'SAH-4 (Public)'!$A$6:$J$6</definedName>
    <definedName name="Z_8FFF3C77_2825_41B0_9391_60059C2D97A9_.wvu.FilterData" localSheetId="4" hidden="1">'SAH-5 (Public)'!$A$6:$J$6</definedName>
    <definedName name="Z_8FFF3C77_2825_41B0_9391_60059C2D97A9_.wvu.FilterData" localSheetId="5" hidden="1">'SAH-6 (Public)'!$A$6:$J$6</definedName>
    <definedName name="Z_8FFF3C77_2825_41B0_9391_60059C2D97A9_.wvu.FilterData" localSheetId="6" hidden="1">'SAH-7 (Public)'!$A$6:$J$13</definedName>
    <definedName name="Z_8FFF3C77_2825_41B0_9391_60059C2D97A9_.wvu.FilterData" localSheetId="8" hidden="1">'SAH-9 (Public)'!$A$6:$J$6</definedName>
    <definedName name="Z_8FFF3C77_2825_41B0_9391_60059C2D97A9_.wvu.PrintArea" localSheetId="3" hidden="1">'SAH-4 (Public)'!$A$1:$J$6</definedName>
    <definedName name="Z_8FFF3C77_2825_41B0_9391_60059C2D97A9_.wvu.PrintArea" localSheetId="4" hidden="1">'SAH-5 (Public)'!$A$1:$J$6</definedName>
    <definedName name="Z_8FFF3C77_2825_41B0_9391_60059C2D97A9_.wvu.PrintArea" localSheetId="5" hidden="1">'SAH-6 (Public)'!$A$1:$J$6</definedName>
    <definedName name="Z_8FFF3C77_2825_41B0_9391_60059C2D97A9_.wvu.PrintArea" localSheetId="6" hidden="1">'SAH-7 (Public)'!$A$1:$J$13</definedName>
    <definedName name="Z_8FFF3C77_2825_41B0_9391_60059C2D97A9_.wvu.PrintArea" localSheetId="8" hidden="1">'SAH-9 (Public)'!$A$1:$J$6</definedName>
    <definedName name="Z_8FFF3C77_2825_41B0_9391_60059C2D97A9_.wvu.PrintTitles" localSheetId="3" hidden="1">'SAH-4 (Public)'!$6:$6</definedName>
    <definedName name="Z_8FFF3C77_2825_41B0_9391_60059C2D97A9_.wvu.PrintTitles" localSheetId="4" hidden="1">'SAH-5 (Public)'!$6:$6</definedName>
    <definedName name="Z_8FFF3C77_2825_41B0_9391_60059C2D97A9_.wvu.PrintTitles" localSheetId="5" hidden="1">'SAH-6 (Public)'!$6:$6</definedName>
    <definedName name="Z_8FFF3C77_2825_41B0_9391_60059C2D97A9_.wvu.PrintTitles" localSheetId="8" hidden="1">'SAH-9 (Public)'!$6:$6</definedName>
    <definedName name="Z_8FFF3C77_2825_41B0_9391_60059C2D97A9_.wvu.Rows" localSheetId="4" hidden="1">'SAH-5 (Public)'!#REF!</definedName>
    <definedName name="Z_8FFF3C77_2825_41B0_9391_60059C2D97A9_.wvu.Rows" localSheetId="6" hidden="1">'SAH-7 (Public)'!$7:$13</definedName>
    <definedName name="Z_912BCF8D_911F_465E_ACD9_2BA4DA7FEC76_.wvu.FilterData" localSheetId="3" hidden="1">'SAH-4 (Public)'!$A$6:$J$6</definedName>
    <definedName name="Z_91780941_6E3E_4716_9969_2F92F9A35E2E_.wvu.FilterData" localSheetId="8" hidden="1">'SAH-9 (Public)'!$A$6:$G$6</definedName>
    <definedName name="Z_91780941_6E3E_4716_9969_2F92F9A35E2E_.wvu.PrintArea" localSheetId="8" hidden="1">'SAH-9 (Public)'!$A$1:$G$6</definedName>
    <definedName name="Z_91780941_6E3E_4716_9969_2F92F9A35E2E_.wvu.PrintTitles" localSheetId="8" hidden="1">'SAH-9 (Public)'!$6:$6</definedName>
    <definedName name="Z_9194728E_CBD2_43A3_8DDE_44DC46912241_.wvu.FilterData" localSheetId="8" hidden="1">'SAH-9 (Public)'!$A$6:$J$6</definedName>
    <definedName name="Z_93D61EE9_3ED5_4E0E_A4E7_FB0CC4CA6336_.wvu.FilterData" localSheetId="8" hidden="1">'SAH-9 (Public)'!$A$6:$J$6</definedName>
    <definedName name="Z_95ADB999_3172_4B21_A6DB_15AB9D588FC3_.wvu.FilterData" localSheetId="3" hidden="1">'SAH-4 (Public)'!$A$6:$N$6</definedName>
    <definedName name="Z_95CB6B4C_BBA4_4D76_A936_73F4FBC81FF7_.wvu.FilterData" localSheetId="5" hidden="1">'SAH-6 (Public)'!$A$6:$J$6</definedName>
    <definedName name="Z_979CB94E_D566_402C_9985_8941C3C50686_.wvu.FilterData" localSheetId="4" hidden="1">'SAH-5 (Public)'!$A$6:$J$6</definedName>
    <definedName name="Z_987988FC_A887_4872_986A_B9988365F064_.wvu.FilterData" localSheetId="6" hidden="1">'SAH-7 (Public)'!$A$6:$J$13</definedName>
    <definedName name="Z_987988FC_A887_4872_986A_B9988365F064_.wvu.PrintArea" localSheetId="6" hidden="1">'SAH-7 (Public)'!$A$1:$J$13</definedName>
    <definedName name="Z_987988FC_A887_4872_986A_B9988365F064_.wvu.PrintTitles" localSheetId="6" hidden="1">'SAH-7 (Public)'!$6:$6</definedName>
    <definedName name="Z_9A33EC23_711F_4E94_8656_20D7B19A81F4_.wvu.FilterData" localSheetId="6" hidden="1">'SAH-7 (Public)'!$A$6:$J$13</definedName>
    <definedName name="Z_9A37F2CF_AEA8_455A_BF8D_E833C12F7B68_.wvu.Cols" localSheetId="5" hidden="1">'SAH-6 (Public)'!#REF!</definedName>
    <definedName name="Z_9A37F2CF_AEA8_455A_BF8D_E833C12F7B68_.wvu.FilterData" localSheetId="5" hidden="1">'SAH-6 (Public)'!$A$6:$J$6</definedName>
    <definedName name="Z_9A37F2CF_AEA8_455A_BF8D_E833C12F7B68_.wvu.PrintArea" localSheetId="5" hidden="1">'SAH-6 (Public)'!$A$1:$J$6</definedName>
    <definedName name="Z_9A37F2CF_AEA8_455A_BF8D_E833C12F7B68_.wvu.PrintTitles" localSheetId="5" hidden="1">'SAH-6 (Public)'!$6:$6</definedName>
    <definedName name="Z_9A510B0F_21C5_4749_9F33_B1963086D33F_.wvu.FilterData" localSheetId="5" hidden="1">'SAH-6 (Public)'!$A$6:$J$6</definedName>
    <definedName name="Z_9A510B0F_21C5_4749_9F33_B1963086D33F_.wvu.PrintArea" localSheetId="5" hidden="1">'SAH-6 (Public)'!$A$1:$J$6</definedName>
    <definedName name="Z_9A510B0F_21C5_4749_9F33_B1963086D33F_.wvu.PrintTitles" localSheetId="5" hidden="1">'SAH-6 (Public)'!$6:$6</definedName>
    <definedName name="Z_9CFA7151_E62D_4DEE_B95E_96CC50935BEE_.wvu.FilterData" localSheetId="4" hidden="1">'SAH-5 (Public)'!$A$6:$J$6</definedName>
    <definedName name="Z_9CFA7151_E62D_4DEE_B95E_96CC50935BEE_.wvu.FilterData" localSheetId="6" hidden="1">'SAH-7 (Public)'!$A$6:$J$13</definedName>
    <definedName name="Z_9CFA7151_E62D_4DEE_B95E_96CC50935BEE_.wvu.PrintArea" localSheetId="4" hidden="1">'SAH-5 (Public)'!$A$1:$J$6</definedName>
    <definedName name="Z_9CFA7151_E62D_4DEE_B95E_96CC50935BEE_.wvu.PrintArea" localSheetId="6" hidden="1">'SAH-7 (Public)'!$A$1:$J$13</definedName>
    <definedName name="Z_9CFA7151_E62D_4DEE_B95E_96CC50935BEE_.wvu.PrintTitles" localSheetId="4" hidden="1">'SAH-5 (Public)'!$6:$6</definedName>
    <definedName name="Z_9D484A51_1240_49C1_8351_AAD0330FAE04_.wvu.FilterData" localSheetId="3" hidden="1">'SAH-4 (Public)'!$A$6:$J$6</definedName>
    <definedName name="Z_9D7F7174_2D4E_4490_BBAD_5C9906C8F1F9_.wvu.FilterData" localSheetId="4" hidden="1">'SAH-5 (Public)'!$A$6:$J$6</definedName>
    <definedName name="Z_9D7F7174_2D4E_4490_BBAD_5C9906C8F1F9_.wvu.FilterData" localSheetId="8" hidden="1">'SAH-9 (Public)'!$A$6:$J$6</definedName>
    <definedName name="Z_9DA4E337_89A2_4100_A3A4_E14F0C960680_.wvu.FilterData" localSheetId="8" hidden="1">'SAH-9 (Public)'!$A$6:$J$6</definedName>
    <definedName name="Z_9EFDEC82_5D33_44BE_92B7_C0126CF77595_.wvu.FilterData" localSheetId="8" hidden="1">'SAH-9 (Public)'!$A$6:$G$6</definedName>
    <definedName name="Z_9F860BBF_1303_4806_BDD9_5483EE1E461A_.wvu.FilterData" localSheetId="4" hidden="1">'SAH-5 (Public)'!$A$6:$J$6</definedName>
    <definedName name="Z_9FBB8BB2_DA71_4892_9BEA_873D0B9AAEB3_.wvu.FilterData" localSheetId="3" hidden="1">'SAH-4 (Public)'!$A$6:$J$6</definedName>
    <definedName name="Z_A0421522_BBB6_413C_9BC2_5CC17529B230_.wvu.FilterData" localSheetId="6" hidden="1">'SAH-7 (Public)'!$A$6:$J$13</definedName>
    <definedName name="Z_A0421522_BBB6_413C_9BC2_5CC17529B230_.wvu.PrintArea" localSheetId="6" hidden="1">'SAH-7 (Public)'!$A$1:$J$13</definedName>
    <definedName name="Z_A114049B_E89C_4592_BA60_D2F2E55EF008_.wvu.FilterData" localSheetId="8" hidden="1">'SAH-9 (Public)'!$A$6:$J$6</definedName>
    <definedName name="Z_A114049B_E89C_4592_BA60_D2F2E55EF008_.wvu.PrintArea" localSheetId="8" hidden="1">'SAH-9 (Public)'!$A$1:$J$6</definedName>
    <definedName name="Z_A114049B_E89C_4592_BA60_D2F2E55EF008_.wvu.PrintTitles" localSheetId="8" hidden="1">'SAH-9 (Public)'!$6:$6</definedName>
    <definedName name="Z_A31FE114_2765_4211_A2E3_73F81103CE3C_.wvu.FilterData" localSheetId="3" hidden="1">'SAH-4 (Public)'!$A$1:$J$6</definedName>
    <definedName name="Z_A50285A1_C28C_4CA9_BAA6_FD82C39B3243_.wvu.FilterData" localSheetId="3" hidden="1">'SAH-4 (Public)'!$A$6:$J$6</definedName>
    <definedName name="Z_A5E92898_DE21_4AEB_9EAF_635A938F89BE_.wvu.FilterData" localSheetId="8" hidden="1">'SAH-9 (Public)'!$A$6:$J$6</definedName>
    <definedName name="Z_A63E14EF_D5C1_4E1C_B470_A6769C8820F1_.wvu.Cols" localSheetId="3" hidden="1">'SAH-4 (Public)'!#REF!,'SAH-4 (Public)'!#REF!,'SAH-4 (Public)'!#REF!,'SAH-4 (Public)'!#REF!,'SAH-4 (Public)'!#REF!</definedName>
    <definedName name="Z_A63E14EF_D5C1_4E1C_B470_A6769C8820F1_.wvu.Cols" localSheetId="4" hidden="1">'SAH-5 (Public)'!#REF!,'SAH-5 (Public)'!#REF!,'SAH-5 (Public)'!#REF!,'SAH-5 (Public)'!#REF!,'SAH-5 (Public)'!#REF!,'SAH-5 (Public)'!#REF!</definedName>
    <definedName name="Z_A63E14EF_D5C1_4E1C_B470_A6769C8820F1_.wvu.Cols" localSheetId="5" hidden="1">'SAH-6 (Public)'!#REF!,'SAH-6 (Public)'!#REF!,'SAH-6 (Public)'!#REF!,'SAH-6 (Public)'!#REF!</definedName>
    <definedName name="Z_A63E14EF_D5C1_4E1C_B470_A6769C8820F1_.wvu.Cols" localSheetId="8" hidden="1">'SAH-9 (Public)'!#REF!,'SAH-9 (Public)'!#REF!,'SAH-9 (Public)'!#REF!,'SAH-9 (Public)'!#REF!,'SAH-9 (Public)'!#REF!,'SAH-9 (Public)'!#REF!</definedName>
    <definedName name="Z_A63E14EF_D5C1_4E1C_B470_A6769C8820F1_.wvu.FilterData" localSheetId="3" hidden="1">'SAH-4 (Public)'!$A$6:$N$6</definedName>
    <definedName name="Z_A63E14EF_D5C1_4E1C_B470_A6769C8820F1_.wvu.FilterData" localSheetId="4" hidden="1">'SAH-5 (Public)'!$A$6:$J$6</definedName>
    <definedName name="Z_A63E14EF_D5C1_4E1C_B470_A6769C8820F1_.wvu.FilterData" localSheetId="5" hidden="1">'SAH-6 (Public)'!$A$6:$J$6</definedName>
    <definedName name="Z_A63E14EF_D5C1_4E1C_B470_A6769C8820F1_.wvu.FilterData" localSheetId="8" hidden="1">'SAH-9 (Public)'!$A$6:$J$6</definedName>
    <definedName name="Z_A63E14EF_D5C1_4E1C_B470_A6769C8820F1_.wvu.PrintTitles" localSheetId="3" hidden="1">'SAH-4 (Public)'!$6:$6</definedName>
    <definedName name="Z_A63E14EF_D5C1_4E1C_B470_A6769C8820F1_.wvu.PrintTitles" localSheetId="4" hidden="1">'SAH-5 (Public)'!$6:$6</definedName>
    <definedName name="Z_A63E14EF_D5C1_4E1C_B470_A6769C8820F1_.wvu.PrintTitles" localSheetId="5" hidden="1">'SAH-6 (Public)'!$6:$6</definedName>
    <definedName name="Z_A63E14EF_D5C1_4E1C_B470_A6769C8820F1_.wvu.PrintTitles" localSheetId="8" hidden="1">'SAH-9 (Public)'!$6:$6</definedName>
    <definedName name="Z_A81E9EFF_EC04_4207_A6F9_80E1E0974734_.wvu.FilterData" localSheetId="3" hidden="1">'SAH-4 (Public)'!$A$6:$J$6</definedName>
    <definedName name="Z_A81E9EFF_EC04_4207_A6F9_80E1E0974734_.wvu.FilterData" localSheetId="8" hidden="1">'SAH-9 (Public)'!$A$6:$J$6</definedName>
    <definedName name="Z_A8FB8508_ED20_4112_9E86_776C91B79B8E_.wvu.FilterData" localSheetId="4" hidden="1">'SAH-5 (Public)'!$A$6:$J$6</definedName>
    <definedName name="Z_A8FB8508_ED20_4112_9E86_776C91B79B8E_.wvu.FilterData" localSheetId="6" hidden="1">'SAH-7 (Public)'!$A$6:$J$13</definedName>
    <definedName name="Z_A8FB8508_ED20_4112_9E86_776C91B79B8E_.wvu.PrintArea" localSheetId="4" hidden="1">'SAH-5 (Public)'!$A$1:$J$6</definedName>
    <definedName name="Z_A8FB8508_ED20_4112_9E86_776C91B79B8E_.wvu.PrintArea" localSheetId="6" hidden="1">'SAH-7 (Public)'!$A$1:$J$13</definedName>
    <definedName name="Z_A8FB8508_ED20_4112_9E86_776C91B79B8E_.wvu.PrintTitles" localSheetId="4" hidden="1">'SAH-5 (Public)'!$6:$6</definedName>
    <definedName name="Z_A9BD14DE_6A79_49D7_87AB_D9C7F2984C84_.wvu.FilterData" localSheetId="4" hidden="1">'SAH-5 (Public)'!$A$6:$J$6</definedName>
    <definedName name="Z_A9BD14DE_6A79_49D7_87AB_D9C7F2984C84_.wvu.FilterData" localSheetId="6" hidden="1">'SAH-7 (Public)'!$A$6:$J$13</definedName>
    <definedName name="Z_A9BD14DE_6A79_49D7_87AB_D9C7F2984C84_.wvu.PrintArea" localSheetId="4" hidden="1">'SAH-5 (Public)'!$A$1:$J$6</definedName>
    <definedName name="Z_A9BD14DE_6A79_49D7_87AB_D9C7F2984C84_.wvu.PrintArea" localSheetId="6" hidden="1">'SAH-7 (Public)'!$A$1:$J$13</definedName>
    <definedName name="Z_A9BD14DE_6A79_49D7_87AB_D9C7F2984C84_.wvu.PrintTitles" localSheetId="4" hidden="1">'SAH-5 (Public)'!$6:$6</definedName>
    <definedName name="Z_ABD31C00_A6DB_455E_8A4B_4D8ADBCF8490_.wvu.FilterData" localSheetId="3" hidden="1">'SAH-4 (Public)'!$A$6:$J$6</definedName>
    <definedName name="Z_ADD661A0_0461_41E3_BAE7_C27A23A957D1_.wvu.FilterData" localSheetId="8" hidden="1">'SAH-9 (Public)'!$A$6:$J$6</definedName>
    <definedName name="Z_AE143403_C441_49F8_AD32_9C722508526B_.wvu.Cols" localSheetId="3" hidden="1">'SAH-4 (Public)'!#REF!,'SAH-4 (Public)'!#REF!</definedName>
    <definedName name="Z_AE143403_C441_49F8_AD32_9C722508526B_.wvu.Cols" localSheetId="4" hidden="1">'SAH-5 (Public)'!#REF!,'SAH-5 (Public)'!#REF!</definedName>
    <definedName name="Z_AE143403_C441_49F8_AD32_9C722508526B_.wvu.Cols" localSheetId="5" hidden="1">'SAH-6 (Public)'!#REF!,'SAH-6 (Public)'!#REF!</definedName>
    <definedName name="Z_AE143403_C441_49F8_AD32_9C722508526B_.wvu.Cols" localSheetId="8" hidden="1">'SAH-9 (Public)'!#REF!,'SAH-9 (Public)'!#REF!</definedName>
    <definedName name="Z_AE143403_C441_49F8_AD32_9C722508526B_.wvu.FilterData" localSheetId="3" hidden="1">'SAH-4 (Public)'!$A$6:$N$6</definedName>
    <definedName name="Z_AE143403_C441_49F8_AD32_9C722508526B_.wvu.FilterData" localSheetId="4" hidden="1">'SAH-5 (Public)'!$A$6:$J$6</definedName>
    <definedName name="Z_AE143403_C441_49F8_AD32_9C722508526B_.wvu.FilterData" localSheetId="5" hidden="1">'SAH-6 (Public)'!$A$6:$J$6</definedName>
    <definedName name="Z_AE143403_C441_49F8_AD32_9C722508526B_.wvu.FilterData" localSheetId="8" hidden="1">'SAH-9 (Public)'!$A$6:$J$6</definedName>
    <definedName name="Z_AE143403_C441_49F8_AD32_9C722508526B_.wvu.PrintTitles" localSheetId="3" hidden="1">'SAH-4 (Public)'!$6:$6</definedName>
    <definedName name="Z_AE143403_C441_49F8_AD32_9C722508526B_.wvu.PrintTitles" localSheetId="4" hidden="1">'SAH-5 (Public)'!$6:$6</definedName>
    <definedName name="Z_AE143403_C441_49F8_AD32_9C722508526B_.wvu.PrintTitles" localSheetId="5" hidden="1">'SAH-6 (Public)'!$6:$6</definedName>
    <definedName name="Z_AE143403_C441_49F8_AD32_9C722508526B_.wvu.PrintTitles" localSheetId="8" hidden="1">'SAH-9 (Public)'!$6:$6</definedName>
    <definedName name="Z_AFCC5CA4_50FC_4B1F_8D79_3642991CBCB3_.wvu.Cols" localSheetId="3" hidden="1">'SAH-4 (Public)'!#REF!,'SAH-4 (Public)'!#REF!</definedName>
    <definedName name="Z_AFCC5CA4_50FC_4B1F_8D79_3642991CBCB3_.wvu.Cols" localSheetId="4" hidden="1">'SAH-5 (Public)'!#REF!,'SAH-5 (Public)'!#REF!,'SAH-5 (Public)'!#REF!</definedName>
    <definedName name="Z_AFCC5CA4_50FC_4B1F_8D79_3642991CBCB3_.wvu.Cols" localSheetId="5" hidden="1">'SAH-6 (Public)'!#REF!,'SAH-6 (Public)'!#REF!</definedName>
    <definedName name="Z_AFCC5CA4_50FC_4B1F_8D79_3642991CBCB3_.wvu.Cols" localSheetId="6" hidden="1">'SAH-7 (Public)'!#REF!,'SAH-7 (Public)'!#REF!,'SAH-7 (Public)'!#REF!</definedName>
    <definedName name="Z_AFCC5CA4_50FC_4B1F_8D79_3642991CBCB3_.wvu.FilterData" localSheetId="3" hidden="1">'SAH-4 (Public)'!$A$6:$J$6</definedName>
    <definedName name="Z_AFCC5CA4_50FC_4B1F_8D79_3642991CBCB3_.wvu.FilterData" localSheetId="4" hidden="1">'SAH-5 (Public)'!$A$6:$J$6</definedName>
    <definedName name="Z_AFCC5CA4_50FC_4B1F_8D79_3642991CBCB3_.wvu.FilterData" localSheetId="5" hidden="1">'SAH-6 (Public)'!$A$6:$J$6</definedName>
    <definedName name="Z_AFCC5CA4_50FC_4B1F_8D79_3642991CBCB3_.wvu.FilterData" localSheetId="6" hidden="1">'SAH-7 (Public)'!$A$6:$H$13</definedName>
    <definedName name="Z_AFCC5CA4_50FC_4B1F_8D79_3642991CBCB3_.wvu.FilterData" localSheetId="8" hidden="1">'SAH-9 (Public)'!$A$6:$J$6</definedName>
    <definedName name="Z_AFCC5CA4_50FC_4B1F_8D79_3642991CBCB3_.wvu.PrintArea" localSheetId="3" hidden="1">'SAH-4 (Public)'!$A$1:$J$6</definedName>
    <definedName name="Z_AFCC5CA4_50FC_4B1F_8D79_3642991CBCB3_.wvu.PrintArea" localSheetId="4" hidden="1">'SAH-5 (Public)'!$A$1:$J$6</definedName>
    <definedName name="Z_AFCC5CA4_50FC_4B1F_8D79_3642991CBCB3_.wvu.PrintArea" localSheetId="5" hidden="1">'SAH-6 (Public)'!$A$1:$J$6</definedName>
    <definedName name="Z_AFCC5CA4_50FC_4B1F_8D79_3642991CBCB3_.wvu.PrintArea" localSheetId="6" hidden="1">'SAH-7 (Public)'!$A$1:$J$13</definedName>
    <definedName name="Z_AFCC5CA4_50FC_4B1F_8D79_3642991CBCB3_.wvu.PrintArea" localSheetId="8" hidden="1">'SAH-9 (Public)'!$A$1:$J$6</definedName>
    <definedName name="Z_AFCC5CA4_50FC_4B1F_8D79_3642991CBCB3_.wvu.PrintTitles" localSheetId="3" hidden="1">'SAH-4 (Public)'!$6:$6</definedName>
    <definedName name="Z_AFCC5CA4_50FC_4B1F_8D79_3642991CBCB3_.wvu.PrintTitles" localSheetId="4" hidden="1">'SAH-5 (Public)'!$6:$6</definedName>
    <definedName name="Z_AFCC5CA4_50FC_4B1F_8D79_3642991CBCB3_.wvu.PrintTitles" localSheetId="5" hidden="1">'SAH-6 (Public)'!$6:$6</definedName>
    <definedName name="Z_AFCC5CA4_50FC_4B1F_8D79_3642991CBCB3_.wvu.PrintTitles" localSheetId="8" hidden="1">'SAH-9 (Public)'!$6:$6</definedName>
    <definedName name="Z_AFCC5CA4_50FC_4B1F_8D79_3642991CBCB3_.wvu.Rows" localSheetId="5" hidden="1">'SAH-6 (Public)'!#REF!</definedName>
    <definedName name="Z_B10E950D_F63D_4221_8C80_46F0575A131A_.wvu.FilterData" localSheetId="4" hidden="1">'SAH-5 (Public)'!$A$6:$J$6</definedName>
    <definedName name="Z_B10E950D_F63D_4221_8C80_46F0575A131A_.wvu.FilterData" localSheetId="5" hidden="1">'SAH-6 (Public)'!$A$6:$J$6</definedName>
    <definedName name="Z_B207B624_6B10_4952_81C4_2EEC3A65FE15_.wvu.FilterData" localSheetId="8" hidden="1">'SAH-9 (Public)'!$A$6:$J$6</definedName>
    <definedName name="Z_B26B3D8D_0758_4EF4_A7E0_48D180F99594_.wvu.PrintArea" localSheetId="3" hidden="1">'SAH-4 (Public)'!$A$1:$A$5</definedName>
    <definedName name="Z_B26B3D8D_0758_4EF4_A7E0_48D180F99594_.wvu.PrintArea" localSheetId="4" hidden="1">'SAH-5 (Public)'!$A$1:$A$5</definedName>
    <definedName name="Z_B26B3D8D_0758_4EF4_A7E0_48D180F99594_.wvu.PrintArea" localSheetId="5" hidden="1">'SAH-6 (Public)'!$A$1:$C$6</definedName>
    <definedName name="Z_B26B3D8D_0758_4EF4_A7E0_48D180F99594_.wvu.PrintArea" localSheetId="6" hidden="1">'SAH-7 (Public)'!$A$1:$A$5</definedName>
    <definedName name="Z_B26B3D8D_0758_4EF4_A7E0_48D180F99594_.wvu.PrintArea" localSheetId="8" hidden="1">'SAH-9 (Public)'!$A$1:$A$6</definedName>
    <definedName name="Z_B2E40447_3AFE_4AED_AE15_287D23E8296F_.wvu.FilterData" localSheetId="4" hidden="1">'SAH-5 (Public)'!$A$6:$J$6</definedName>
    <definedName name="Z_B2E40447_3AFE_4AED_AE15_287D23E8296F_.wvu.FilterData" localSheetId="6" hidden="1">'SAH-7 (Public)'!$A$6:$J$13</definedName>
    <definedName name="Z_B2E40447_3AFE_4AED_AE15_287D23E8296F_.wvu.PrintArea" localSheetId="4" hidden="1">'SAH-5 (Public)'!$A$1:$J$6</definedName>
    <definedName name="Z_B2E40447_3AFE_4AED_AE15_287D23E8296F_.wvu.PrintArea" localSheetId="6" hidden="1">'SAH-7 (Public)'!$A$1:$J$13</definedName>
    <definedName name="Z_B2E40447_3AFE_4AED_AE15_287D23E8296F_.wvu.PrintTitles" localSheetId="4" hidden="1">'SAH-5 (Public)'!$6:$6</definedName>
    <definedName name="Z_B35B0806_198D_4AAA_A62B_7237DD20E17E_.wvu.PrintArea" localSheetId="3" hidden="1">'SAH-4 (Public)'!$A$1:$A$5</definedName>
    <definedName name="Z_B35B0806_198D_4AAA_A62B_7237DD20E17E_.wvu.PrintArea" localSheetId="4" hidden="1">'SAH-5 (Public)'!$A$1:$A$5</definedName>
    <definedName name="Z_B35B0806_198D_4AAA_A62B_7237DD20E17E_.wvu.PrintArea" localSheetId="5" hidden="1">'SAH-6 (Public)'!$A$1:$C$6</definedName>
    <definedName name="Z_B35B0806_198D_4AAA_A62B_7237DD20E17E_.wvu.PrintArea" localSheetId="6" hidden="1">'SAH-7 (Public)'!$A$1:$A$5</definedName>
    <definedName name="Z_B35B0806_198D_4AAA_A62B_7237DD20E17E_.wvu.PrintArea" localSheetId="8" hidden="1">'SAH-9 (Public)'!$A$1:$A$6</definedName>
    <definedName name="Z_B63C387D_A056_4E4D_B166_5B5FE846313F_.wvu.FilterData" localSheetId="3" hidden="1">'SAH-4 (Public)'!$A$6:$J$6</definedName>
    <definedName name="Z_B63C387D_A056_4E4D_B166_5B5FE846313F_.wvu.FilterData" localSheetId="4" hidden="1">'SAH-5 (Public)'!$A$6:$J$6</definedName>
    <definedName name="Z_B63C387D_A056_4E4D_B166_5B5FE846313F_.wvu.FilterData" localSheetId="5" hidden="1">'SAH-6 (Public)'!$A$6:$J$6</definedName>
    <definedName name="Z_B63C387D_A056_4E4D_B166_5B5FE846313F_.wvu.FilterData" localSheetId="6" hidden="1">'SAH-7 (Public)'!$A$6:$J$13</definedName>
    <definedName name="Z_B63C387D_A056_4E4D_B166_5B5FE846313F_.wvu.FilterData" localSheetId="8" hidden="1">'SAH-9 (Public)'!$A$6:$J$6</definedName>
    <definedName name="Z_B63C387D_A056_4E4D_B166_5B5FE846313F_.wvu.PrintArea" localSheetId="3" hidden="1">'SAH-4 (Public)'!$A$1:$J$6</definedName>
    <definedName name="Z_B63C387D_A056_4E4D_B166_5B5FE846313F_.wvu.PrintArea" localSheetId="4" hidden="1">'SAH-5 (Public)'!$A$1:$J$6</definedName>
    <definedName name="Z_B63C387D_A056_4E4D_B166_5B5FE846313F_.wvu.PrintArea" localSheetId="5" hidden="1">'SAH-6 (Public)'!$A$1:$J$6</definedName>
    <definedName name="Z_B63C387D_A056_4E4D_B166_5B5FE846313F_.wvu.PrintArea" localSheetId="6" hidden="1">'SAH-7 (Public)'!$A$1:$J$13</definedName>
    <definedName name="Z_B63C387D_A056_4E4D_B166_5B5FE846313F_.wvu.PrintTitles" localSheetId="3" hidden="1">'SAH-4 (Public)'!$6:$6</definedName>
    <definedName name="Z_B63C387D_A056_4E4D_B166_5B5FE846313F_.wvu.PrintTitles" localSheetId="4" hidden="1">'SAH-5 (Public)'!$6:$6</definedName>
    <definedName name="Z_B63C387D_A056_4E4D_B166_5B5FE846313F_.wvu.PrintTitles" localSheetId="5" hidden="1">'SAH-6 (Public)'!$6:$6</definedName>
    <definedName name="Z_B63C387D_A056_4E4D_B166_5B5FE846313F_.wvu.PrintTitles" localSheetId="8" hidden="1">'SAH-9 (Public)'!$6:$6</definedName>
    <definedName name="Z_B753715A_6862_4E2C_B597_EC34FCA7AAA9_.wvu.FilterData" localSheetId="4" hidden="1">'SAH-5 (Public)'!$A$6:$J$6</definedName>
    <definedName name="Z_B753715A_6862_4E2C_B597_EC34FCA7AAA9_.wvu.FilterData" localSheetId="5" hidden="1">'SAH-6 (Public)'!$A$6:$J$6</definedName>
    <definedName name="Z_B753715A_6862_4E2C_B597_EC34FCA7AAA9_.wvu.FilterData" localSheetId="8" hidden="1">'SAH-9 (Public)'!$A$6:$J$6</definedName>
    <definedName name="Z_B8F897C4_4EB1_48E3_8096_A9049BAAFBCC_.wvu.FilterData" localSheetId="8" hidden="1">'SAH-9 (Public)'!$A$6:$J$6</definedName>
    <definedName name="Z_B932A06D_29D4_420E_AF50_ECCA3498066A_.wvu.FilterData" localSheetId="6" hidden="1">'SAH-7 (Public)'!$A$6:$J$13</definedName>
    <definedName name="Z_B932A06D_29D4_420E_AF50_ECCA3498066A_.wvu.PrintTitles" localSheetId="6" hidden="1">'SAH-7 (Public)'!$6:$6</definedName>
    <definedName name="Z_B9D0BA06_456B_4C9E_88C3_7A6124D6A10E_.wvu.FilterData" localSheetId="4" hidden="1">'SAH-5 (Public)'!$A$6:$J$6</definedName>
    <definedName name="Z_B9D0BA06_456B_4C9E_88C3_7A6124D6A10E_.wvu.FilterData" localSheetId="8" hidden="1">'SAH-9 (Public)'!$A$6:$J$6</definedName>
    <definedName name="Z_BB117E27_D7D4_40F4_A294_3A7F6FCBFD7A_.wvu.FilterData" localSheetId="8" hidden="1">'SAH-9 (Public)'!$A$6:$J$6</definedName>
    <definedName name="Z_BB117E27_D7D4_40F4_A294_3A7F6FCBFD7A_.wvu.PrintArea" localSheetId="8" hidden="1">'SAH-9 (Public)'!$A$1:$J$6</definedName>
    <definedName name="Z_BB117E27_D7D4_40F4_A294_3A7F6FCBFD7A_.wvu.PrintTitles" localSheetId="8" hidden="1">'SAH-9 (Public)'!$6:$6</definedName>
    <definedName name="Z_BCB5D5E8_D633_48A1_94CA_21D8E9A39971_.wvu.FilterData" localSheetId="3" hidden="1">'SAH-4 (Public)'!$A$6:$N$6</definedName>
    <definedName name="Z_BD069628_5300_436D_B240_C58951BE5C17_.wvu.Cols" localSheetId="3" hidden="1">'SAH-4 (Public)'!#REF!,'SAH-4 (Public)'!#REF!</definedName>
    <definedName name="Z_BD069628_5300_436D_B240_C58951BE5C17_.wvu.Cols" localSheetId="4" hidden="1">'SAH-5 (Public)'!#REF!,'SAH-5 (Public)'!#REF!,'SAH-5 (Public)'!#REF!</definedName>
    <definedName name="Z_BD069628_5300_436D_B240_C58951BE5C17_.wvu.Cols" localSheetId="5" hidden="1">'SAH-6 (Public)'!#REF!,'SAH-6 (Public)'!#REF!</definedName>
    <definedName name="Z_BD069628_5300_436D_B240_C58951BE5C17_.wvu.Cols" localSheetId="6" hidden="1">'SAH-7 (Public)'!#REF!,'SAH-7 (Public)'!#REF!,'SAH-7 (Public)'!#REF!</definedName>
    <definedName name="Z_BD069628_5300_436D_B240_C58951BE5C17_.wvu.FilterData" localSheetId="3" hidden="1">'SAH-4 (Public)'!$A$6:$J$6</definedName>
    <definedName name="Z_BD069628_5300_436D_B240_C58951BE5C17_.wvu.FilterData" localSheetId="4" hidden="1">'SAH-5 (Public)'!$A$6:$J$6</definedName>
    <definedName name="Z_BD069628_5300_436D_B240_C58951BE5C17_.wvu.FilterData" localSheetId="5" hidden="1">'SAH-6 (Public)'!$A$6:$J$6</definedName>
    <definedName name="Z_BD069628_5300_436D_B240_C58951BE5C17_.wvu.FilterData" localSheetId="6" hidden="1">'SAH-7 (Public)'!$A$6:$J$13</definedName>
    <definedName name="Z_BD069628_5300_436D_B240_C58951BE5C17_.wvu.FilterData" localSheetId="8" hidden="1">'SAH-9 (Public)'!$A$6:$J$6</definedName>
    <definedName name="Z_BD069628_5300_436D_B240_C58951BE5C17_.wvu.PrintArea" localSheetId="3" hidden="1">'SAH-4 (Public)'!$A$1:$J$6</definedName>
    <definedName name="Z_BD069628_5300_436D_B240_C58951BE5C17_.wvu.PrintArea" localSheetId="4" hidden="1">'SAH-5 (Public)'!$A$1:$J$6</definedName>
    <definedName name="Z_BD069628_5300_436D_B240_C58951BE5C17_.wvu.PrintArea" localSheetId="5" hidden="1">'SAH-6 (Public)'!$A$1:$J$6</definedName>
    <definedName name="Z_BD069628_5300_436D_B240_C58951BE5C17_.wvu.PrintArea" localSheetId="6" hidden="1">'SAH-7 (Public)'!$A$1:$J$13</definedName>
    <definedName name="Z_BD069628_5300_436D_B240_C58951BE5C17_.wvu.PrintArea" localSheetId="8" hidden="1">'SAH-9 (Public)'!$A$1:$J$6</definedName>
    <definedName name="Z_BD069628_5300_436D_B240_C58951BE5C17_.wvu.PrintTitles" localSheetId="3" hidden="1">'SAH-4 (Public)'!$6:$6</definedName>
    <definedName name="Z_BD069628_5300_436D_B240_C58951BE5C17_.wvu.PrintTitles" localSheetId="4" hidden="1">'SAH-5 (Public)'!$6:$6</definedName>
    <definedName name="Z_BD069628_5300_436D_B240_C58951BE5C17_.wvu.PrintTitles" localSheetId="5" hidden="1">'SAH-6 (Public)'!$6:$6</definedName>
    <definedName name="Z_BD069628_5300_436D_B240_C58951BE5C17_.wvu.PrintTitles" localSheetId="8" hidden="1">'SAH-9 (Public)'!$6:$6</definedName>
    <definedName name="Z_BD069628_5300_436D_B240_C58951BE5C17_.wvu.Rows" localSheetId="5" hidden="1">'SAH-6 (Public)'!#REF!</definedName>
    <definedName name="Z_BD069628_5300_436D_B240_C58951BE5C17_.wvu.Rows" localSheetId="6" hidden="1">'SAH-7 (Public)'!$7:$13</definedName>
    <definedName name="Z_BD157C24_E98E_4450_A484_44158B242935_.wvu.FilterData" localSheetId="3" hidden="1">'SAH-4 (Public)'!$A$6:$N$6</definedName>
    <definedName name="Z_BF09255F_5E16_4C04_8A89_6A87CD88D689_.wvu.FilterData" localSheetId="3" hidden="1">'SAH-4 (Public)'!$A$6:$N$6</definedName>
    <definedName name="Z_BF09255F_5E16_4C04_8A89_6A87CD88D689_.wvu.FilterData" localSheetId="4" hidden="1">'SAH-5 (Public)'!$A$6:$J$6</definedName>
    <definedName name="Z_BF09255F_5E16_4C04_8A89_6A87CD88D689_.wvu.FilterData" localSheetId="5" hidden="1">'SAH-6 (Public)'!$A$6:$J$6</definedName>
    <definedName name="Z_BF09255F_5E16_4C04_8A89_6A87CD88D689_.wvu.FilterData" localSheetId="8" hidden="1">'SAH-9 (Public)'!$A$6:$J$6</definedName>
    <definedName name="Z_BF09255F_5E16_4C04_8A89_6A87CD88D689_.wvu.PrintTitles" localSheetId="3" hidden="1">'SAH-4 (Public)'!$6:$6</definedName>
    <definedName name="Z_BF09255F_5E16_4C04_8A89_6A87CD88D689_.wvu.PrintTitles" localSheetId="4" hidden="1">'SAH-5 (Public)'!$6:$6</definedName>
    <definedName name="Z_BF09255F_5E16_4C04_8A89_6A87CD88D689_.wvu.PrintTitles" localSheetId="5" hidden="1">'SAH-6 (Public)'!$6:$6</definedName>
    <definedName name="Z_BF09255F_5E16_4C04_8A89_6A87CD88D689_.wvu.PrintTitles" localSheetId="8" hidden="1">'SAH-9 (Public)'!$6:$6</definedName>
    <definedName name="Z_BF57C0ED_E321_4D33_9EFB_314428C9847C_.wvu.FilterData" localSheetId="3" hidden="1">'SAH-4 (Public)'!$A$6:$N$6</definedName>
    <definedName name="Z_C3D11D10_1F44_4D94_A307_3CBC493ADAEA_.wvu.FilterData" localSheetId="6" hidden="1">'SAH-7 (Public)'!$A$6:$J$13</definedName>
    <definedName name="Z_C793D1AF_7CA6_46DD_9C3E_0DC2CD8E9117_.wvu.FilterData" localSheetId="3" hidden="1">'SAH-4 (Public)'!$A$6:$J$6</definedName>
    <definedName name="Z_C8AFD257_12BC_468D_9DE9_E8256AA3FAEE_.wvu.FilterData" localSheetId="8" hidden="1">'SAH-9 (Public)'!$A$6:$J$6</definedName>
    <definedName name="Z_CA31F64D_7D10_4741_B9EF_9CCA7B8841FE_.wvu.FilterData" localSheetId="3" hidden="1">'SAH-4 (Public)'!$A$6:$J$6</definedName>
    <definedName name="Z_CA7B0C08_BDFF_4023_8847_8BE97C18A9D3_.wvu.FilterData" localSheetId="5" hidden="1">'SAH-6 (Public)'!$A$6:$J$6</definedName>
    <definedName name="Z_CA7B0C08_BDFF_4023_8847_8BE97C18A9D3_.wvu.FilterData" localSheetId="8" hidden="1">'SAH-9 (Public)'!$A$6:$J$6</definedName>
    <definedName name="Z_CB7F206D_6066_4023_A3D2_08AE1DCC6BD8_.wvu.FilterData" localSheetId="3" hidden="1">'SAH-4 (Public)'!$A$1:$J$6</definedName>
    <definedName name="Z_CD1E0E4C_A4CB_466E_924F_411D2C0FCE66_.wvu.FilterData" localSheetId="4" hidden="1">'SAH-5 (Public)'!$A$6:$J$6</definedName>
    <definedName name="Z_CD1E0E4C_A4CB_466E_924F_411D2C0FCE66_.wvu.FilterData" localSheetId="8" hidden="1">'SAH-9 (Public)'!$A$6:$J$6</definedName>
    <definedName name="Z_CD4E69FE_085B_4300_BFA0_0E71DCE8FCAE_.wvu.FilterData" localSheetId="3" hidden="1">'SAH-4 (Public)'!$A$6:$N$6</definedName>
    <definedName name="Z_CD4E69FE_085B_4300_BFA0_0E71DCE8FCAE_.wvu.FilterData" localSheetId="4" hidden="1">'SAH-5 (Public)'!$A$6:$J$6</definedName>
    <definedName name="Z_CD4E69FE_085B_4300_BFA0_0E71DCE8FCAE_.wvu.FilterData" localSheetId="8" hidden="1">'SAH-9 (Public)'!$A$6:$J$6</definedName>
    <definedName name="Z_D031D499_BDA5_4AC8_BCB5_B4181DDBB501_.wvu.FilterData" localSheetId="8" hidden="1">'SAH-9 (Public)'!$A$6:$J$6</definedName>
    <definedName name="Z_D031D499_BDA5_4AC8_BCB5_B4181DDBB501_.wvu.PrintArea" localSheetId="8" hidden="1">'SAH-9 (Public)'!$A$1:$J$6</definedName>
    <definedName name="Z_D031D499_BDA5_4AC8_BCB5_B4181DDBB501_.wvu.PrintTitles" localSheetId="8" hidden="1">'SAH-9 (Public)'!$6:$6</definedName>
    <definedName name="Z_D0D76CAE_1301_482C_BD9D_4D76B67877B8_.wvu.FilterData" localSheetId="3" hidden="1">'SAH-4 (Public)'!$A$6:$J$6</definedName>
    <definedName name="Z_D0D76CAE_1301_482C_BD9D_4D76B67877B8_.wvu.FilterData" localSheetId="4" hidden="1">'SAH-5 (Public)'!$A$6:$J$6</definedName>
    <definedName name="Z_D0D76CAE_1301_482C_BD9D_4D76B67877B8_.wvu.FilterData" localSheetId="5" hidden="1">'SAH-6 (Public)'!$A$6:$J$6</definedName>
    <definedName name="Z_D0D76CAE_1301_482C_BD9D_4D76B67877B8_.wvu.FilterData" localSheetId="6" hidden="1">'SAH-7 (Public)'!$A$6:$J$13</definedName>
    <definedName name="Z_D24E6820_26D6_40B6_A5EC_1D0C8C88A784_.wvu.FilterData" localSheetId="4" hidden="1">'SAH-5 (Public)'!$A$6:$J$6</definedName>
    <definedName name="Z_D24FC374_7D79_4F92_B2FE_29502F2D82BC_.wvu.FilterData" localSheetId="5" hidden="1">'SAH-6 (Public)'!$A$6:$J$6</definedName>
    <definedName name="Z_D24FC374_7D79_4F92_B2FE_29502F2D82BC_.wvu.FilterData" localSheetId="8" hidden="1">'SAH-9 (Public)'!$A$6:$J$6</definedName>
    <definedName name="Z_D2D00CCD_3681_48FF_915A_745D3190BF02_.wvu.FilterData" localSheetId="4" hidden="1">'SAH-5 (Public)'!$A$6:$J$6</definedName>
    <definedName name="Z_D2D00CCD_3681_48FF_915A_745D3190BF02_.wvu.FilterData" localSheetId="6" hidden="1">'SAH-7 (Public)'!$A$6:$J$13</definedName>
    <definedName name="Z_D2D00CCD_3681_48FF_915A_745D3190BF02_.wvu.PrintArea" localSheetId="4" hidden="1">'SAH-5 (Public)'!$A$1:$J$6</definedName>
    <definedName name="Z_D2D00CCD_3681_48FF_915A_745D3190BF02_.wvu.PrintArea" localSheetId="6" hidden="1">'SAH-7 (Public)'!$A$1:$J$13</definedName>
    <definedName name="Z_D2D00CCD_3681_48FF_915A_745D3190BF02_.wvu.PrintTitles" localSheetId="4" hidden="1">'SAH-5 (Public)'!$6:$6</definedName>
    <definedName name="Z_D424A182_E6BD_44DA_A277_3E09D1DC3D1D_.wvu.FilterData" localSheetId="5" hidden="1">'SAH-6 (Public)'!$A$6:$J$6</definedName>
    <definedName name="Z_D425D2EB_3A2F_45C3_A4D3_AE6975C5C2B1_.wvu.FilterData" localSheetId="8" hidden="1">'SAH-9 (Public)'!$A$6:$J$6</definedName>
    <definedName name="Z_D465D75B_38A9_4EF8_8C99_2205380ABCED_.wvu.FilterData" localSheetId="4" hidden="1">'SAH-5 (Public)'!$A$6:$J$6</definedName>
    <definedName name="Z_D5AD5D75_E3DD_4227_99BE_F5A6704F6E7A_.wvu.FilterData" localSheetId="4" hidden="1">'SAH-5 (Public)'!$A$6:$J$6</definedName>
    <definedName name="Z_D5AD5D75_E3DD_4227_99BE_F5A6704F6E7A_.wvu.FilterData" localSheetId="8" hidden="1">'SAH-9 (Public)'!$A$6:$J$6</definedName>
    <definedName name="Z_D66DB8E2_A71C_4CDC_816A_DF3FF6E5634C_.wvu.FilterData" localSheetId="8" hidden="1">'SAH-9 (Public)'!$A$6:$J$6</definedName>
    <definedName name="Z_D8A4FD9C_5CD2_472A_8E4D_2293AEFFC28C_.wvu.FilterData" localSheetId="3" hidden="1">'SAH-4 (Public)'!$A$6:$J$6</definedName>
    <definedName name="Z_D8A4FD9C_5CD2_472A_8E4D_2293AEFFC28C_.wvu.PrintArea" localSheetId="3" hidden="1">'SAH-4 (Public)'!$A$1:$J$6</definedName>
    <definedName name="Z_D8A4FD9C_5CD2_472A_8E4D_2293AEFFC28C_.wvu.PrintTitles" localSheetId="3" hidden="1">'SAH-4 (Public)'!$6:$6</definedName>
    <definedName name="Z_D8ABD41C_1ABA_496E_9222_A8C069AF842C_.wvu.FilterData" localSheetId="8" hidden="1">'SAH-9 (Public)'!$A$6:$J$6</definedName>
    <definedName name="Z_D8ABD41C_1ABA_496E_9222_A8C069AF842C_.wvu.PrintArea" localSheetId="8" hidden="1">'SAH-9 (Public)'!$A$1:$J$6</definedName>
    <definedName name="Z_D8ABD41C_1ABA_496E_9222_A8C069AF842C_.wvu.PrintTitles" localSheetId="8" hidden="1">'SAH-9 (Public)'!$6:$6</definedName>
    <definedName name="Z_D96E2E41_5F6C_4F9C_AF56_35D5B0DC0FA0_.wvu.FilterData" localSheetId="4" hidden="1">'SAH-5 (Public)'!$A$6:$J$6</definedName>
    <definedName name="Z_DABEBF76_72D5_4795_AC34_A654D4D26CB2_.wvu.FilterData" localSheetId="3" hidden="1">'SAH-4 (Public)'!$A$6:$N$6</definedName>
    <definedName name="Z_DACF8328_3C95_42E5_A75F_CFCAC9F1B375_.wvu.FilterData" localSheetId="8" hidden="1">'SAH-9 (Public)'!$A$6:$J$6</definedName>
    <definedName name="Z_DC138C14_B138_487E_9BB3_8E6A4DA1F1DA_.wvu.FilterData" localSheetId="5" hidden="1">'SAH-6 (Public)'!$A$6:$J$6</definedName>
    <definedName name="Z_DC138C14_B138_487E_9BB3_8E6A4DA1F1DA_.wvu.PrintArea" localSheetId="5" hidden="1">'SAH-6 (Public)'!$A$1:$J$6</definedName>
    <definedName name="Z_DC138C14_B138_487E_9BB3_8E6A4DA1F1DA_.wvu.PrintTitles" localSheetId="5" hidden="1">'SAH-6 (Public)'!$6:$6</definedName>
    <definedName name="Z_DC66E464_7C74_4782_8827_030CB3DB41DE_.wvu.FilterData" localSheetId="4" hidden="1">'SAH-5 (Public)'!$A$6:$J$6</definedName>
    <definedName name="Z_DC66E464_7C74_4782_8827_030CB3DB41DE_.wvu.FilterData" localSheetId="8" hidden="1">'SAH-9 (Public)'!$A$6:$J$6</definedName>
    <definedName name="Z_DC8494F6_8571_4251_8D26_471D2B3BFDFA_.wvu.FilterData" localSheetId="8" hidden="1">'SAH-9 (Public)'!$A$6:$J$6</definedName>
    <definedName name="Z_DD01A211_7597_4AE6_B48F_7DAFD4C8066A_.wvu.FilterData" localSheetId="8" hidden="1">'SAH-9 (Public)'!$A$6:$J$6</definedName>
    <definedName name="Z_DE9C4454_EBC1_4F76_849A_3398392C0476_.wvu.FilterData" localSheetId="8" hidden="1">'SAH-9 (Public)'!$A$6:$J$6</definedName>
    <definedName name="Z_DE9C4454_EBC1_4F76_849A_3398392C0476_.wvu.PrintArea" localSheetId="8" hidden="1">'SAH-9 (Public)'!$A$1:$J$6</definedName>
    <definedName name="Z_DE9C4454_EBC1_4F76_849A_3398392C0476_.wvu.PrintTitles" localSheetId="8" hidden="1">'SAH-9 (Public)'!$6:$6</definedName>
    <definedName name="Z_DEE04897_6CF5_47FE_9105_B3DC56AE29AC_.wvu.Cols" localSheetId="3" hidden="1">'SAH-4 (Public)'!#REF!,'SAH-4 (Public)'!#REF!</definedName>
    <definedName name="Z_DEE04897_6CF5_47FE_9105_B3DC56AE29AC_.wvu.FilterData" localSheetId="3" hidden="1">'SAH-4 (Public)'!$A$6:$J$6</definedName>
    <definedName name="Z_DEE04897_6CF5_47FE_9105_B3DC56AE29AC_.wvu.PrintTitles" localSheetId="3" hidden="1">'SAH-4 (Public)'!$6:$6</definedName>
    <definedName name="Z_DF7527FD_AD57_4F5D_9E4F_B88E05368746_.wvu.FilterData" localSheetId="4" hidden="1">'SAH-5 (Public)'!$A$6:$J$6</definedName>
    <definedName name="Z_DF7527FD_AD57_4F5D_9E4F_B88E05368746_.wvu.FilterData" localSheetId="5" hidden="1">'SAH-6 (Public)'!$A$6:$J$6</definedName>
    <definedName name="Z_DF821A81_16A1_4723_A0C3_A254C9BA471C_.wvu.FilterData" localSheetId="3" hidden="1">'SAH-4 (Public)'!$A$6:$N$6</definedName>
    <definedName name="Z_DF821A81_16A1_4723_A0C3_A254C9BA471C_.wvu.PrintArea" localSheetId="3" hidden="1">'SAH-4 (Public)'!$A$1:$J$6</definedName>
    <definedName name="Z_DF821A81_16A1_4723_A0C3_A254C9BA471C_.wvu.PrintTitles" localSheetId="3" hidden="1">'SAH-4 (Public)'!$6:$6</definedName>
    <definedName name="Z_E026B599_6D09_4035_BFBA_A72DAC35376F_.wvu.FilterData" localSheetId="5" hidden="1">'SAH-6 (Public)'!$A$6:$J$6</definedName>
    <definedName name="Z_E24ACDDD_F6DB_4383_853F_5445B321AA21_.wvu.Cols" localSheetId="4" hidden="1">'SAH-5 (Public)'!#REF!</definedName>
    <definedName name="Z_E24ACDDD_F6DB_4383_853F_5445B321AA21_.wvu.Cols" localSheetId="5" hidden="1">'SAH-6 (Public)'!#REF!</definedName>
    <definedName name="Z_E24ACDDD_F6DB_4383_853F_5445B321AA21_.wvu.FilterData" localSheetId="3" hidden="1">'SAH-4 (Public)'!$A$6:$N$6</definedName>
    <definedName name="Z_E24ACDDD_F6DB_4383_853F_5445B321AA21_.wvu.FilterData" localSheetId="4" hidden="1">'SAH-5 (Public)'!$A$6:$J$6</definedName>
    <definedName name="Z_E24ACDDD_F6DB_4383_853F_5445B321AA21_.wvu.FilterData" localSheetId="5" hidden="1">'SAH-6 (Public)'!$A$6:$J$6</definedName>
    <definedName name="Z_E24ACDDD_F6DB_4383_853F_5445B321AA21_.wvu.FilterData" localSheetId="6" hidden="1">'SAH-7 (Public)'!$A$6:$J$11</definedName>
    <definedName name="Z_E24ACDDD_F6DB_4383_853F_5445B321AA21_.wvu.FilterData" localSheetId="8" hidden="1">'SAH-9 (Public)'!$A$6:$J$6</definedName>
    <definedName name="Z_E24ACDDD_F6DB_4383_853F_5445B321AA21_.wvu.PrintTitles" localSheetId="3" hidden="1">'SAH-4 (Public)'!$6:$6</definedName>
    <definedName name="Z_E24ACDDD_F6DB_4383_853F_5445B321AA21_.wvu.PrintTitles" localSheetId="4" hidden="1">'SAH-5 (Public)'!$6:$6</definedName>
    <definedName name="Z_E24ACDDD_F6DB_4383_853F_5445B321AA21_.wvu.PrintTitles" localSheetId="5" hidden="1">'SAH-6 (Public)'!$6:$6</definedName>
    <definedName name="Z_E24ACDDD_F6DB_4383_853F_5445B321AA21_.wvu.PrintTitles" localSheetId="6" hidden="1">'SAH-7 (Public)'!$6:$6</definedName>
    <definedName name="Z_E24ACDDD_F6DB_4383_853F_5445B321AA21_.wvu.PrintTitles" localSheetId="8" hidden="1">'SAH-9 (Public)'!$6:$6</definedName>
    <definedName name="Z_E308F224_E69D_4656_A383_71B877523CA2_.wvu.FilterData" localSheetId="4" hidden="1">'SAH-5 (Public)'!$A$6:$J$6</definedName>
    <definedName name="Z_E308F224_E69D_4656_A383_71B877523CA2_.wvu.FilterData" localSheetId="5" hidden="1">'SAH-6 (Public)'!$A$6:$J$6</definedName>
    <definedName name="Z_E427927A_BA62_4EC8_9C82_8519C9B28760_.wvu.FilterData" localSheetId="4" hidden="1">'SAH-5 (Public)'!$A$6:$J$6</definedName>
    <definedName name="Z_E427927A_BA62_4EC8_9C82_8519C9B28760_.wvu.FilterData" localSheetId="5" hidden="1">'SAH-6 (Public)'!$A$6:$J$6</definedName>
    <definedName name="Z_E8B46EF1_EDCE_4BDF_AA3B_FCCF66C5E633_.wvu.FilterData" localSheetId="3" hidden="1">'SAH-4 (Public)'!$A$6:$J$6</definedName>
    <definedName name="Z_E8B46EF1_EDCE_4BDF_AA3B_FCCF66C5E633_.wvu.PrintArea" localSheetId="3" hidden="1">'SAH-4 (Public)'!$A$1:$J$6</definedName>
    <definedName name="Z_E8B46EF1_EDCE_4BDF_AA3B_FCCF66C5E633_.wvu.PrintTitles" localSheetId="3" hidden="1">'SAH-4 (Public)'!$6:$6</definedName>
    <definedName name="Z_EA2FCCE8_966F_4508_8280_57E4C3CF4C2D_.wvu.FilterData" localSheetId="8" hidden="1">'SAH-9 (Public)'!$A$6:$J$6</definedName>
    <definedName name="Z_EA2FCCE8_966F_4508_8280_57E4C3CF4C2D_.wvu.PrintArea" localSheetId="8" hidden="1">'SAH-9 (Public)'!$A$1:$J$6</definedName>
    <definedName name="Z_EA2FCCE8_966F_4508_8280_57E4C3CF4C2D_.wvu.PrintTitles" localSheetId="8" hidden="1">'SAH-9 (Public)'!$6:$6</definedName>
    <definedName name="Z_EB526520_F205_414B_A873_74F1432C16F8_.wvu.FilterData" localSheetId="3" hidden="1">'SAH-4 (Public)'!$A$6:$J$6</definedName>
    <definedName name="Z_EB526520_F205_414B_A873_74F1432C16F8_.wvu.PrintTitles" localSheetId="3" hidden="1">'SAH-4 (Public)'!$6:$6</definedName>
    <definedName name="Z_EB7EFF93_53A7_4E27_804B_EC4DFAEC8A1C_.wvu.FilterData" localSheetId="8" hidden="1">'SAH-9 (Public)'!$A$6:$J$6</definedName>
    <definedName name="Z_EC32BC59_5D12_44A5_BBEE_19FA971C80BF_.wvu.FilterData" localSheetId="3" hidden="1">'SAH-4 (Public)'!$A$6:$J$6</definedName>
    <definedName name="Z_ECC1B032_6E20_438D_8F23_F7CC617542B1_.wvu.FilterData" localSheetId="6" hidden="1">'SAH-7 (Public)'!$A$6:$J$13</definedName>
    <definedName name="Z_ECC1B032_6E20_438D_8F23_F7CC617542B1_.wvu.PrintTitles" localSheetId="6" hidden="1">'SAH-7 (Public)'!$6:$6</definedName>
    <definedName name="Z_ECCCB3DF_46E2_4F1B_87EC_070A22FFD7B2_.wvu.FilterData" localSheetId="8" hidden="1">'SAH-9 (Public)'!$A$6:$J$6</definedName>
    <definedName name="Z_ED3AA2B2_81A9_4D9B_BDD3_FA3AD93BBDE4_.wvu.FilterData" localSheetId="3" hidden="1">'SAH-4 (Public)'!$A$6:$J$6</definedName>
    <definedName name="Z_ED3AA2B2_81A9_4D9B_BDD3_FA3AD93BBDE4_.wvu.FilterData" localSheetId="4" hidden="1">'SAH-5 (Public)'!$A$6:$J$6</definedName>
    <definedName name="Z_ED3AA2B2_81A9_4D9B_BDD3_FA3AD93BBDE4_.wvu.FilterData" localSheetId="5" hidden="1">'SAH-6 (Public)'!$A$6:$J$6</definedName>
    <definedName name="Z_ED3AA2B2_81A9_4D9B_BDD3_FA3AD93BBDE4_.wvu.FilterData" localSheetId="6" hidden="1">'SAH-7 (Public)'!$A$6:$J$13</definedName>
    <definedName name="Z_ED3AA2B2_81A9_4D9B_BDD3_FA3AD93BBDE4_.wvu.FilterData" localSheetId="8" hidden="1">'SAH-9 (Public)'!$A$6:$J$6</definedName>
    <definedName name="Z_ED3AA2B2_81A9_4D9B_BDD3_FA3AD93BBDE4_.wvu.PrintTitles" localSheetId="3" hidden="1">'SAH-4 (Public)'!$6:$6</definedName>
    <definedName name="Z_ED3AA2B2_81A9_4D9B_BDD3_FA3AD93BBDE4_.wvu.PrintTitles" localSheetId="4" hidden="1">'SAH-5 (Public)'!$6:$6</definedName>
    <definedName name="Z_ED3AA2B2_81A9_4D9B_BDD3_FA3AD93BBDE4_.wvu.PrintTitles" localSheetId="5" hidden="1">'SAH-6 (Public)'!$6:$6</definedName>
    <definedName name="Z_ED3AA2B2_81A9_4D9B_BDD3_FA3AD93BBDE4_.wvu.PrintTitles" localSheetId="6" hidden="1">'SAH-7 (Public)'!$6:$6</definedName>
    <definedName name="Z_ED3AA2B2_81A9_4D9B_BDD3_FA3AD93BBDE4_.wvu.PrintTitles" localSheetId="8" hidden="1">'SAH-9 (Public)'!$6:$6</definedName>
    <definedName name="Z_EDD09E71_BC44_4692_9A9E_457B071BD673_.wvu.FilterData" localSheetId="8" hidden="1">'SAH-9 (Public)'!$A$6:$J$6</definedName>
    <definedName name="Z_EDD09E71_BC44_4692_9A9E_457B071BD673_.wvu.PrintArea" localSheetId="8" hidden="1">'SAH-9 (Public)'!$A$1:$J$6</definedName>
    <definedName name="Z_EDD09E71_BC44_4692_9A9E_457B071BD673_.wvu.PrintTitles" localSheetId="8" hidden="1">'SAH-9 (Public)'!$6:$6</definedName>
    <definedName name="Z_EE3B9658_8FFF_4700_909F_3CD92A37145F_.wvu.FilterData" localSheetId="5" hidden="1">'SAH-6 (Public)'!$D$1:$D$6</definedName>
    <definedName name="Z_EE64F8A8_4F34_41CE_A3C7_44807AA96ACC_.wvu.FilterData" localSheetId="8" hidden="1">'SAH-9 (Public)'!$A$6:$J$6</definedName>
    <definedName name="Z_EE76F9E3_B777_4CE3_9C92_619FB81D17B6_.wvu.FilterData" localSheetId="3" hidden="1">'SAH-4 (Public)'!$A$6:$J$6</definedName>
    <definedName name="Z_EE76F9E3_B777_4CE3_9C92_619FB81D17B6_.wvu.FilterData" localSheetId="4" hidden="1">'SAH-5 (Public)'!$A$6:$J$6</definedName>
    <definedName name="Z_F02B6557_C131_450F_98F0_03E335891D45_.wvu.FilterData" localSheetId="8" hidden="1">'SAH-9 (Public)'!$A$6:$J$6</definedName>
    <definedName name="Z_F04C8704_A2AF_4D7B_9B77_617209A95F89_.wvu.PrintArea" localSheetId="3" hidden="1">'SAH-4 (Public)'!$A$1:$A$5</definedName>
    <definedName name="Z_F04C8704_A2AF_4D7B_9B77_617209A95F89_.wvu.PrintArea" localSheetId="4" hidden="1">'SAH-5 (Public)'!$A$1:$A$5</definedName>
    <definedName name="Z_F04C8704_A2AF_4D7B_9B77_617209A95F89_.wvu.PrintArea" localSheetId="5" hidden="1">'SAH-6 (Public)'!$A$1:$C$6</definedName>
    <definedName name="Z_F04C8704_A2AF_4D7B_9B77_617209A95F89_.wvu.PrintArea" localSheetId="6" hidden="1">'SAH-7 (Public)'!$A$1:$A$5</definedName>
    <definedName name="Z_F04C8704_A2AF_4D7B_9B77_617209A95F89_.wvu.PrintArea" localSheetId="8" hidden="1">'SAH-9 (Public)'!$A$1:$A$6</definedName>
    <definedName name="Z_F0B13939_5C4A_46CF_90DB_60E79582D666_.wvu.PrintArea" localSheetId="3" hidden="1">'SAH-4 (Public)'!$A$1:$A$5</definedName>
    <definedName name="Z_F0B13939_5C4A_46CF_90DB_60E79582D666_.wvu.PrintArea" localSheetId="4" hidden="1">'SAH-5 (Public)'!$A$1:$A$5</definedName>
    <definedName name="Z_F0B13939_5C4A_46CF_90DB_60E79582D666_.wvu.PrintArea" localSheetId="5" hidden="1">'SAH-6 (Public)'!$A$1:$C$6</definedName>
    <definedName name="Z_F0B13939_5C4A_46CF_90DB_60E79582D666_.wvu.PrintArea" localSheetId="6" hidden="1">'SAH-7 (Public)'!$A$1:$A$5</definedName>
    <definedName name="Z_F0B13939_5C4A_46CF_90DB_60E79582D666_.wvu.PrintArea" localSheetId="8" hidden="1">'SAH-9 (Public)'!$A$1:$A$6</definedName>
    <definedName name="Z_F0BBBF62_CD88_4704_9C0E_AB24B85F3A13_.wvu.Cols" localSheetId="3" hidden="1">'SAH-4 (Public)'!#REF!,'SAH-4 (Public)'!#REF!</definedName>
    <definedName name="Z_F0BBBF62_CD88_4704_9C0E_AB24B85F3A13_.wvu.Cols" localSheetId="4" hidden="1">'SAH-5 (Public)'!#REF!,'SAH-5 (Public)'!#REF!,'SAH-5 (Public)'!#REF!</definedName>
    <definedName name="Z_F0BBBF62_CD88_4704_9C0E_AB24B85F3A13_.wvu.Cols" localSheetId="5" hidden="1">'SAH-6 (Public)'!#REF!,'SAH-6 (Public)'!#REF!</definedName>
    <definedName name="Z_F0BBBF62_CD88_4704_9C0E_AB24B85F3A13_.wvu.Cols" localSheetId="6" hidden="1">'SAH-7 (Public)'!#REF!,'SAH-7 (Public)'!#REF!,'SAH-7 (Public)'!#REF!</definedName>
    <definedName name="Z_F0BBBF62_CD88_4704_9C0E_AB24B85F3A13_.wvu.FilterData" localSheetId="3" hidden="1">'SAH-4 (Public)'!$A$6:$J$6</definedName>
    <definedName name="Z_F0BBBF62_CD88_4704_9C0E_AB24B85F3A13_.wvu.FilterData" localSheetId="4" hidden="1">'SAH-5 (Public)'!$A$6:$J$6</definedName>
    <definedName name="Z_F0BBBF62_CD88_4704_9C0E_AB24B85F3A13_.wvu.FilterData" localSheetId="5" hidden="1">'SAH-6 (Public)'!$A$6:$J$6</definedName>
    <definedName name="Z_F0BBBF62_CD88_4704_9C0E_AB24B85F3A13_.wvu.FilterData" localSheetId="6" hidden="1">'SAH-7 (Public)'!$A$6:$H$13</definedName>
    <definedName name="Z_F0BBBF62_CD88_4704_9C0E_AB24B85F3A13_.wvu.FilterData" localSheetId="8" hidden="1">'SAH-9 (Public)'!$A$6:$J$6</definedName>
    <definedName name="Z_F0BBBF62_CD88_4704_9C0E_AB24B85F3A13_.wvu.PrintArea" localSheetId="3" hidden="1">'SAH-4 (Public)'!$A$1:$J$6</definedName>
    <definedName name="Z_F0BBBF62_CD88_4704_9C0E_AB24B85F3A13_.wvu.PrintArea" localSheetId="4" hidden="1">'SAH-5 (Public)'!$A$1:$J$6</definedName>
    <definedName name="Z_F0BBBF62_CD88_4704_9C0E_AB24B85F3A13_.wvu.PrintArea" localSheetId="5" hidden="1">'SAH-6 (Public)'!$A$1:$J$6</definedName>
    <definedName name="Z_F0BBBF62_CD88_4704_9C0E_AB24B85F3A13_.wvu.PrintArea" localSheetId="6" hidden="1">'SAH-7 (Public)'!$A$1:$J$13</definedName>
    <definedName name="Z_F0BBBF62_CD88_4704_9C0E_AB24B85F3A13_.wvu.PrintArea" localSheetId="8" hidden="1">'SAH-9 (Public)'!$A$1:$J$6</definedName>
    <definedName name="Z_F0BBBF62_CD88_4704_9C0E_AB24B85F3A13_.wvu.PrintTitles" localSheetId="3" hidden="1">'SAH-4 (Public)'!$6:$6</definedName>
    <definedName name="Z_F0BBBF62_CD88_4704_9C0E_AB24B85F3A13_.wvu.PrintTitles" localSheetId="4" hidden="1">'SAH-5 (Public)'!$6:$6</definedName>
    <definedName name="Z_F0BBBF62_CD88_4704_9C0E_AB24B85F3A13_.wvu.PrintTitles" localSheetId="5" hidden="1">'SAH-6 (Public)'!$6:$6</definedName>
    <definedName name="Z_F0BBBF62_CD88_4704_9C0E_AB24B85F3A13_.wvu.PrintTitles" localSheetId="8" hidden="1">'SAH-9 (Public)'!$6:$6</definedName>
    <definedName name="Z_F0BBBF62_CD88_4704_9C0E_AB24B85F3A13_.wvu.Rows" localSheetId="5" hidden="1">'SAH-6 (Public)'!#REF!</definedName>
    <definedName name="Z_F0BBBF62_CD88_4704_9C0E_AB24B85F3A13_.wvu.Rows" localSheetId="8" hidden="1">'SAH-9 (Public)'!#REF!</definedName>
    <definedName name="Z_F0FE5CF3_11F3_4862_A151_54B390079D16_.wvu.FilterData" localSheetId="3" hidden="1">'SAH-4 (Public)'!$A$6:$N$6</definedName>
    <definedName name="Z_F0FE5CF3_11F3_4862_A151_54B390079D16_.wvu.FilterData" localSheetId="4" hidden="1">'SAH-5 (Public)'!$A$6:$J$6</definedName>
    <definedName name="Z_F1C44470_10F3_4BCC_B978_7054A4F006DD_.wvu.FilterData" localSheetId="4" hidden="1">'SAH-5 (Public)'!$A$6:$J$6</definedName>
    <definedName name="Z_F1F399F5_F6F5_474B_9376_212FCBD97D3C_.wvu.FilterData" localSheetId="5" hidden="1">'SAH-6 (Public)'!$A$6:$J$6</definedName>
    <definedName name="Z_F2160B5D_5715_4007_AE53_9176C87D3292_.wvu.FilterData" localSheetId="8" hidden="1">'SAH-9 (Public)'!$A$6:$J$6</definedName>
    <definedName name="Z_F2160B5D_5715_4007_AE53_9176C87D3292_.wvu.PrintArea" localSheetId="8" hidden="1">'SAH-9 (Public)'!$A$1:$J$6</definedName>
    <definedName name="Z_F2160B5D_5715_4007_AE53_9176C87D3292_.wvu.PrintTitles" localSheetId="8" hidden="1">'SAH-9 (Public)'!$6:$6</definedName>
    <definedName name="Z_F27AA6A0_AC80_4CB0_8E57_178AEEED054D_.wvu.FilterData" localSheetId="3" hidden="1">'SAH-4 (Public)'!$A$6:$N$6</definedName>
    <definedName name="Z_F27AA6A0_AC80_4CB0_8E57_178AEEED054D_.wvu.FilterData" localSheetId="4" hidden="1">'SAH-5 (Public)'!$A$6:$J$6</definedName>
    <definedName name="Z_F27AA6A0_AC80_4CB0_8E57_178AEEED054D_.wvu.FilterData" localSheetId="5" hidden="1">'SAH-6 (Public)'!$A$6:$J$6</definedName>
    <definedName name="Z_F27AA6A0_AC80_4CB0_8E57_178AEEED054D_.wvu.FilterData" localSheetId="6" hidden="1">'SAH-7 (Public)'!$A$6:$J$11</definedName>
    <definedName name="Z_F27AA6A0_AC80_4CB0_8E57_178AEEED054D_.wvu.FilterData" localSheetId="8" hidden="1">'SAH-9 (Public)'!$A$6:$CC$6</definedName>
    <definedName name="Z_F27AA6A0_AC80_4CB0_8E57_178AEEED054D_.wvu.PrintArea" localSheetId="4" hidden="1">'SAH-5 (Public)'!$A$1:$J$6</definedName>
    <definedName name="Z_F27AA6A0_AC80_4CB0_8E57_178AEEED054D_.wvu.PrintArea" localSheetId="5" hidden="1">'SAH-6 (Public)'!$A$1:$J$6</definedName>
    <definedName name="Z_F27AA6A0_AC80_4CB0_8E57_178AEEED054D_.wvu.PrintArea" localSheetId="8" hidden="1">'SAH-9 (Public)'!$A$1:$J$6</definedName>
    <definedName name="Z_F27AA6A0_AC80_4CB0_8E57_178AEEED054D_.wvu.PrintTitles" localSheetId="3" hidden="1">'SAH-4 (Public)'!$1:$6</definedName>
    <definedName name="Z_F27AA6A0_AC80_4CB0_8E57_178AEEED054D_.wvu.PrintTitles" localSheetId="4" hidden="1">'SAH-5 (Public)'!$1:$6</definedName>
    <definedName name="Z_F27AA6A0_AC80_4CB0_8E57_178AEEED054D_.wvu.PrintTitles" localSheetId="5" hidden="1">'SAH-6 (Public)'!$1:$6</definedName>
    <definedName name="Z_F27AA6A0_AC80_4CB0_8E57_178AEEED054D_.wvu.PrintTitles" localSheetId="6" hidden="1">'SAH-7 (Public)'!$1:$6</definedName>
    <definedName name="Z_F27AA6A0_AC80_4CB0_8E57_178AEEED054D_.wvu.PrintTitles" localSheetId="8" hidden="1">'SAH-9 (Public)'!$1:$6</definedName>
    <definedName name="Z_F29D4108_31FD_471C_A9C3_96332BA71368_.wvu.FilterData" localSheetId="3" hidden="1">'SAH-4 (Public)'!$A$6:$J$6</definedName>
    <definedName name="Z_F29D4108_31FD_471C_A9C3_96332BA71368_.wvu.PrintArea" localSheetId="3" hidden="1">'SAH-4 (Public)'!$A$1:$J$6</definedName>
    <definedName name="Z_F29D4108_31FD_471C_A9C3_96332BA71368_.wvu.PrintTitles" localSheetId="3" hidden="1">'SAH-4 (Public)'!$6:$6</definedName>
    <definedName name="Z_F2C83607_5381_4D95_A9A2_3272BFE9E80B_.wvu.FilterData" localSheetId="3" hidden="1">'SAH-4 (Public)'!$A$6:$N$6</definedName>
    <definedName name="Z_F2C83607_5381_4D95_A9A2_3272BFE9E80B_.wvu.FilterData" localSheetId="8" hidden="1">'SAH-9 (Public)'!$A$6:$J$6</definedName>
    <definedName name="Z_F31F2B7C_3501_49B7_97D1_6E3BEECEF4C9_.wvu.FilterData" localSheetId="8" hidden="1">'SAH-9 (Public)'!$A$6:$J$6</definedName>
    <definedName name="Z_F31F2B7C_3501_49B7_97D1_6E3BEECEF4C9_.wvu.PrintArea" localSheetId="8" hidden="1">'SAH-9 (Public)'!$A$1:$J$6</definedName>
    <definedName name="Z_F31F2B7C_3501_49B7_97D1_6E3BEECEF4C9_.wvu.PrintTitles" localSheetId="8" hidden="1">'SAH-9 (Public)'!$6:$6</definedName>
    <definedName name="Z_F3978083_7383_4B8D_93F4_C8C72276C76B_.wvu.Cols" localSheetId="6" hidden="1">'SAH-7 (Public)'!#REF!</definedName>
    <definedName name="Z_F3978083_7383_4B8D_93F4_C8C72276C76B_.wvu.FilterData" localSheetId="6" hidden="1">'SAH-7 (Public)'!$A$6:$J$13</definedName>
    <definedName name="Z_F3978083_7383_4B8D_93F4_C8C72276C76B_.wvu.PrintTitles" localSheetId="6" hidden="1">'SAH-7 (Public)'!$6:$6</definedName>
    <definedName name="Z_F436209F_351A_4D8E_972C_EF1BA8322DF0_.wvu.FilterData" localSheetId="3" hidden="1">'SAH-4 (Public)'!$A$6:$N$6</definedName>
    <definedName name="Z_F5C0B4E6_49B4_4983_ADF5_8C5C0DC65A51_.wvu.FilterData" localSheetId="3" hidden="1">'SAH-4 (Public)'!$A$6:$N$6</definedName>
    <definedName name="Z_F5C0B4E6_49B4_4983_ADF5_8C5C0DC65A51_.wvu.FilterData" localSheetId="4" hidden="1">'SAH-5 (Public)'!$A$6:$J$6</definedName>
    <definedName name="Z_F5C0B4E6_49B4_4983_ADF5_8C5C0DC65A51_.wvu.FilterData" localSheetId="5" hidden="1">'SAH-6 (Public)'!$A$6:$J$6</definedName>
    <definedName name="Z_F5C0B4E6_49B4_4983_ADF5_8C5C0DC65A51_.wvu.FilterData" localSheetId="6" hidden="1">'SAH-7 (Public)'!$A$6:$J$6</definedName>
    <definedName name="Z_F5C0B4E6_49B4_4983_ADF5_8C5C0DC65A51_.wvu.FilterData" localSheetId="8" hidden="1">'SAH-9 (Public)'!$A$6:$CC$6</definedName>
    <definedName name="Z_F5C0B4E6_49B4_4983_ADF5_8C5C0DC65A51_.wvu.PrintArea" localSheetId="3" hidden="1">'SAH-4 (Public)'!$A$1:$J$6</definedName>
    <definedName name="Z_F5C0B4E6_49B4_4983_ADF5_8C5C0DC65A51_.wvu.PrintArea" localSheetId="4" hidden="1">'SAH-5 (Public)'!$A$1:$J$6</definedName>
    <definedName name="Z_F5C0B4E6_49B4_4983_ADF5_8C5C0DC65A51_.wvu.PrintArea" localSheetId="5" hidden="1">'SAH-6 (Public)'!$A$1:$J$6</definedName>
    <definedName name="Z_F5C0B4E6_49B4_4983_ADF5_8C5C0DC65A51_.wvu.PrintArea" localSheetId="6" hidden="1">'SAH-7 (Public)'!$A$1:$J$11</definedName>
    <definedName name="Z_F5C0B4E6_49B4_4983_ADF5_8C5C0DC65A51_.wvu.PrintArea" localSheetId="8" hidden="1">'SAH-9 (Public)'!$A$1:$J$6</definedName>
    <definedName name="Z_F5C0B4E6_49B4_4983_ADF5_8C5C0DC65A51_.wvu.PrintTitles" localSheetId="3" hidden="1">'SAH-4 (Public)'!$1:$6</definedName>
    <definedName name="Z_F5C0B4E6_49B4_4983_ADF5_8C5C0DC65A51_.wvu.PrintTitles" localSheetId="4" hidden="1">'SAH-5 (Public)'!$1:$6</definedName>
    <definedName name="Z_F5C0B4E6_49B4_4983_ADF5_8C5C0DC65A51_.wvu.PrintTitles" localSheetId="5" hidden="1">'SAH-6 (Public)'!$1:$6</definedName>
    <definedName name="Z_F5C0B4E6_49B4_4983_ADF5_8C5C0DC65A51_.wvu.PrintTitles" localSheetId="6" hidden="1">'SAH-7 (Public)'!$1:$6</definedName>
    <definedName name="Z_F5C0B4E6_49B4_4983_ADF5_8C5C0DC65A51_.wvu.PrintTitles" localSheetId="8" hidden="1">'SAH-9 (Public)'!$1:$6</definedName>
    <definedName name="Z_F8FDCEAF_4E7B_4BD8_9CFA_7D5015A3C81D_.wvu.FilterData" localSheetId="8" hidden="1">'SAH-9 (Public)'!$A$6:$J$6</definedName>
    <definedName name="Z_F8FDCEAF_4E7B_4BD8_9CFA_7D5015A3C81D_.wvu.PrintArea" localSheetId="8" hidden="1">'SAH-9 (Public)'!$A$1:$J$6</definedName>
    <definedName name="Z_F8FDCEAF_4E7B_4BD8_9CFA_7D5015A3C81D_.wvu.PrintTitles" localSheetId="8" hidden="1">'SAH-9 (Public)'!$6:$6</definedName>
    <definedName name="Z_F937C277_0C76_46FC_BEF5_47A8E3A09B15_.wvu.FilterData" localSheetId="3" hidden="1">'SAH-4 (Public)'!$A$6:$N$6</definedName>
    <definedName name="Z_F9B68B3C_E9F1_4632_A2FE_DAFFEC0D41B8_.wvu.FilterData" localSheetId="6" hidden="1">'SAH-7 (Public)'!$A$6:$J$13</definedName>
    <definedName name="Z_FA857847_E863_4C47_B6E1_3C89340FBCC5_.wvu.FilterData" localSheetId="8" hidden="1">'SAH-9 (Public)'!$A$6:$J$6</definedName>
    <definedName name="Z_FAA587B1_C6BC_4D4A_853A_2ED80F0542F4_.wvu.FilterData" localSheetId="4" hidden="1">'SAH-5 (Public)'!$A$6:$J$6</definedName>
    <definedName name="Z_FAA587B1_C6BC_4D4A_853A_2ED80F0542F4_.wvu.FilterData" localSheetId="6" hidden="1">'SAH-7 (Public)'!$A$6:$J$13</definedName>
    <definedName name="Z_FB594389_660B_46BF_9D94_FE0FAF218456_.wvu.FilterData" localSheetId="3" hidden="1">'SAH-4 (Public)'!$A$6:$J$6</definedName>
    <definedName name="Z_FB594389_660B_46BF_9D94_FE0FAF218456_.wvu.FilterData" localSheetId="4" hidden="1">'SAH-5 (Public)'!$A$6:$J$6</definedName>
    <definedName name="Z_FB594389_660B_46BF_9D94_FE0FAF218456_.wvu.FilterData" localSheetId="5" hidden="1">'SAH-6 (Public)'!$A$6:$J$6</definedName>
    <definedName name="Z_FB594389_660B_46BF_9D94_FE0FAF218456_.wvu.FilterData" localSheetId="8" hidden="1">'SAH-9 (Public)'!$A$6:$J$6</definedName>
    <definedName name="Z_FB594389_660B_46BF_9D94_FE0FAF218456_.wvu.PrintArea" localSheetId="3" hidden="1">'SAH-4 (Public)'!$A$1:$J$6</definedName>
    <definedName name="Z_FB594389_660B_46BF_9D94_FE0FAF218456_.wvu.PrintArea" localSheetId="4" hidden="1">'SAH-5 (Public)'!$A$1:$J$6</definedName>
    <definedName name="Z_FB594389_660B_46BF_9D94_FE0FAF218456_.wvu.PrintArea" localSheetId="5" hidden="1">'SAH-6 (Public)'!$A$1:$J$6</definedName>
    <definedName name="Z_FB594389_660B_46BF_9D94_FE0FAF218456_.wvu.PrintArea" localSheetId="8" hidden="1">'SAH-9 (Public)'!$A$1:$J$6</definedName>
    <definedName name="Z_FB594389_660B_46BF_9D94_FE0FAF218456_.wvu.PrintTitles" localSheetId="3" hidden="1">'SAH-4 (Public)'!$6:$6</definedName>
    <definedName name="Z_FB594389_660B_46BF_9D94_FE0FAF218456_.wvu.PrintTitles" localSheetId="4" hidden="1">'SAH-5 (Public)'!$6:$6</definedName>
    <definedName name="Z_FB594389_660B_46BF_9D94_FE0FAF218456_.wvu.PrintTitles" localSheetId="5" hidden="1">'SAH-6 (Public)'!$6:$6</definedName>
    <definedName name="Z_FB594389_660B_46BF_9D94_FE0FAF218456_.wvu.PrintTitles" localSheetId="8" hidden="1">'SAH-9 (Public)'!$6:$6</definedName>
    <definedName name="Z_FCA934A3_A022_4C2F_9E08_416EF825036D_.wvu.Cols" localSheetId="3" hidden="1">'SAH-4 (Public)'!#REF!,'SAH-4 (Public)'!#REF!</definedName>
    <definedName name="Z_FCA934A3_A022_4C2F_9E08_416EF825036D_.wvu.FilterData" localSheetId="3" hidden="1">'SAH-4 (Public)'!$A$6:$J$6</definedName>
    <definedName name="Z_FCA934A3_A022_4C2F_9E08_416EF825036D_.wvu.PrintTitles" localSheetId="3" hidden="1">'SAH-4 (Public)'!$6:$6</definedName>
    <definedName name="Z_FEC3B526_F020_4D0A_A2F5_ADA86C546E3E_.wvu.FilterData" localSheetId="8" hidden="1">'SAH-9 (Public)'!$A$6:$G$6</definedName>
    <definedName name="Z_FEC3B526_F020_4D0A_A2F5_ADA86C546E3E_.wvu.PrintArea" localSheetId="8" hidden="1">'SAH-9 (Public)'!$A$1:$G$6</definedName>
    <definedName name="Z_FEC3B526_F020_4D0A_A2F5_ADA86C546E3E_.wvu.PrintTitles" localSheetId="8" hidden="1">'SAH-9 (Public)'!$6:$6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10" i="14" l="1"/>
  <c r="AA710" i="14"/>
  <c r="Z710" i="14"/>
  <c r="Y710" i="14"/>
  <c r="X710" i="14"/>
  <c r="W710" i="14"/>
  <c r="V710" i="14"/>
  <c r="U710" i="14"/>
  <c r="T710" i="14"/>
  <c r="S710" i="14"/>
  <c r="R710" i="14"/>
  <c r="Q710" i="14"/>
  <c r="P710" i="14"/>
  <c r="M710" i="14"/>
  <c r="I709" i="14"/>
  <c r="G708" i="14"/>
  <c r="F708" i="14"/>
  <c r="G707" i="14"/>
  <c r="F707" i="14"/>
  <c r="G706" i="14"/>
  <c r="F706" i="14"/>
  <c r="G705" i="14"/>
  <c r="F705" i="14"/>
  <c r="H704" i="14"/>
  <c r="G704" i="14"/>
  <c r="G703" i="14"/>
  <c r="F703" i="14"/>
  <c r="G702" i="14"/>
  <c r="G701" i="14"/>
  <c r="H700" i="14"/>
  <c r="G700" i="14"/>
  <c r="F700" i="14"/>
  <c r="N699" i="14"/>
  <c r="G697" i="14"/>
  <c r="F697" i="14"/>
  <c r="G696" i="14"/>
  <c r="F696" i="14"/>
  <c r="L695" i="14"/>
  <c r="G695" i="14"/>
  <c r="F695" i="14"/>
  <c r="G694" i="14"/>
  <c r="F694" i="14"/>
  <c r="G693" i="14"/>
  <c r="G692" i="14"/>
  <c r="G691" i="14"/>
  <c r="G690" i="14"/>
  <c r="F690" i="14"/>
  <c r="G689" i="14"/>
  <c r="G688" i="14"/>
  <c r="H687" i="14"/>
  <c r="G687" i="14"/>
  <c r="F687" i="14"/>
  <c r="G686" i="14"/>
  <c r="F686" i="14"/>
  <c r="G685" i="14"/>
  <c r="F685" i="14"/>
  <c r="G684" i="14"/>
  <c r="F684" i="14"/>
  <c r="G683" i="14"/>
  <c r="F683" i="14"/>
  <c r="G682" i="14"/>
  <c r="G681" i="14"/>
  <c r="F681" i="14"/>
  <c r="G680" i="14"/>
  <c r="F680" i="14"/>
  <c r="G679" i="14"/>
  <c r="G678" i="14"/>
  <c r="F678" i="14"/>
  <c r="H677" i="14"/>
  <c r="G677" i="14"/>
  <c r="F677" i="14"/>
  <c r="G676" i="14"/>
  <c r="F676" i="14"/>
  <c r="H674" i="14"/>
  <c r="G674" i="14"/>
  <c r="F674" i="14"/>
  <c r="H673" i="14"/>
  <c r="G673" i="14"/>
  <c r="F673" i="14"/>
  <c r="G672" i="14"/>
  <c r="F672" i="14"/>
  <c r="G671" i="14"/>
  <c r="F671" i="14"/>
  <c r="G670" i="14"/>
  <c r="F670" i="14"/>
  <c r="H669" i="14"/>
  <c r="G669" i="14"/>
  <c r="F669" i="14"/>
  <c r="G668" i="14"/>
  <c r="F668" i="14"/>
  <c r="G667" i="14"/>
  <c r="F667" i="14"/>
  <c r="G666" i="14"/>
  <c r="F666" i="14"/>
  <c r="H665" i="14"/>
  <c r="G665" i="14"/>
  <c r="F665" i="14"/>
  <c r="H664" i="14"/>
  <c r="G664" i="14"/>
  <c r="F664" i="14"/>
  <c r="G663" i="14"/>
  <c r="F663" i="14"/>
  <c r="G662" i="14"/>
  <c r="F662" i="14"/>
  <c r="G660" i="14"/>
  <c r="H658" i="14"/>
  <c r="G658" i="14"/>
  <c r="F658" i="14"/>
  <c r="G657" i="14"/>
  <c r="F657" i="14"/>
  <c r="G655" i="14"/>
  <c r="G654" i="14"/>
  <c r="G652" i="14"/>
  <c r="F652" i="14"/>
  <c r="G651" i="14"/>
  <c r="F651" i="14"/>
  <c r="G650" i="14"/>
  <c r="F650" i="14"/>
  <c r="G649" i="14"/>
  <c r="G648" i="14"/>
  <c r="G647" i="14"/>
  <c r="F647" i="14"/>
  <c r="G646" i="14"/>
  <c r="F646" i="14"/>
  <c r="G644" i="14"/>
  <c r="G643" i="14"/>
  <c r="F643" i="14"/>
  <c r="G642" i="14"/>
  <c r="G641" i="14"/>
  <c r="G640" i="14"/>
  <c r="F640" i="14"/>
  <c r="G639" i="14"/>
  <c r="G638" i="14"/>
  <c r="F638" i="14"/>
  <c r="G633" i="14"/>
  <c r="F633" i="14"/>
  <c r="H632" i="14"/>
  <c r="G632" i="14"/>
  <c r="F632" i="14"/>
  <c r="N630" i="14"/>
  <c r="N629" i="14"/>
  <c r="N628" i="14"/>
  <c r="F628" i="14"/>
  <c r="G627" i="14"/>
  <c r="G626" i="14"/>
  <c r="F626" i="14"/>
  <c r="G625" i="14"/>
  <c r="H624" i="14"/>
  <c r="G624" i="14"/>
  <c r="H623" i="14"/>
  <c r="G623" i="14"/>
  <c r="G622" i="14"/>
  <c r="H620" i="14"/>
  <c r="G620" i="14"/>
  <c r="F620" i="14"/>
  <c r="H619" i="14"/>
  <c r="G619" i="14"/>
  <c r="G618" i="14"/>
  <c r="F618" i="14"/>
  <c r="G617" i="14"/>
  <c r="H616" i="14"/>
  <c r="G616" i="14"/>
  <c r="G615" i="14"/>
  <c r="F615" i="14"/>
  <c r="G613" i="14"/>
  <c r="F613" i="14"/>
  <c r="G612" i="14"/>
  <c r="F612" i="14"/>
  <c r="G611" i="14"/>
  <c r="F611" i="14"/>
  <c r="G610" i="14"/>
  <c r="G609" i="14"/>
  <c r="G608" i="14"/>
  <c r="G607" i="14"/>
  <c r="F607" i="14"/>
  <c r="G606" i="14"/>
  <c r="F606" i="14"/>
  <c r="G598" i="14"/>
  <c r="G597" i="14"/>
  <c r="G596" i="14"/>
  <c r="F596" i="14"/>
  <c r="H593" i="14"/>
  <c r="G593" i="14"/>
  <c r="F593" i="14"/>
  <c r="G591" i="14"/>
  <c r="F591" i="14"/>
  <c r="G590" i="14"/>
  <c r="G589" i="14"/>
  <c r="G588" i="14"/>
  <c r="G585" i="14"/>
  <c r="F585" i="14"/>
  <c r="G582" i="14"/>
  <c r="F582" i="14"/>
  <c r="H581" i="14"/>
  <c r="G581" i="14"/>
  <c r="F581" i="14"/>
  <c r="G580" i="14"/>
  <c r="F580" i="14"/>
  <c r="G579" i="14"/>
  <c r="F579" i="14"/>
  <c r="G572" i="14"/>
  <c r="F572" i="14"/>
  <c r="F571" i="14"/>
  <c r="G570" i="14"/>
  <c r="G569" i="14"/>
  <c r="F569" i="14"/>
  <c r="G568" i="14"/>
  <c r="H566" i="14"/>
  <c r="G566" i="14"/>
  <c r="G565" i="14"/>
  <c r="G564" i="14"/>
  <c r="H563" i="14"/>
  <c r="G563" i="14"/>
  <c r="F563" i="14"/>
  <c r="G562" i="14"/>
  <c r="H561" i="14"/>
  <c r="G561" i="14"/>
  <c r="G560" i="14"/>
  <c r="F560" i="14"/>
  <c r="G559" i="14"/>
  <c r="F559" i="14"/>
  <c r="H558" i="14"/>
  <c r="G558" i="14"/>
  <c r="G557" i="14"/>
  <c r="F557" i="14"/>
  <c r="G556" i="14"/>
  <c r="F556" i="14"/>
  <c r="G555" i="14"/>
  <c r="F555" i="14"/>
  <c r="G554" i="14"/>
  <c r="F554" i="14"/>
  <c r="G553" i="14"/>
  <c r="F553" i="14"/>
  <c r="G552" i="14"/>
  <c r="F552" i="14"/>
  <c r="G550" i="14"/>
  <c r="F550" i="14"/>
  <c r="H548" i="14"/>
  <c r="G548" i="14"/>
  <c r="F548" i="14"/>
  <c r="N547" i="14"/>
  <c r="G546" i="14"/>
  <c r="F546" i="14"/>
  <c r="G545" i="14"/>
  <c r="F545" i="14"/>
  <c r="G544" i="14"/>
  <c r="F544" i="14"/>
  <c r="G542" i="14"/>
  <c r="G541" i="14"/>
  <c r="G540" i="14"/>
  <c r="F540" i="14"/>
  <c r="G539" i="14"/>
  <c r="F539" i="14"/>
  <c r="F538" i="14"/>
  <c r="H536" i="14"/>
  <c r="G536" i="14"/>
  <c r="F536" i="14"/>
  <c r="G535" i="14"/>
  <c r="F535" i="14"/>
  <c r="G534" i="14"/>
  <c r="F534" i="14"/>
  <c r="G533" i="14"/>
  <c r="H530" i="14"/>
  <c r="G530" i="14"/>
  <c r="F530" i="14"/>
  <c r="H528" i="14"/>
  <c r="G528" i="14"/>
  <c r="F528" i="14"/>
  <c r="G527" i="14"/>
  <c r="H525" i="14"/>
  <c r="G524" i="14"/>
  <c r="F524" i="14"/>
  <c r="G523" i="14"/>
  <c r="G522" i="14"/>
  <c r="F520" i="14"/>
  <c r="F518" i="14"/>
  <c r="F517" i="14"/>
  <c r="G514" i="14"/>
  <c r="F514" i="14"/>
  <c r="G513" i="14"/>
  <c r="H511" i="14"/>
  <c r="G511" i="14"/>
  <c r="F511" i="14"/>
  <c r="G510" i="14"/>
  <c r="F510" i="14"/>
  <c r="G509" i="14"/>
  <c r="F509" i="14"/>
  <c r="G508" i="14"/>
  <c r="H507" i="14"/>
  <c r="G507" i="14"/>
  <c r="G506" i="14"/>
  <c r="F506" i="14"/>
  <c r="H505" i="14"/>
  <c r="G505" i="14"/>
  <c r="H504" i="14"/>
  <c r="G504" i="14"/>
  <c r="G503" i="14"/>
  <c r="F503" i="14"/>
  <c r="G501" i="14"/>
  <c r="F501" i="14"/>
  <c r="H500" i="14"/>
  <c r="G500" i="14"/>
  <c r="F500" i="14"/>
  <c r="G498" i="14"/>
  <c r="G497" i="14"/>
  <c r="F497" i="14"/>
  <c r="G496" i="14"/>
  <c r="G492" i="14"/>
  <c r="F492" i="14"/>
  <c r="G491" i="14"/>
  <c r="F489" i="14"/>
  <c r="G488" i="14"/>
  <c r="F488" i="14"/>
  <c r="N482" i="14"/>
  <c r="F482" i="14"/>
  <c r="G481" i="14"/>
  <c r="F481" i="14"/>
  <c r="G479" i="14"/>
  <c r="G478" i="14"/>
  <c r="F478" i="14"/>
  <c r="N477" i="14"/>
  <c r="G477" i="14"/>
  <c r="F475" i="14"/>
  <c r="G474" i="14"/>
  <c r="F474" i="14"/>
  <c r="N473" i="14"/>
  <c r="G473" i="14"/>
  <c r="F473" i="14"/>
  <c r="N472" i="14"/>
  <c r="N471" i="14"/>
  <c r="G470" i="14"/>
  <c r="G469" i="14"/>
  <c r="F469" i="14"/>
  <c r="G468" i="14"/>
  <c r="G467" i="14"/>
  <c r="H466" i="14"/>
  <c r="G466" i="14"/>
  <c r="G465" i="14"/>
  <c r="F465" i="14"/>
  <c r="G464" i="14"/>
  <c r="F464" i="14"/>
  <c r="F462" i="14"/>
  <c r="F461" i="14"/>
  <c r="F460" i="14"/>
  <c r="F457" i="14"/>
  <c r="F456" i="14"/>
  <c r="G455" i="14"/>
  <c r="F455" i="14"/>
  <c r="G453" i="14"/>
  <c r="G451" i="14"/>
  <c r="N450" i="14"/>
  <c r="G449" i="14"/>
  <c r="F449" i="14"/>
  <c r="G448" i="14"/>
  <c r="F447" i="14"/>
  <c r="F446" i="14"/>
  <c r="H445" i="14"/>
  <c r="G445" i="14"/>
  <c r="F443" i="14"/>
  <c r="F442" i="14"/>
  <c r="G441" i="14"/>
  <c r="F441" i="14"/>
  <c r="F439" i="14"/>
  <c r="F438" i="14"/>
  <c r="G435" i="14"/>
  <c r="G433" i="14"/>
  <c r="G432" i="14"/>
  <c r="F432" i="14"/>
  <c r="N431" i="14"/>
  <c r="G430" i="14"/>
  <c r="N429" i="14"/>
  <c r="G429" i="14"/>
  <c r="G424" i="14"/>
  <c r="F423" i="14"/>
  <c r="H421" i="14"/>
  <c r="G421" i="14"/>
  <c r="G420" i="14"/>
  <c r="G419" i="14"/>
  <c r="G418" i="14"/>
  <c r="G415" i="14"/>
  <c r="G413" i="14"/>
  <c r="F412" i="14"/>
  <c r="G408" i="14"/>
  <c r="G406" i="14"/>
  <c r="F406" i="14"/>
  <c r="G404" i="14"/>
  <c r="F404" i="14"/>
  <c r="G402" i="14"/>
  <c r="G400" i="14"/>
  <c r="F399" i="14"/>
  <c r="K398" i="14"/>
  <c r="F397" i="14"/>
  <c r="G396" i="14"/>
  <c r="F396" i="14"/>
  <c r="O395" i="14"/>
  <c r="K395" i="14"/>
  <c r="G394" i="14"/>
  <c r="G387" i="14"/>
  <c r="H386" i="14"/>
  <c r="G386" i="14"/>
  <c r="F386" i="14"/>
  <c r="G385" i="14"/>
  <c r="G383" i="14"/>
  <c r="F383" i="14"/>
  <c r="G382" i="14"/>
  <c r="G381" i="14"/>
  <c r="G378" i="14"/>
  <c r="F378" i="14"/>
  <c r="F376" i="14"/>
  <c r="G371" i="14"/>
  <c r="F371" i="14"/>
  <c r="G366" i="14"/>
  <c r="H365" i="14"/>
  <c r="G365" i="14"/>
  <c r="F365" i="14"/>
  <c r="H364" i="14"/>
  <c r="G364" i="14"/>
  <c r="F364" i="14"/>
  <c r="H363" i="14"/>
  <c r="G363" i="14"/>
  <c r="F363" i="14"/>
  <c r="H362" i="14"/>
  <c r="H709" i="14" s="1"/>
  <c r="G362" i="14"/>
  <c r="G361" i="14"/>
  <c r="G360" i="14"/>
  <c r="F360" i="14"/>
  <c r="N358" i="14"/>
  <c r="F358" i="14"/>
  <c r="F351" i="14"/>
  <c r="G349" i="14"/>
  <c r="F349" i="14"/>
  <c r="G342" i="14"/>
  <c r="F342" i="14"/>
  <c r="N341" i="14"/>
  <c r="F341" i="14"/>
  <c r="F330" i="14"/>
  <c r="G327" i="14"/>
  <c r="N324" i="14"/>
  <c r="F324" i="14"/>
  <c r="G323" i="14"/>
  <c r="F323" i="14"/>
  <c r="G322" i="14"/>
  <c r="F322" i="14"/>
  <c r="F321" i="14"/>
  <c r="F320" i="14"/>
  <c r="F312" i="14"/>
  <c r="L305" i="14"/>
  <c r="L710" i="14" s="1"/>
  <c r="G305" i="14"/>
  <c r="F305" i="14"/>
  <c r="G303" i="14"/>
  <c r="O293" i="14"/>
  <c r="K293" i="14"/>
  <c r="N288" i="14"/>
  <c r="F287" i="14"/>
  <c r="G284" i="14"/>
  <c r="F283" i="14"/>
  <c r="F281" i="14"/>
  <c r="N276" i="14"/>
  <c r="G275" i="14"/>
  <c r="F275" i="14"/>
  <c r="O273" i="14"/>
  <c r="N272" i="14"/>
  <c r="O269" i="14"/>
  <c r="K269" i="14"/>
  <c r="J269" i="14"/>
  <c r="O267" i="14"/>
  <c r="K267" i="14"/>
  <c r="J267" i="14"/>
  <c r="F263" i="14"/>
  <c r="G261" i="14"/>
  <c r="G260" i="14"/>
  <c r="K259" i="14"/>
  <c r="O254" i="14"/>
  <c r="K254" i="14"/>
  <c r="F250" i="14"/>
  <c r="F249" i="14"/>
  <c r="O248" i="14"/>
  <c r="K248" i="14"/>
  <c r="J248" i="14"/>
  <c r="O247" i="14"/>
  <c r="K247" i="14"/>
  <c r="J247" i="14"/>
  <c r="J243" i="14"/>
  <c r="F240" i="14"/>
  <c r="F239" i="14"/>
  <c r="G236" i="14"/>
  <c r="F233" i="14"/>
  <c r="F224" i="14"/>
  <c r="O220" i="14"/>
  <c r="K220" i="14"/>
  <c r="F219" i="14"/>
  <c r="K217" i="14"/>
  <c r="J217" i="14"/>
  <c r="K214" i="14"/>
  <c r="J214" i="14"/>
  <c r="K206" i="14"/>
  <c r="G204" i="14"/>
  <c r="F199" i="14"/>
  <c r="G198" i="14"/>
  <c r="F194" i="14"/>
  <c r="G181" i="14"/>
  <c r="F181" i="14"/>
  <c r="G180" i="14"/>
  <c r="G179" i="14"/>
  <c r="F175" i="14"/>
  <c r="G174" i="14"/>
  <c r="F174" i="14"/>
  <c r="G173" i="14"/>
  <c r="G171" i="14"/>
  <c r="F159" i="14"/>
  <c r="F154" i="14"/>
  <c r="F153" i="14"/>
  <c r="F152" i="14"/>
  <c r="F150" i="14"/>
  <c r="G149" i="14"/>
  <c r="F149" i="14"/>
  <c r="F146" i="14"/>
  <c r="F145" i="14"/>
  <c r="K144" i="14"/>
  <c r="F143" i="14"/>
  <c r="F131" i="14"/>
  <c r="O127" i="14"/>
  <c r="O710" i="14" s="1"/>
  <c r="K127" i="14"/>
  <c r="K710" i="14" s="1"/>
  <c r="J127" i="14"/>
  <c r="F126" i="14"/>
  <c r="G124" i="14"/>
  <c r="G121" i="14"/>
  <c r="G119" i="14"/>
  <c r="F119" i="14"/>
  <c r="N118" i="14"/>
  <c r="N710" i="14" s="1"/>
  <c r="G118" i="14"/>
  <c r="G115" i="14"/>
  <c r="F115" i="14"/>
  <c r="G107" i="14"/>
  <c r="G106" i="14"/>
  <c r="G105" i="14"/>
  <c r="G104" i="14"/>
  <c r="F104" i="14"/>
  <c r="G102" i="14"/>
  <c r="G92" i="14"/>
  <c r="F91" i="14"/>
  <c r="F90" i="14"/>
  <c r="G83" i="14"/>
  <c r="G709" i="14" s="1"/>
  <c r="F75" i="14"/>
  <c r="F59" i="14"/>
  <c r="F57" i="14"/>
  <c r="F709" i="14" s="1"/>
  <c r="I710" i="14"/>
  <c r="AC710" i="14"/>
  <c r="J7" i="14"/>
  <c r="J710" i="14" s="1"/>
  <c r="F710" i="14" l="1"/>
  <c r="G710" i="14"/>
  <c r="H710" i="14"/>
  <c r="G9" i="8" l="1"/>
  <c r="G7" i="7"/>
  <c r="B10" i="8" l="1"/>
  <c r="G8" i="8"/>
  <c r="F10" i="8"/>
  <c r="D10" i="8"/>
  <c r="C10" i="8"/>
  <c r="E10" i="8"/>
  <c r="G7" i="8"/>
  <c r="G6" i="8"/>
  <c r="F10" i="7"/>
  <c r="C10" i="7"/>
  <c r="E10" i="7"/>
  <c r="G8" i="7"/>
  <c r="D10" i="7"/>
  <c r="G9" i="7"/>
  <c r="G6" i="7"/>
  <c r="B10" i="7"/>
  <c r="G10" i="8" l="1"/>
  <c r="G10" i="7"/>
</calcChain>
</file>

<file path=xl/sharedStrings.xml><?xml version="1.0" encoding="utf-8"?>
<sst xmlns="http://schemas.openxmlformats.org/spreadsheetml/2006/main" count="11783" uniqueCount="3534">
  <si>
    <t>Petitioner's Exhibit No. 2</t>
  </si>
  <si>
    <t>CEI North</t>
  </si>
  <si>
    <t>Cause No. 45611</t>
  </si>
  <si>
    <t>Compliance Projects - Investment Summary</t>
  </si>
  <si>
    <t>Compliance Projects</t>
  </si>
  <si>
    <t>2022-2026</t>
  </si>
  <si>
    <t>BS/CI Replacements</t>
  </si>
  <si>
    <t>Distribution Modernization</t>
  </si>
  <si>
    <t>Transmission Modernization</t>
  </si>
  <si>
    <t>Storage Modernization</t>
  </si>
  <si>
    <t>Compliance Total</t>
  </si>
  <si>
    <t>2022-2026 TDSIC Plan Investment Summary</t>
  </si>
  <si>
    <t>TDSIC Plan</t>
  </si>
  <si>
    <t>Targeted Economic Development</t>
  </si>
  <si>
    <t>Rural Extension</t>
  </si>
  <si>
    <t>System Improvement - Safety and Reliability</t>
  </si>
  <si>
    <t>Public Improvement</t>
  </si>
  <si>
    <t>TDSIC Total</t>
  </si>
  <si>
    <t>Transmission Modernization - Compliance Project</t>
  </si>
  <si>
    <t>Database Number</t>
  </si>
  <si>
    <t>Maximo Work Order Number</t>
  </si>
  <si>
    <t>Work Order Number 
SAP/Oracle</t>
  </si>
  <si>
    <t>Project Category</t>
  </si>
  <si>
    <t>Area</t>
  </si>
  <si>
    <t>City or Storage Field</t>
  </si>
  <si>
    <t>Description</t>
  </si>
  <si>
    <t>Planned Year</t>
  </si>
  <si>
    <t>Base Estimate 2022 $</t>
  </si>
  <si>
    <t>Estimate for Planned Year</t>
  </si>
  <si>
    <t>N/A</t>
  </si>
  <si>
    <t>TBD</t>
  </si>
  <si>
    <t>CASINGS</t>
  </si>
  <si>
    <t>SE Storage</t>
  </si>
  <si>
    <t>DOLAN</t>
  </si>
  <si>
    <t>Remove casings at three locations in Dolan Storage Field where the existing casings are shorted to the carrier pipe.</t>
  </si>
  <si>
    <t>NS5057-4296</t>
  </si>
  <si>
    <t>GAS QUALITY / CONDITIONING</t>
  </si>
  <si>
    <t>SE</t>
  </si>
  <si>
    <t>BLOOMINGTON</t>
  </si>
  <si>
    <t>Install gas chromatograph and filter/separator at Needmore PP Regulator Station 24000264 to be able to monitor the quality of gas being delivered.</t>
  </si>
  <si>
    <t>NS5017-3921</t>
  </si>
  <si>
    <t>ILI RETROFITS</t>
  </si>
  <si>
    <t>CHARLESTOWN</t>
  </si>
  <si>
    <t>NS5017:   Replace existing 1965 vintage 6" pipe from Measure 8163 to Measure 13082 (4,919').   Replace with pipe with a hoop stress &lt;20%.
NS5700:   Replace 500' of existing 1968 vintage pipe.  
This vintage is associated with manufacturing and construction threats that interact with outside force, external corrosion, third party damage, incorrect operation threats. Replacement of the vintage pipe will eliminate interactive threats.</t>
  </si>
  <si>
    <t>NS5052-3124</t>
  </si>
  <si>
    <t>GRANDVIEW</t>
  </si>
  <si>
    <t xml:space="preserve"> 10" Grandview PP to Waynesville TBS - ILI Retrofit to allow for In-Line Inspection</t>
  </si>
  <si>
    <t>NS5143-4266</t>
  </si>
  <si>
    <t>SHELBYVILLE</t>
  </si>
  <si>
    <t>16" Whiteland to Shelbyville ILI retrofit to allow for In-Line Inspection. MAOP Reconfirmation and Material verification for 5143-5105 included</t>
  </si>
  <si>
    <t>OBSOLETE EQUIPMENT</t>
  </si>
  <si>
    <t>NE</t>
  </si>
  <si>
    <t>DUNKIRK</t>
  </si>
  <si>
    <t>Replace the outdated controller at Dunkirk Station due to obsolete equipment.</t>
  </si>
  <si>
    <t>NW</t>
  </si>
  <si>
    <t>HENDRICKS COUNTY JUNCTION</t>
  </si>
  <si>
    <t>Replace 3 pressure controllers at HCJ due to obsolete equipment.</t>
  </si>
  <si>
    <t>N-XA-11721</t>
  </si>
  <si>
    <t>19595602051210</t>
  </si>
  <si>
    <t>ATTICA</t>
  </si>
  <si>
    <t>IN-ATTICA-SUMMIT ST REG STATION-REBUILD SUMMIT ST ~~Station needs rebuilt has obsolete equipment, leaky valves and riser corrosion (0 - services)</t>
  </si>
  <si>
    <t>NE4001-4875</t>
  </si>
  <si>
    <t>21202802054018</t>
  </si>
  <si>
    <t>PRIORITY PIPE</t>
  </si>
  <si>
    <t>ZIONSVILLE</t>
  </si>
  <si>
    <t>Replace 1978 vintage pipe between Hendricks County Junction and Zionsville due to seam defects including hook cracks identified through ILI.</t>
  </si>
  <si>
    <t>NW3103-5143</t>
  </si>
  <si>
    <t>LAFAYETTE</t>
  </si>
  <si>
    <t>Replace small section of 8" pipe with 12" pipe on Subaru Line. Assessment needed in 2023</t>
  </si>
  <si>
    <t>NW3124-3164</t>
  </si>
  <si>
    <t>GREENCASTLE</t>
  </si>
  <si>
    <t>ILI retrofit and combine with NW3128 to allow for In-Line Inspection of NW3124 and NW3128.</t>
  </si>
  <si>
    <t>Install Gas Chromatograph at Unionville to monitor gas quality</t>
  </si>
  <si>
    <t>NE4006-2960</t>
  </si>
  <si>
    <t>ANDERSON</t>
  </si>
  <si>
    <t>Install Gas Chromatograph and filter/separator and Anderson #2 Station to ensure gas quality</t>
  </si>
  <si>
    <t>NS5013-3919</t>
  </si>
  <si>
    <t>CRESTWOOD, KY</t>
  </si>
  <si>
    <t>Install Gas Chromatograph at Crestwood PP to monitor gas quality.</t>
  </si>
  <si>
    <t>NS5142-5102</t>
  </si>
  <si>
    <t>PRESSURE TEST</t>
  </si>
  <si>
    <t>DANVILLE</t>
  </si>
  <si>
    <t>MAOP Reconfirmation - Pressure Test and Material Verification.
PT from HCJ (0.00) to I-70 (104131.32) (104,131 ft).
Replace lateral Route NS5142.L089 to RS #46000033 Lake of Lanterns. Replace through  reg runs.</t>
  </si>
  <si>
    <t>NW3117-3088</t>
  </si>
  <si>
    <t>19202802054022</t>
  </si>
  <si>
    <t xml:space="preserve">TERRE HAUTE </t>
  </si>
  <si>
    <t xml:space="preserve">Replace approximately 13 miles of 8" steel transmission line between Texas Gas PP to Centerpoint Station.  Pipeline requires MAOP reconfirmation but cannot be pressure tested because it is only supply to single-feed system.  </t>
  </si>
  <si>
    <t>NW3125-5108</t>
  </si>
  <si>
    <t>LEBANON</t>
  </si>
  <si>
    <t>MAOP Reconfirmation - Pressure Test and Material Verification.
PT from Measure 0 to 15056.04 (15056 ft).</t>
  </si>
  <si>
    <t>NE4001-5002</t>
  </si>
  <si>
    <t xml:space="preserve">Replace 30,894' of 1978 vintage pipe between Hendricks County Junction and Zionsville due to seam defects including hook cracks.  </t>
  </si>
  <si>
    <t>NE4006-5147</t>
  </si>
  <si>
    <t xml:space="preserve">Replace 103' of unknown vintage pipe from Measure 24222.6 to Measure 24119.12 at Orebaugh Creek. </t>
  </si>
  <si>
    <t>NE4036-5089</t>
  </si>
  <si>
    <t>MUNCIE</t>
  </si>
  <si>
    <t>Phase 1 Construct new 12" pipeline from Gate 12 in Muncie to the Rushville Take Off Station to eliminate the existing pipeline with defects.</t>
  </si>
  <si>
    <t>NW3107-3231</t>
  </si>
  <si>
    <t>CRAWFORDSVILLE</t>
  </si>
  <si>
    <t>Install new rectifiers and/or ground beds on NW3107 line to improve cathodic protection.  Current protection not adequate to prevent corrosion.</t>
  </si>
  <si>
    <t>NW3108-3230</t>
  </si>
  <si>
    <t>Install new rectifiers and/or ground beds on NW3108 line to improve cathodic protection.  Current protection not adequate to prevent corrosion.</t>
  </si>
  <si>
    <t>NE4015-3295</t>
  </si>
  <si>
    <t>RICHMOND</t>
  </si>
  <si>
    <t>Install filter/separator and gas chromatograph at Panhandle PP (Richmond #2) to monitor and maintain gas quality.</t>
  </si>
  <si>
    <t>NE4018-3880</t>
  </si>
  <si>
    <t>PONETO</t>
  </si>
  <si>
    <t>Install relief valve, gas chromatograph and filter/separator at Huntington purchase point</t>
  </si>
  <si>
    <t>NS5145-3471</t>
  </si>
  <si>
    <t>ST PAUL</t>
  </si>
  <si>
    <t>Install gas chromatographs at REX PP to monitor the quality of gas being delivered in Vectren facilities.</t>
  </si>
  <si>
    <t>NW3112-3275</t>
  </si>
  <si>
    <t>Install filter and separator at Heartland Steel PP to improve gas quality in the south Terre Haute system.</t>
  </si>
  <si>
    <t>NW3003-3149</t>
  </si>
  <si>
    <t>Replace 17 fittings on the 16" main from Taylor trap to McCormic Station. Remediate exposure on concord road west of the Wea Valve. Replace the leaking 8" valve at Fox Station. Install 9 filters at regulator stations. This project will require 4 stopple and distribution support. ILI retrofit to allow for In-Line Inspection</t>
  </si>
  <si>
    <t>Install Ultrasonic Metering at Dolan Storage Field to replace obsolete meters and provide enhanced reservoir inventory monitoring and control</t>
  </si>
  <si>
    <t>NW Storage</t>
  </si>
  <si>
    <t xml:space="preserve">WOLCOTT </t>
  </si>
  <si>
    <t>Install Ultrasonic Metering at Wolcott Storage Field to replace obsolete meters and provide enhanced reservoir inventory monitoring and control</t>
  </si>
  <si>
    <t>NE4003-5092</t>
  </si>
  <si>
    <t>NOBLESVILLE</t>
  </si>
  <si>
    <t>MAOP Reconfirmation - Pressure Test and Material Verification. (45 miles total):
•PT from Zionsville (0) to 111th St (29757) (30, 000 ft); include Gate 1 (Routes NE4003.L058 &amp; NE4003.Y003)
•PT from 111th St (29757) to Lantern Rd (72987) (43, 000 ft)
•PT from Lantern Rd (72987) to east of May's Landing Dr (74348) (1361 ft)
•PT from Promise Rd (85700) to Gate 6 (145392.77) (60, 000 ft)
•PT from Measure 173206 (Anderson #1 Station) to 264364.68 (Gate 12) (91,158 ft)
•PT from Measure 264364.68 (Gate 12) to 280512.55 (King Station) (16, 100 ft)</t>
  </si>
  <si>
    <t>NS5009-3290</t>
  </si>
  <si>
    <t>CLARKSVILLE</t>
  </si>
  <si>
    <t>Pressure test of 10" Quarry Bluff to Longview Beach (DS) due to no existing pressure test documentation.</t>
  </si>
  <si>
    <t>NS5010-3292</t>
  </si>
  <si>
    <t>Pressure test of 10" Quarry Bluff to Longview Beach (US) due to no existing pressure test documentation.</t>
  </si>
  <si>
    <t>NS5055-5142</t>
  </si>
  <si>
    <t>NS5055 assessment along Old SR-37 due in 2025; Pressure Test for MAOP Reconfirmation (NS5153 Measure 65387.98 to 67076.12) and Assessment and replace any vintage 1948 or unknown adjacent pipe.
Also replace or PT nearby Reconfirmation segment from NS5153 Measure 64929.68 to 64941.67.</t>
  </si>
  <si>
    <t>NS5056-5141</t>
  </si>
  <si>
    <t xml:space="preserve">NS5056 assessment at 3rd St due in 2024; Pressure Test for Reconfirmation (NS5153 Measure 96684.08 to	96758.91) and Assessment and replace any vintage 1956 adjacent pipe </t>
  </si>
  <si>
    <t>NS5059-5100</t>
  </si>
  <si>
    <t>Pressure test from Measure 22901.91 to 28197.42 for Assessment and Reconfirmation.MAOP Reconfirmation - Pressure Test and Material Verification -  segment from Measure 26119 to 28197.42 (2,078 ft)</t>
  </si>
  <si>
    <t>NS5059-5101</t>
  </si>
  <si>
    <t>MAOP Reconfirmation replacement - cannot pressure test.  Route NS5059.L003 - lateral to 19th &amp; Dunn Streets Station 29000011 and rebuild Station 29000011</t>
  </si>
  <si>
    <t>NS5143-5042</t>
  </si>
  <si>
    <t>WHITELAND</t>
  </si>
  <si>
    <t xml:space="preserve">Material verification to establish traceable, verifiable, and complete pipeline records.  Collect cutouts on sections not completed in 2022
</t>
  </si>
  <si>
    <t>NW3112-3057</t>
  </si>
  <si>
    <t>Install new Rectifier and Ground Bed to improve cathodic protection.  Current protection not adequate to prevent corrosion.</t>
  </si>
  <si>
    <t>NE4021-3937</t>
  </si>
  <si>
    <t>GREENFIELD</t>
  </si>
  <si>
    <t>ILI retrofit.   Install launcher and receiver and filters on side stations.</t>
  </si>
  <si>
    <t>NW3122-3032</t>
  </si>
  <si>
    <t>CAYUGA</t>
  </si>
  <si>
    <t>Newport tie-over to feed the town of Newport from the Cayuga PP.  Necessary to allow ILI retrofit and assessment of 16" Cayuga to Duke pipeline - NW3122-3076</t>
  </si>
  <si>
    <t>NW3122-3076</t>
  </si>
  <si>
    <t>ILI Retrofit of 16" Cayuga to Duke to allow for In-Line Inspection.</t>
  </si>
  <si>
    <t>SELLERSBURG</t>
  </si>
  <si>
    <t>Install Ultrasonic Metering at Sellersburg Storage Field to replace obsolete meters and provide enhanced reservoir inventory monitoring and control</t>
  </si>
  <si>
    <t>NS5006-5097</t>
  </si>
  <si>
    <t>Reconfirmation Pressure Test and MatV - PT from Holman (26768.84) to Utica (7459.01) (19309 ft)</t>
  </si>
  <si>
    <t>NS5057-5139</t>
  </si>
  <si>
    <t>Reconfirmation pressure test from Measure 22224 to 24237.26 (2013 ft) (Fullerton 2014 reroute). Reconfirmation pressure test cannot be performed - replace from Measure 24237.26 to 24592.95 (HCA), and 81163 to 82186.55 (HCA).</t>
  </si>
  <si>
    <t>Phase 2 Construct new 12" pipeline from Gate 12 in Muncie to the Rushville Take Off Station to replace the existing pipeline with defects</t>
  </si>
  <si>
    <t>NS5053-5049</t>
  </si>
  <si>
    <t>COLUMBUS</t>
  </si>
  <si>
    <t>Replace 638' of 1946 vintage 8" pipe due to older vintage pipe.
This vintage is associated with manufacturing and construction threats that interact with outside force, external corrosion, third party damage, incorrect operation threats. Replacement of the vintage pipe will eliminate interactive threats.</t>
  </si>
  <si>
    <t>NS5059-5050</t>
  </si>
  <si>
    <t>Replace 1,829' of 1955 vintage pipe between Dolan Station and IU Metering Station due to older vintage pipe.
This vintage is associated with manufacturing and construction threats that interact with outside force, external corrosion, third party damage, incorrect operation threats. Replacement of the vintage pipe will eliminate interactive threats.</t>
  </si>
  <si>
    <t>NS5060-5051</t>
  </si>
  <si>
    <t>Replace 7,045' of 1959 vintage and unknown vintage pipe between Dolan Station and Dolan Storage Field.
This vintage is associated with manufacturing and construction threats that interact with outside force, external corrosion, third party damage, incorrect operation threats. Replacement of the vintage pipe will eliminate interactive threats.</t>
  </si>
  <si>
    <t>NW3114-3424</t>
  </si>
  <si>
    <t>6" Margaret #2 to Texas Gas PP - Replacement // NW3114. Replace 200 feet of 6" pipe due to unsupported MAOP</t>
  </si>
  <si>
    <t>NW3800-5137</t>
  </si>
  <si>
    <t>WOLCOTT</t>
  </si>
  <si>
    <t>Replace 2.88 miles of 16" trunk line and replace all lateral lines to wells due to internal corrosion.</t>
  </si>
  <si>
    <t>MONROVIA</t>
  </si>
  <si>
    <t>Replace odorizer at Monrovia Station due to obsolete equipment.</t>
  </si>
  <si>
    <t>NS5145-3085</t>
  </si>
  <si>
    <t>GREENSBURG</t>
  </si>
  <si>
    <t>Install new odorizer tanks at Greensburg 261 station due to existing tanks being in poor condition.</t>
  </si>
  <si>
    <t>NE4012-3031</t>
  </si>
  <si>
    <t>NEW CASTLE</t>
  </si>
  <si>
    <t>Eliminate Joyner Farm regulator pit/Station 1645
Equipment no longer needed that increases likeliness of incorrect operation threat. Replacement with distribution piping eliminates transmission asset.</t>
  </si>
  <si>
    <t>NE4015-5094</t>
  </si>
  <si>
    <t>Reconfirmation Pressure Test and Material verification; MatV for fittings only; PT entire pipeline (53517.03 ft)</t>
  </si>
  <si>
    <t>NE4037-5091</t>
  </si>
  <si>
    <t>HUNTINGTON</t>
  </si>
  <si>
    <t>Phase 1 Easement acquisition and construct new pipeline from the Huntington PP to Huntington TBS.  Required Pressure test of existing transmission pipeline cannot be completed - single feed system</t>
  </si>
  <si>
    <t>NE4037-5147</t>
  </si>
  <si>
    <t>Phase 2 of Replacement Huntington PP to Huntington TBS to allow for pressure test of NE4018 pipeline which is a one way feed with new NE4037 pipeline.</t>
  </si>
  <si>
    <t>NS5011-5098</t>
  </si>
  <si>
    <t>MAOP Reconfirmation Pressure Test -  from Measure 4310.22 to 8428.02 (across river) (4118 ft)</t>
  </si>
  <si>
    <t>NS5012-5099</t>
  </si>
  <si>
    <t>Reconfirmation Pressure Test - PT from Measure 4252.73 to 8255.71 (across river) (4002 ft)</t>
  </si>
  <si>
    <t>Replace roughly 6,500' of the 8" Needmore to Bloomington pipeline east of Childs School to just south of St. Remy Dr.</t>
  </si>
  <si>
    <t>NE4005-5045</t>
  </si>
  <si>
    <t>Replace 29,315' of 1956 vintage pipe, 853.3' of 1963 vintage pipe and 101.7' of 1965 vintage pipe.  This vintage is associated with manufacturing and construction threats that interact with outside force, external corrosion, third party damage, incorrect operation threats. Replacement of the vintage pipe will eliminate interactive threats as well as poor girth welds.</t>
  </si>
  <si>
    <t>Phase 3 Construct new 12" pipeline from Gate 12 in Muncie to the Rushville Take Off Station to eliminate the existing pipeline with defects.</t>
  </si>
  <si>
    <t>NS5001-4993</t>
  </si>
  <si>
    <t>Replace 5,758' of 8" 1952 vintage between Applegate Station and Clarksville TBS.
This vintage is associated with manufacturing and construction threats that interact with outside force, external corrosion, third party damage, incorrect operation threats. Replacement of the vintage pipe will eliminate interactive threats. ECDA not effective as pipeline coating is not sufficient.</t>
  </si>
  <si>
    <t>NS5008-5046</t>
  </si>
  <si>
    <t>Replace 4,295' of 1953 vintage pipe due to older vintage pipe.
This vintage is associated with manufacturing and construction threats that interact with outside force, external corrosion, third party damage, incorrect operation threats. Replacement of the vintage pipe will eliminate interactive threats.</t>
  </si>
  <si>
    <t>NS5014-3791</t>
  </si>
  <si>
    <t>Replace 1.1 miles of 10"line for Crestwood to the river with 16" through HCA</t>
  </si>
  <si>
    <t xml:space="preserve"> Distribution Modernization - Compliance Project </t>
  </si>
  <si>
    <t>N-X-163</t>
  </si>
  <si>
    <t>17595002G50228</t>
  </si>
  <si>
    <t>BRIDGE CROSSINGS</t>
  </si>
  <si>
    <t>TERRE HAUTE</t>
  </si>
  <si>
    <t>IN-TERRE HAUTE-HULMAN ST ~~ BRIDGE CROSSING N-X-163 - INSTALL: 470' OF 6" PLASTIC UNDER THOMPSON DITCH AND INDIANA RAILROAD, RETIRE: 385' OF 6" STEEL AND 6" PLASTIC, REPLACE: 0 SERVICES</t>
  </si>
  <si>
    <t>N-X-3643</t>
  </si>
  <si>
    <t>IN-TERRE HAUTE- 3001 KUSSVEDINNER ST N-X-3643-Shorted Casings-Replace shorted 12" main and casing near 30001 Kussner St. in Terre Haute, IN.  Retire 10" main crossing.</t>
  </si>
  <si>
    <t>N-X-3810</t>
  </si>
  <si>
    <t>EXPOSURES</t>
  </si>
  <si>
    <t>BEDFORD</t>
  </si>
  <si>
    <t>IN-BEDFORD-SHAWNEE WOODS DR~~REPLACE 500' OF 8" HP STL MAIN IN DITCH AT EAST END OF FIELD NEAR 378 SHAWNEE WOODS . INSTALL 335' OF 8" STEEL. NO SERVICES</t>
  </si>
  <si>
    <t>N-X-3811</t>
  </si>
  <si>
    <t>IN-BEDFORD-PEERLESS RD~~REPLACE 500' OF 8" HP STL MAIN IN CREEK NEAR 831 PEERLESS RD</t>
  </si>
  <si>
    <t>N-X-11101</t>
  </si>
  <si>
    <t>BRAZIL</t>
  </si>
  <si>
    <t>IN-BRAZIL- CR425 6" MP Steel Main - Exposure Near Int. of  CR425 and CR900W - Replace Approx. 500' of existing 6" Steel main to remedy an existing exposure.</t>
  </si>
  <si>
    <t>N-X-3762</t>
  </si>
  <si>
    <t>IN-GREENSBURG-S CR 180 E EXPOSED 6" STEEL HP MAIN ON S CR 180 E APPROX 2,000' NORTH OF E CR 300. 
INSTALL 570' OF 6" STEEL MAIN. NO SERVICES.</t>
  </si>
  <si>
    <t>N-X-1715</t>
  </si>
  <si>
    <t>MITCHELL</t>
  </si>
  <si>
    <t>IN-MITCHELL-8" STL EXPOSURE #27 MITCHELL @ ART SANDERS PROPERTY SOUTH OF DOTT'S REPLACE APPROX. 500' OF 8" HP STEEL MAIN</t>
  </si>
  <si>
    <t>Multiple</t>
  </si>
  <si>
    <t>INSIDE METERS</t>
  </si>
  <si>
    <t>VEDIN</t>
  </si>
  <si>
    <t>MULTIPLE</t>
  </si>
  <si>
    <t>INSIDE METERS - relocate inside meters to exterior of structure</t>
  </si>
  <si>
    <t>N-X-2003</t>
  </si>
  <si>
    <t>LEGACY PLASTIC</t>
  </si>
  <si>
    <t>IN-LAFAYETTE-6th Street Replacement of 1972 Vintage Plastic, 6th Street, 7th Street, 9th Street - Vintage Plastic - Replace approx. 8,500' of existing 2" main and approx. 1,200' of exist. 6" main.  Replace approx. 170 services.</t>
  </si>
  <si>
    <t>N-X-3001</t>
  </si>
  <si>
    <t>PLAINFIELD</t>
  </si>
  <si>
    <t xml:space="preserve"> IN-PLAINFIELD-N CENTER RD~~REPLACE VINTAGE PLASTIC - REPLACE APPROX. 4,300' OF EXISTING 2" MAIN AND APPROX. 4,250' OF EXIST. 6" MAIN.  REPLACE APPROX. 56 SERVICES.</t>
  </si>
  <si>
    <t>N-X-14701</t>
  </si>
  <si>
    <t>LEGACY STEEL</t>
  </si>
  <si>
    <t>IN-BEDFORD-4TH &amp; H ST INEFFECTIVELY COATED STEEL AND CORROSION LEAKS - 8" HP STEEL DISTRIBUTION MAIN.  REPLACE APPROX. 3,400' OF 8" HP STEEL MAIN BETWEEN THE INTERSECTION OF 4TH ST &amp; H ST AND 900' SOUTH OF THE INTERSECTION OF 9TH ST &amp; I ST.</t>
  </si>
  <si>
    <t>N-X-15301</t>
  </si>
  <si>
    <t>IN-BLOOMINGTON-E 3RD ST INEFFECTIVELY COATED STEEL - 4" MP STEEL DISTRIBUTION MAIN.  REPLACE APPROX. 1,150' OF 4" MP STEEL MAIN IN ALLEY S OF E 3RD ST BETWEEN S FESS AVE &amp; S WOODLAWN AVE AND 1,200' IN ALLEY W OF S PARK AVE, BETWEEN 3RD ST &amp; UNIVERSITY AVE; ALSO INCLUDES REPLACING APPROX. 18 SERVICES</t>
  </si>
  <si>
    <t>N-X-15210</t>
  </si>
  <si>
    <t>IN-GREENFIEILD- Lantern Woods  Regulator Station 48001181 – Lantern Woods – replace 20psig System and tie-in to 60psig System and retire station. -Work Order 34841 for 170’ of 2” Plastic main, but it is Vintage Adyl-A.  The rest of the main is M/W Steel. 15 services total</t>
  </si>
  <si>
    <t>N-X-4331</t>
  </si>
  <si>
    <t>IN-GREENFIELD-N FORTVILLE PIKE~~REPLACE 940' OF 2" AND 2,970' OF 3" MP INEFFECTIVELY COATED STL MAIN AND 10 SERVICES</t>
  </si>
  <si>
    <t>N-X-9859</t>
  </si>
  <si>
    <t>JEFFERSONVILLE</t>
  </si>
  <si>
    <t>IN-JEFFERSONVILLE-CENTER ST~~REPLACE 1,700' OF 2" INEFFECTIVELY COATED STL MAIN AND 41 SERVICES</t>
  </si>
  <si>
    <t>N-X-9959</t>
  </si>
  <si>
    <t>IN-JEFFERSONVILLE-SPRINGDALE/LONG ST/SANDRA ST~~REPLACE 1,350' OF 2"AND 1,900' OF 4" INEFFECTIVELY COATED STL MAIN AND 63 SERVICES</t>
  </si>
  <si>
    <t xml:space="preserve"> ISOLATED SERVICES - replaced isolated services</t>
  </si>
  <si>
    <t>N-X-4392</t>
  </si>
  <si>
    <t>IN-RICHMOND~~RETIRE REG STA 1837 AND INSTALL AND RETIRE 5,000' OF MAIN AND 100 SERVICES</t>
  </si>
  <si>
    <t>N-X-4393</t>
  </si>
  <si>
    <t>IN-RICHMOND~~RETIRE REG STA 1835 AND INSTALL AND RETIRE 1,000' OF 8" STL MAIN</t>
  </si>
  <si>
    <t>N-X-4394</t>
  </si>
  <si>
    <t>IN-RICHMOND~~RETIRE REG STA 1886 AND INSTALL 5,300' AND RETIRE 3,200' WITH 125 SERVICES</t>
  </si>
  <si>
    <t>N-X-4500</t>
  </si>
  <si>
    <t>IN-RICHMOND~~RETIRE REG STA 1810 AND INSTALL AND RETIRE 9,500' OF MAIN WITH 100 SERVICES</t>
  </si>
  <si>
    <t>N-X-6000</t>
  </si>
  <si>
    <t>REPLACE 6350' OF COATED LP MAIN AND REPLACE 120 SERICES. RETIRE REG ST 1876</t>
  </si>
  <si>
    <t>N-XA-11735</t>
  </si>
  <si>
    <t>MARTINSVILLE</t>
  </si>
  <si>
    <t>FIRST CUT REMOVAL SR 42 PHASE 2. INSTALL NO MAIN. REPLACING 103 SERVICES</t>
  </si>
  <si>
    <t>Obsolete Equipment</t>
  </si>
  <si>
    <t xml:space="preserve"> OBSOLETE RISERS - replace obsolete service risers</t>
  </si>
  <si>
    <t>PRESSURE MONITORING/SCADA/RTU</t>
  </si>
  <si>
    <t>Replace obsolete paper chart recorders with electronic pressure measurement (ERX) -  13 ERXs</t>
  </si>
  <si>
    <t>Replace obsolete paper chart recorders with electronic pressure measurement (ERX) -  Station 51000002 - Lithia Street</t>
  </si>
  <si>
    <t>Replace obsolete paper chart recorders with electronic pressure measurement (ERX) -  2 ERXS</t>
  </si>
  <si>
    <t>Replace obsolete paper chart recorders with electronic pressure measurement (ERX) -  5 ERXS</t>
  </si>
  <si>
    <t xml:space="preserve">GREENSBURG </t>
  </si>
  <si>
    <t>Replace obsolete paper chart recorders with electronic pressure measurement (ERX) -  7 ERXS</t>
  </si>
  <si>
    <t>Replace obsolete paper chart recorders with electronic pressure measurement (ERX) - 10 ERXs</t>
  </si>
  <si>
    <t>Replace obsolete paper chart recorders with electronic pressure measurement (ERX) -  4ERXS</t>
  </si>
  <si>
    <t>Replace obsolete paper chart recorders with electronic pressure measurement (ERX) -  3 ERXS</t>
  </si>
  <si>
    <t>N-XA-11921</t>
  </si>
  <si>
    <t>REGULATOR STATION</t>
  </si>
  <si>
    <t>Install regulator station emergency inlet valve - CR 200 E - N OF US 36</t>
  </si>
  <si>
    <t>N-XA-11923</t>
  </si>
  <si>
    <t>Install regulator station emergency inlet valve - S/S OF MALL PARKING LOT</t>
  </si>
  <si>
    <t>N-XA-11924</t>
  </si>
  <si>
    <t>Install regulator station emergency inlet valve - CR 600 W - N OF W CR 200 S</t>
  </si>
  <si>
    <t>N-XA-11925</t>
  </si>
  <si>
    <t>Install regulator station emergency inlet valve - CR 700 W - N OF W CR 200 S</t>
  </si>
  <si>
    <t>N-XA-12008</t>
  </si>
  <si>
    <t>Install regulator station emergency inlet valve - E/S OF PEARL ST @ 26TH ST</t>
  </si>
  <si>
    <t>N-XA-12009</t>
  </si>
  <si>
    <t>Install regulator station emergency inlet valve - SE CORNER OF 25TH &amp; MADISON</t>
  </si>
  <si>
    <t>N-XA-12010</t>
  </si>
  <si>
    <t>Install regulator station emergency inlet valve - INTERSECTION OF CROSS &amp; WENDELL</t>
  </si>
  <si>
    <t>N-XA-12028</t>
  </si>
  <si>
    <t>BROOKLYN</t>
  </si>
  <si>
    <t>Install regulator station emergency inlet valve - BROOKLYN 18745367</t>
  </si>
  <si>
    <t>N-XA-11888</t>
  </si>
  <si>
    <t>CLINTON</t>
  </si>
  <si>
    <t>Install regulator station emergency inlet valve - CLINTON 18346685</t>
  </si>
  <si>
    <t>N-XA-11897</t>
  </si>
  <si>
    <t>Install regulator station emergency inlet valve - COLUMBUS 18351653</t>
  </si>
  <si>
    <t>N-XA-12007</t>
  </si>
  <si>
    <t>ELWOOD</t>
  </si>
  <si>
    <t>Install regulator station emergency inlet valve - SR 37 - N OF PLAZA &amp; S OF YARLING</t>
  </si>
  <si>
    <t>N-X-4302</t>
  </si>
  <si>
    <t>FRANKFORT</t>
  </si>
  <si>
    <t>IN-Frankfort- S CR 130 W N-X-4302-MOD project in support of project 18202802054017 (12" HJC to Fox Retrofit).  Project installs 5,500 feet of 4 inch plastic along S CR 130 W from W CR 300 S to W CR 200 S in Frankfort Indiana.  The project connects an isolated distribution system (Reg Sta 60000028) to the Frankfort distribution system.</t>
  </si>
  <si>
    <t>N-XA-11894</t>
  </si>
  <si>
    <t>FRANKLIN</t>
  </si>
  <si>
    <t>Install regulator station emergency inlet valve - FRANKLIN 18351980</t>
  </si>
  <si>
    <t>N-XA-11889</t>
  </si>
  <si>
    <t>Install regulator station emergency inlet valve - GREENFIELD 18352055</t>
  </si>
  <si>
    <t>N-XA-11890</t>
  </si>
  <si>
    <t>Install regulator station emergency inlet valve - GREENFIELD 18352049</t>
  </si>
  <si>
    <t>N-XA-11895</t>
  </si>
  <si>
    <t>Install regulator station emergency inlet valve - GREENSBURG 18351974</t>
  </si>
  <si>
    <t>N-XA-11896</t>
  </si>
  <si>
    <t>Install regulator station emergency inlet valve - GREENSBURG 18351743</t>
  </si>
  <si>
    <t>N-XA-11885</t>
  </si>
  <si>
    <t>Install regulator station emergency inlet valve - LAFAYETTE 18352105</t>
  </si>
  <si>
    <t>N-XA-11886</t>
  </si>
  <si>
    <t>Install regulator station emergency inlet valve - LAFAYETTE 18352069</t>
  </si>
  <si>
    <t>N-XA-12001</t>
  </si>
  <si>
    <t>Install regulator station emergency inlet valve - LEBANON 18746394</t>
  </si>
  <si>
    <t>N-XA-12002</t>
  </si>
  <si>
    <t>Install regulator station emergency inlet valve - LEBANON 18746395</t>
  </si>
  <si>
    <t>N-XA-12025</t>
  </si>
  <si>
    <t>NEW PALESTINE</t>
  </si>
  <si>
    <t>Install regulator station emergency inlet valve - NEW PALESTINE 18352035</t>
  </si>
  <si>
    <t>N-XA-11922</t>
  </si>
  <si>
    <t>PENDLETON</t>
  </si>
  <si>
    <t>Install regulator station emergency inlet valve - N/S OF US 36 - W OF CARRIAGE LN</t>
  </si>
  <si>
    <t>N-XA-12011</t>
  </si>
  <si>
    <t>Install regulator station emergency inlet valve - WATER ST - E OF PENDLETON PIKE</t>
  </si>
  <si>
    <t>N-XA-12024</t>
  </si>
  <si>
    <t>ROSEDALE</t>
  </si>
  <si>
    <t>Install regulator station emergency inlet valve - ROSEDALE 18352066</t>
  </si>
  <si>
    <t>N-XA-11892</t>
  </si>
  <si>
    <t>RUSHVILLE</t>
  </si>
  <si>
    <t>Install regulator station emergency inlet valve - RUSHVILLE 18352018</t>
  </si>
  <si>
    <t>N-XA-11893</t>
  </si>
  <si>
    <t>Install regulator station emergency inlet valve - RUSHVILLE 18351985</t>
  </si>
  <si>
    <t>N-X-4102</t>
  </si>
  <si>
    <t>IN-TERRE HAUTE-STATION 34000144-7TH STREET-UPSUPPOTED  N-X-4102 - Regulator Station 34000144 (-87.406601, 39.419701) has unsupported Fisher 621 regulators and compression valves.  Located at 7th St and Royce Street, near Rea Park.</t>
  </si>
  <si>
    <t>N-XA-12003</t>
  </si>
  <si>
    <t>Install regulator station emergency inlet valve - TERRE HAUTE 18746397</t>
  </si>
  <si>
    <t>N-XA-12004</t>
  </si>
  <si>
    <t>Install regulator station emergency inlet valve - TERRE HAUTE 18746398</t>
  </si>
  <si>
    <t>N-XA-12005</t>
  </si>
  <si>
    <t>Install regulator station emergency inlet valve - TERRE HAUTE 18746399</t>
  </si>
  <si>
    <t>N-XA-12006</t>
  </si>
  <si>
    <t>Install regulator station emergency inlet valve - TERRE HAUTE 18746401</t>
  </si>
  <si>
    <t>N-X-179</t>
  </si>
  <si>
    <t>IN-TERRE HAUTE-WABASH RIVER BRIDGE~ IN-TERRE HAUTE-WABASH RIVER BRIDGE~~REPLACE 8" STL MAIN - EXPOSURE - REPLACE APPROX. 1,200' OF EXIST. 8" MP STEEL MAIN AT THE WABASH RIVER CROSSING.</t>
  </si>
  <si>
    <t>N-X-3714</t>
  </si>
  <si>
    <t>IN-FRANKLIN-E GREENSBURG RD EXPOSURE~~REPLACE 500' OF 6" STL MAIN</t>
  </si>
  <si>
    <t>N-X-1707</t>
  </si>
  <si>
    <t>IN-MITCHELL-SHOALS LINE EXPOSURE #13~~REPLACE 500' OF 6" STL MAIN. INSTALLING 500' OF 6" STEEL. NO SERVICES.</t>
  </si>
  <si>
    <t xml:space="preserve"> INSIDE METERS - relocate inside meters to exterior of structure</t>
  </si>
  <si>
    <t>N-X-4003</t>
  </si>
  <si>
    <t>BROWNSBURG</t>
  </si>
  <si>
    <t>IN-BROWNSBURG-LAKE FOREST DR~ IN-BROWNSBURG-LAKE FOREST DR~~REPLACE VINTAGE PLASTIC - REPLACE APPROX. 100' OF EXISTING 2" MAIN AND APPROX. 2,550' OF EXIST. 6" MAIN.  REPLACE APPROX. 19 SERVICES.</t>
  </si>
  <si>
    <t>N-X-10005</t>
  </si>
  <si>
    <t>IN-BLOOMINGTON-KINSER PIKE~~REPLACE 1,700' OF 4" INEFFECTIVELY COATED STL MAIN AND 18 SERVICES</t>
  </si>
  <si>
    <t>N-X-15302</t>
  </si>
  <si>
    <t>IN- BLOOMINGTON-1OTH Ineffective Coated Steel - Replace approx. 1,300' of 2" Steel and 600' of 4" Steel main located along 10th St between Forest Ave and Jordan Ave; and 400' of 2" Steel along Walnut Grove between 10th St and Cottage Grove; and 1750' of 4" Steel main along Jordan Ave between 7th St and Law Ln; also includes replacing approx. 14 services.</t>
  </si>
  <si>
    <t>N-X-483</t>
  </si>
  <si>
    <t>IN-Bloomington-13th street N-X-483 - Ineffectively Coated Steel - Replace 2,650' of 4" and 2" steel main with poor CP along 13th St. between Fee Ln. and Indiana Ave. and 500' of 2" steel main along 14th St, between Park Ave and Forest Ave and Replace Approx. 9 Services</t>
  </si>
  <si>
    <t>N-X-9858</t>
  </si>
  <si>
    <t>IN-CLARKSVILLE-ACCRUSIA AVE~~REPLACE 2,200' OF 2"AND 1,000' OF 4" INEFFECTIVELY COATED MP STL MAIN AND 66 SERVICES</t>
  </si>
  <si>
    <t>N-X-15910</t>
  </si>
  <si>
    <t>IN-COLUMBUS- FAIRLANE DR-FROM 25TH TO 29TH STREETS- REPLACE 5,650' INEFFECTIVELY COATED STL MAIN AND 87 SERVICES</t>
  </si>
  <si>
    <t>N-X-16710</t>
  </si>
  <si>
    <t>ELLETTSVILLE</t>
  </si>
  <si>
    <t>IN-ELLETTSVILLE-LAKEVIEW RD~~REPLACE 2,400' OF 4" INEFFECTIVELY COATED STL MAIN AND 30 SERVICES</t>
  </si>
  <si>
    <t>N-X-4388</t>
  </si>
  <si>
    <t>IN-Richmond-REPLACE BS E-F-G-3-4-5TH STREETS- INSTALL  5075' OF 2" PL AND 91 SERVICES. REPLACE 5075' OF 6" STL.</t>
  </si>
  <si>
    <t>N-X-4501</t>
  </si>
  <si>
    <t>IN-RICHMOND~~REPLACE 3,500' OF VARIOUS SIZE INEFFECTIVELY COATED LP STL MAIN AND 70 SERVICES</t>
  </si>
  <si>
    <t>N-X-4503</t>
  </si>
  <si>
    <t>IN-RICHMOND~~REPLACE 6,000' INSTALL 6000' OF INEFFECTIVELY COATED LP STL MAIN AND 100 SERVICES, RETIRE REG STA 1830</t>
  </si>
  <si>
    <t>N-X-4504</t>
  </si>
  <si>
    <t>IN-RICHMOND~~REPLACE 6,500' OF INEFFECTIVELY COATED LP STL MAIN AND 75 SERVICES</t>
  </si>
  <si>
    <t>N-X-4505</t>
  </si>
  <si>
    <t>IN-RICHMOND~~REPLACE 5,000' OF INEFFECTIVELY COATED LP STL MAIN AND 75 SERVICES</t>
  </si>
  <si>
    <t>N-X-4506</t>
  </si>
  <si>
    <t>IN-RICHMOND~~REPLACE 3,000' OF INEFFECTIVELY COATED LP STL MAIN AND 75 SERVICES</t>
  </si>
  <si>
    <t>N-X-4707</t>
  </si>
  <si>
    <t>IN-RICHMOND-TOOSBURY ST~~REPLACE 2,000' OF INEFFECTIVELY COATED LP STL MAIN AND 16 SERVICES</t>
  </si>
  <si>
    <t>N-X-3005</t>
  </si>
  <si>
    <t>IN-TERRE HAUTE - WILKIE, W OAK GROVE, BENJAMIN IN-TERRE HAUTE~~UNKOWN STL - WILKIE, W OAK GROVE, BENJAMIN - INEFFECTIVELY COATED STEEL - REPLACE APPROX. 3,200' OF EXIST. 2" MP STEEL MAIN.  REPLACE APPROX. 27 SERVICES.</t>
  </si>
  <si>
    <t>N-X-3002</t>
  </si>
  <si>
    <t>IN-TERRE HAUTE-SR 42/US 231~</t>
  </si>
  <si>
    <t>Replace obsolete paper chart recorders with electronic pressure measurement (ERX) - 8 ERXS</t>
  </si>
  <si>
    <t>Replace obsolete paper chart recorders with electronic pressure measurement (ERX) -  6 ERXs</t>
  </si>
  <si>
    <t>Replace obsolete paper chart recorders with electronic pressure measurement (ERX) - 4 ERXS</t>
  </si>
  <si>
    <t>MADISON</t>
  </si>
  <si>
    <t>Replace obsolete paper chart recorders with electronic pressure measurement (ERX) - 6 ERXS</t>
  </si>
  <si>
    <t>Replace obsolete paper chart recorders with electronic pressure measurement (ERX) - 17 ERXS</t>
  </si>
  <si>
    <t>Replace obsolete paper chart recorders with electronic pressure measurement (ERX) - 13 ERXs</t>
  </si>
  <si>
    <t>Replace obsolete paper chart recorders with electronic pressure measurement (ERX) - 3 ERXS</t>
  </si>
  <si>
    <t>N-XA-11963</t>
  </si>
  <si>
    <t>ALBANY</t>
  </si>
  <si>
    <t>Install regulator station emergency inlet valve -CR 575 E - SOUTH OF SR 67</t>
  </si>
  <si>
    <t>N-XA-11958</t>
  </si>
  <si>
    <t>Install regulator station emergency inlet valve -S/S OF 25TH ST - W OF LAYTON RD</t>
  </si>
  <si>
    <t>N-XA-11959</t>
  </si>
  <si>
    <t>Install regulator station emergency inlet valve -S/E CORNER OF 22ND ST &amp; PITT ST</t>
  </si>
  <si>
    <t>N-XA-11960</t>
  </si>
  <si>
    <t>N-XA-11961</t>
  </si>
  <si>
    <t>DALEVILLE</t>
  </si>
  <si>
    <t>Install regulator station emergency inlet valve -CR 600 W - 1/2 MILE S OF SR 67</t>
  </si>
  <si>
    <t>N-X-4301</t>
  </si>
  <si>
    <t>IN-Danville- CR W 300 N under Interstate 65   N-X-4301-Distribution project in support of project 18202802054017 (12" HJC to Fox Retrofit).  Install 1,300 feet of 4 inch plastic on CR W 300 N under Interstate 65  to connect an isolated distribution system (Reg. Station 53000057) to the Lebanon distribution system.</t>
  </si>
  <si>
    <t>N-XA-11965</t>
  </si>
  <si>
    <t>EATON</t>
  </si>
  <si>
    <t>Install regulator station emergency inlet valve - E OF MERIDIAN ST - N OF CHURCH ST</t>
  </si>
  <si>
    <t>N-XA-11946</t>
  </si>
  <si>
    <t>Install regulator station emergency inlet valve -CR 525 EAST - SOUTH OF GREENSBURG ROAD</t>
  </si>
  <si>
    <t>N-XA-11943</t>
  </si>
  <si>
    <t>Install regulator station emergency inlet valve -E/S OF CR 60 E @ INTERSECTION OF CR 700 S</t>
  </si>
  <si>
    <t>N-XA-11937</t>
  </si>
  <si>
    <t xml:space="preserve">Install regulator station emergency inlet valve -843 MORTON AVENUE @ HACKER DRIVE </t>
  </si>
  <si>
    <t>N-XA-11938</t>
  </si>
  <si>
    <t>Install regulator station emergency inlet valve -SOUTH MORTON @ HACKER DRIVE</t>
  </si>
  <si>
    <t>N-XA-11939</t>
  </si>
  <si>
    <t>N-XA-11940</t>
  </si>
  <si>
    <t>Install regulator station emergency inlet valve -COUNTY ROAD 150 S @ SEWAGE PLANT - 1285 ROGERS ROAD</t>
  </si>
  <si>
    <t>N-XA-11941</t>
  </si>
  <si>
    <t xml:space="preserve">Install regulator station emergency inlet valve -PLUMMER ROAD @ STATE ROAD 44 </t>
  </si>
  <si>
    <t>N-XA-11942</t>
  </si>
  <si>
    <t>Install regulator station emergency inlet valve -DEERFIELD FARMS @ STATE ROAD 44</t>
  </si>
  <si>
    <t>N-XA-12031</t>
  </si>
  <si>
    <t>MT SUMMIT</t>
  </si>
  <si>
    <t>IN-Mt Summit-W CR 400 N 51' E OF N &amp; S RR - 850' S OF W CR 400 N</t>
  </si>
  <si>
    <t>N-XA-11962</t>
  </si>
  <si>
    <t>Install regulator station emergency inlet valve -EAST CENTENNIAL - EAST OF ELGIN ST</t>
  </si>
  <si>
    <t>N-XA-11964</t>
  </si>
  <si>
    <t>Install regulator station emergency inlet valve -DELAWARE RD - S OF MT PLEASANT BLVD</t>
  </si>
  <si>
    <t>N-XA-11966</t>
  </si>
  <si>
    <t>Install regulator station emergency inlet valve -IN-New Castle-E CR 300 N 1100' E OF SR 3 &amp; 12' S OF E CR 300 N</t>
  </si>
  <si>
    <t>N-XA-11957</t>
  </si>
  <si>
    <t>Install regulator station emergency inlet valve - CR -625 W @ 1/2 MILE N OF SR 38</t>
  </si>
  <si>
    <t>N-XA-11944</t>
  </si>
  <si>
    <t>SEYMOUR</t>
  </si>
  <si>
    <t>Install regulator station emergency inlet valve -E/S OF SR11 - 0.7 MILES NORTH OF I-65</t>
  </si>
  <si>
    <t>N-XA-11945</t>
  </si>
  <si>
    <t>Install regulator station emergency inlet valve -W/S OF SR11 - 1.5 MILES SOUTH OF I-65</t>
  </si>
  <si>
    <t>N-XA-11947</t>
  </si>
  <si>
    <t>Install regulator station emergency inlet valve -N/E CORNER OF N 17TH ST @ LEE AVE</t>
  </si>
  <si>
    <t>N-XA-11948</t>
  </si>
  <si>
    <t>Install regulator station emergency inlet valve - N/E CORNER OF N 16TH ST @ ELIZABETH ST</t>
  </si>
  <si>
    <t>N-XA-11949</t>
  </si>
  <si>
    <t>Install regulator station emergency inlet valve -LATTA MOBILE HOME PARK</t>
  </si>
  <si>
    <t>N-XA-11950</t>
  </si>
  <si>
    <t>Install regulator station emergency inlet valve -W/S OF SR 150 @ WOODLAND AVE</t>
  </si>
  <si>
    <t>N-XA-11951</t>
  </si>
  <si>
    <t>Install regulator station emergency inlet valve -W/S OF SR 150 @ FERGUSON HILL</t>
  </si>
  <si>
    <t>N-XA-11952</t>
  </si>
  <si>
    <t>Install regulator station emergency inlet valve -FRUITRIDGE AVE @ LINDEN ST</t>
  </si>
  <si>
    <t>N-XA-11953</t>
  </si>
  <si>
    <t>Install regulator station emergency inlet valve -US HIGHWAY 40A @ ROBINWOOD LN</t>
  </si>
  <si>
    <t>N-XA-11954</t>
  </si>
  <si>
    <t>Install regulator station emergency inlet valve -N/W CORNER OF WABASH AVE &amp; BOURNE ST</t>
  </si>
  <si>
    <t>N-XA-11955</t>
  </si>
  <si>
    <t>N-XA-11956</t>
  </si>
  <si>
    <t>Install regulator station emergency inlet valve -W/S OF SR 63 @ DEMOREST ST</t>
  </si>
  <si>
    <t>N-XA-11765</t>
  </si>
  <si>
    <t>SYSTEM IMPROVEMENT - SAFETY AND RELIABILITY- DIST</t>
  </si>
  <si>
    <t>IN - Lebanon - S OUTER DR - Replace obsolete regulator S OUTER DR Valve Repair- Replacing obsolete regulator.</t>
  </si>
  <si>
    <t>N-X-3906</t>
  </si>
  <si>
    <t>IN-GREENSBURG-DECATUR COUNTY BRIDGE #102~~REPLACE 6" HP STL MAIN</t>
  </si>
  <si>
    <t>N-X-1706</t>
  </si>
  <si>
    <t>IN-MITCHELL-SHOALS LINE EXPOSURE #12~~REPLACE 500' OF 6" STL MAIN AT HACK AND BAKER PROPERTY</t>
  </si>
  <si>
    <t>N-X-1702</t>
  </si>
  <si>
    <t>SHOALS</t>
  </si>
  <si>
    <t>IN-SHOALS-SHOALS LINE EXPOSURE # 2 AND # 3~~REPLACE 500' OF 6" STL MAIN</t>
  </si>
  <si>
    <t>N-X-1705</t>
  </si>
  <si>
    <t>IN-SHOALS-SHOALS LINE EXPOSURE # 9, # 10, AND # 11~~REPLACE 500' OF 6" STL MAIN IN CREEK WEST OF HINDOSTAN LANE</t>
  </si>
  <si>
    <t>N-X-9999</t>
  </si>
  <si>
    <t>NEW ALBANY</t>
  </si>
  <si>
    <t xml:space="preserve">IN-NEW ALBANY-SILVER HILLS RESIDENTAL SUBDIVISION~~REPLACE UNLOCATABLE MP PLASTIC MAIN. REPLACE/INSTALL 6000' OF 2" HDPE AND 115 SERVICES. </t>
  </si>
  <si>
    <t>N-X-3004</t>
  </si>
  <si>
    <t>ROCKVILLE</t>
  </si>
  <si>
    <t>IN-ROCKVILLE-HERMAN LN/INDIANA ST~~REPLACE VINTAGE PLASTIC MAIN SECTIONS - REPLACE APPROX. 4,100 FT OF 2" AND APPROX. 2,400 FT OF 4" MAIN.  REPLACE APPROX. 80 SERVICES.</t>
  </si>
  <si>
    <t>N-X-14702</t>
  </si>
  <si>
    <t>IN-BEDFORD-9TH ST/I ST~~REPLACE 5,600' OF 8" HP INEFFECTIVELY COATED STL MAIN</t>
  </si>
  <si>
    <t>N-X-16770</t>
  </si>
  <si>
    <t>IN-BLOOMINGTON-SR45~~REPLACE 5,500' OF 4" INEFFECTIVELY COATED STL MAIN AND 85 SERVICES</t>
  </si>
  <si>
    <t>N-X-16771</t>
  </si>
  <si>
    <t>IN-BLOOMINGTON-SR45~~REPLACE 5,800' OF 4" INEFFECTIVELY COATED STL MAIN AND 90 SERVICES</t>
  </si>
  <si>
    <t>N-X-16930</t>
  </si>
  <si>
    <t>IN-BLOOMINGTON-HIGH ST/WOODSTOCKDR~~REPLACE 7,320' OF 4" INEFFECTIVELY COATED STL MAIN AND 80 SERVICES</t>
  </si>
  <si>
    <t>N-X-13201</t>
  </si>
  <si>
    <t>IN-BROWNSBURG-S Jefferson St DIMP Project ID 416 - 02.26.2021 - Ineffectively Coated Steel - Replace approx. 1,400' of 2" MP Steel main along S Jefferson St between. E Tilden and Hamilton St and approx. 400' of 2" MP Steel main along Maplebrook between Jefferson and School St.  Total service replace approx. 40 services.</t>
  </si>
  <si>
    <t>N-X-9758</t>
  </si>
  <si>
    <t>IN-CLARKSVILLE-N MARSHALL ST~~REPLACE 1,400' OF 2" INEFFECTIVELY COATED MP STL MAIN AND 32 SERVICES</t>
  </si>
  <si>
    <t>N-XA-12122</t>
  </si>
  <si>
    <t>IN-CLINTON-E SR163 - JUST EAST OF INT OF SR63 IN - CLINTON - INEFFECTIVELY COATED STEEL - REPLACE APPROX. 1,000 FT OF EXISTING 6" STEEL MAIN AND REPLACE APPROX. 6 SERVICES.</t>
  </si>
  <si>
    <t>N-X-15990</t>
  </si>
  <si>
    <t>IN-COLUMBUS~~TAYLOR RD, COVE RD, PARK VALLEY, LAKESIDE DR, SADDLE DR, SOUTH DR, SHANNON CT, AND CLOVER CT.-REPLACE 7,250' OF INEFFECTIVELY COATED STL MAIN AND 111 SERVICES</t>
  </si>
  <si>
    <t>N-X-16702</t>
  </si>
  <si>
    <t>IN-GREENCASTLE-Cameron Dr Ineffectively coated steel - DIMP Project ID 49 Area -  Replace approx. 600' of existing 2" MP Steel main located along Cameron Dr, between Arlington and Linwood; and approx. 800' of existing 2" MP Steel main located along Ritter Dr, between Cameron and Tacoma Street.  Replace approx. 20 services.</t>
  </si>
  <si>
    <t>N-X-16260</t>
  </si>
  <si>
    <t>HOPE</t>
  </si>
  <si>
    <t>IN-HOPE~~JACKSON ST, WASHINGTON ST, ALLEY WEST OF ELM ST, ALLEY WEST OF MARKET ST, AND DEPOT ST.REPLACE 7,000' INEFFECTIVELY COATED STL MAIN AND 108 SERVICES</t>
  </si>
  <si>
    <t>N-X-9659</t>
  </si>
  <si>
    <t>IN-JEFFERSONVILLE-MORRIS ST/LYNNDALE ST~~REPLACE 1,200' OF 2" AND 1,100' OF 4" INEFFECTIVELY COATED MP STL MAIN AND 72 SERVICES</t>
  </si>
  <si>
    <t>N-X-17901</t>
  </si>
  <si>
    <t>IN-LAFAYETTE-Owen St DIMP Project ID 417 - 02.26.2021 - Vintage Plastic - Replace approx. 1,200' of 2" MP Plastic main along Owen St, between S 9th St and Highland Ave; and approx. 320' of 2" Plastic main along Wea St, between Central Ave and Owen Street.  Replace approx. 28 services.</t>
  </si>
  <si>
    <t>N-X-17902</t>
  </si>
  <si>
    <t>IN-LAFAYETTE-Adams St DIMP Project ID 418 - 02.26.2021 - Vintage Plastic - Replace approx. 850' of 2" MP Plastic main along Adams St, between S 16th St and 14th Street.  Replace approx. 35 services.</t>
  </si>
  <si>
    <t>N-X-17912</t>
  </si>
  <si>
    <t>IN-LAFAYETTE-Erie St Ineffectively coated steel - Replace approx. 1,000' of 4" MP Steel main along Ferry St, between Erie St and Tinkler St; and approx. 450' of 4" MP Steel main along Carson St, between Tinkler and Asher Street.  Replace approx. 22 services.</t>
  </si>
  <si>
    <t>N-X-9960</t>
  </si>
  <si>
    <t>IN-MADISON-ALLEY BETWEEN 2ND ST/MAIN ST~~REPLACE 1,900' OF 3" INEFFECTIVELY COATED STL MAIN AND 53 SERVICES</t>
  </si>
  <si>
    <t>N-XA-12121</t>
  </si>
  <si>
    <t>MARSHALL</t>
  </si>
  <si>
    <t>IN-MARSHALL-MAIN STREET IN - MARSHALL - INEFFECTIVELY COATED STEEL - REPLACE APPROX. 500 FT OF EXISTING 2" STEEL MAIN AND REPLACE APPROX. 4 SERVICES.  ALSO REPLACE 2 EXISTING MAIN LINE VALVES</t>
  </si>
  <si>
    <t>N-X-13208</t>
  </si>
  <si>
    <t>IN-Plainfield-South St, Buchanan St Ineffectively Coated Steel - Legacy Map 46-312 - Replace approx. 9,000' of 2" MP Steel main along Center St, South St, Buchanan St, Carter St, Mill St, Vine St, and Lewis St; between Mill Street, East St, and Main St (US40 - Downtown Area) Replace approx. 120 services</t>
  </si>
  <si>
    <t>N-X-4708</t>
  </si>
  <si>
    <t>IN-RICHMOND~~REPLACE 9,100' OF INEFFECTIVELY COATED LP STL MAIN AND 75 SERVICES</t>
  </si>
  <si>
    <t>N-X-4709</t>
  </si>
  <si>
    <t>IN-RICHMOND~~REPLACE 9,500' OF INEFFECTIVELY COATED LP STL MAIN AND 70 SERVICES</t>
  </si>
  <si>
    <t>N-X-4807</t>
  </si>
  <si>
    <t>IN-RICHMOND~~REPLACE 4,950' OF INEFFECTIVELY COATED LP STL MAIN AND 80 SERVICES</t>
  </si>
  <si>
    <t>N-X-5010</t>
  </si>
  <si>
    <t>IN-RICHMOND~~REPLACE 10,400' OF INEFFECTIVELY COATED LP STL MAIN AND 75 SERVICES, RETIRE REG STA 1829 &amp; 1818</t>
  </si>
  <si>
    <t>N-X-5011</t>
  </si>
  <si>
    <t>IN-RICHMOND~~REPLACE 6,500' OF INEFFECTIVELY COATED LP STL MAIN AND 50 SERVICES</t>
  </si>
  <si>
    <t>N-X-12304</t>
  </si>
  <si>
    <t>Replace the Regulator Outlet Valve and Regulator at Reg. Station No. 4 - Kentucky Street - Attica Replace Obsolete Equipment - Replace Valve to Remedy a Leak</t>
  </si>
  <si>
    <t>N-X-11201</t>
  </si>
  <si>
    <t>Replace the Relief Blocking Valve at Reg. Station No. 60000292 - Fox Station - Frankfort Replace Obsolete Equipment - Replace Valve to Remedy a Leak</t>
  </si>
  <si>
    <t>N-X-3003</t>
  </si>
  <si>
    <t>IN-FRANKFORT-FRANKFORT LOOP~~1950 STL - 6" FRANKFORT LOOP - INEFFECTIVELY COATED STEEL - REPLACE APPROX. 7,700 FT OF EXISTING 6" STL MAIN.  REPLACE APPROX. 64 SERVICES.</t>
  </si>
  <si>
    <t>N--X-4002</t>
  </si>
  <si>
    <t>IN-GREENCASTLE-SR42/US231~~FIRST CUT REMOVAL-CLOVERDALE-SR42/US231~CLAY COUNTY - INEFFECTIVELY COATED STEEL - REPLACE APPROX. 5,300 FT OF 6" MP STEEL MAIN ALONG SR42 - BTWN CR 200E, HEADING EAST TO MCINTYRE CREEK.  REPLACE APPROX. 20 SERVICES.</t>
  </si>
  <si>
    <t>N-X-5003</t>
  </si>
  <si>
    <t>IN-GREENCASTLE-SR42/US231~~FIRST CUT REMOVAL- PUTNAM COUNTY - INEFFECTIVELY COATED STEEL - REPLACE APPROX. 5,500 FT OF 6" MP STEEL MAIN ALONG SR42.  REPLACE APPROX. 12 SERVICES.</t>
  </si>
  <si>
    <t>N-X-2004</t>
  </si>
  <si>
    <t>IN-TERRE HAUTE-SR42/US231~~FIRST CUT REMOVAL SR 42 - CLAY CO. - BTWN EAST FORK BIRCH CREEK AND CR200E.  REPLACE APPROX. 10,000' OF INEFFECTIVELY COATED 6" STEEL MP MAIN.  REPLACE APPROX. 12 SERVICES.</t>
  </si>
  <si>
    <t>N-X-12303</t>
  </si>
  <si>
    <t>IN-ATTICA-ERX Replace 2 Replace obsolete paper chart recorders with electronic pressure measurement (ERX) in Attica - Replace Obsolete Equipment</t>
  </si>
  <si>
    <t>N-X-11003</t>
  </si>
  <si>
    <t>IN-CLARKSVILLE-ERX Replace obsolete paper chart recorders with electronic pressure measurement (ERX) -</t>
  </si>
  <si>
    <t>N-X-11004</t>
  </si>
  <si>
    <t>N-X-10302</t>
  </si>
  <si>
    <t>IN-COLUMBUS-ERX Replace obsolete paper chart recorders with electronic pressure measurement (ERX) -</t>
  </si>
  <si>
    <t>N-X-10303</t>
  </si>
  <si>
    <t>N-X-2096</t>
  </si>
  <si>
    <t>IN-COLUMBUS- Pressure Monitoring / SCADA / RTU, replacing the existing chart</t>
  </si>
  <si>
    <t>N-X-13003</t>
  </si>
  <si>
    <t>IN-GREENFIELD-ERX Replace obsolete paper chart recorders with electronic pressure measurement (ERX) -</t>
  </si>
  <si>
    <t>N-X-2104</t>
  </si>
  <si>
    <t>IN-SEYMOUR- Pressure Monitoring / SCADA / RTU, replacing existing chart</t>
  </si>
  <si>
    <t>N-XA-11835</t>
  </si>
  <si>
    <t>N-XA-11844</t>
  </si>
  <si>
    <t xml:space="preserve">INSTALL 10 EMERGENCY INLET VALVES FOR VARIOUS REGULATOR STATIONS </t>
  </si>
  <si>
    <t>N-X-394</t>
  </si>
  <si>
    <t>IN-MARTINSVILLE-LIBERTY CHURCH RD~~REBUILD REG STA 40000074 DUE TO BEING IN A PIT</t>
  </si>
  <si>
    <t>N-XA-11834</t>
  </si>
  <si>
    <t>N-X-3907</t>
  </si>
  <si>
    <t>SHALLOW PIPE</t>
  </si>
  <si>
    <t>IN-GREENSBURG-CR E 650 S~~REPLACE 5,142' OF 2" SHALLOW STL MAIN AND 3 SERVICES EAST OF CR S 60 E</t>
  </si>
  <si>
    <t>N-XA-11783</t>
  </si>
  <si>
    <t>IN - Attica - Station 51000004 - Attica Station 51000004 Broken Outlet Valve</t>
  </si>
  <si>
    <t>N-X-4233</t>
  </si>
  <si>
    <t>ENCROACHMENTS</t>
  </si>
  <si>
    <t>IN-BLOOMINGTON-LAMPLIGHTER ESTATES MOBILE~~REPLACE 2,400' OF 2" MP STL MAIN AND 39 SERVICES DUE TO TRAILERS ENCROACHING ON MAIN</t>
  </si>
  <si>
    <t>N-X-409</t>
  </si>
  <si>
    <t>IN-SHOALS-SHOALS LINE EXPOSURE #28, 29, 30~~REPLACE 300' OF 6" EXPOSED STL MAIN IN CREEK</t>
  </si>
  <si>
    <t>N-X-4884</t>
  </si>
  <si>
    <t xml:space="preserve">IN-BLOOMINGTON-W BLOOMFIELD RD~~REMEDIATE 4" MP EXPOSED STL MAIN. INSTALL 500' OF 4" HDPE. NO SERVICES. </t>
  </si>
  <si>
    <t>N-X-3872</t>
  </si>
  <si>
    <t>IN-FRANKLIN-US31/MAUXFERRY RD~~REPLACE 500' OF 8" HP EXPOSED STL MAIN</t>
  </si>
  <si>
    <t>N-X-3873</t>
  </si>
  <si>
    <t>IN-FRANKLIN-US31/MAUXFERRY RD~~REPLACE 500' OF 8" HP EXPOSED STL MAIN</t>
  </si>
  <si>
    <t>N-X-436</t>
  </si>
  <si>
    <t xml:space="preserve">IN-MARTINSVILLE-BIG HURRICANE RD~~REPLACE 6" HP EXPOSED LINE. INSTALL 300' OF 6" STEEL. NO SERVICES. </t>
  </si>
  <si>
    <t>N-X-443</t>
  </si>
  <si>
    <t xml:space="preserve">IN-MARTINSVILLE-HINSON RD CREEK~~REPLACE 500' OF 10" HP LINE. INSTALL 500' OF 10' STEEL MAIN. NO SERVICES. </t>
  </si>
  <si>
    <t>N-X-469</t>
  </si>
  <si>
    <t xml:space="preserve">IN-MARTINSVILLE-OLD MOORE RD~~REPLACE 300' OF 6" EXPOSED STL MAIN. INSTALL 500' OF 6" STEEL MAIN. NO SERVICES. </t>
  </si>
  <si>
    <t>N-X-4906</t>
  </si>
  <si>
    <t xml:space="preserve">IN-MARTINSVILLE-LAMBS CREEK~~ Remediate exposed 8" MP steel main along bank of Lambs Creek south of Bain Rd. in Martinsville near 39.4510, -86.4933. INSTALL 500' OF 8" STEEL MAIN. NO SERVICES. </t>
  </si>
  <si>
    <t>N-X-1709</t>
  </si>
  <si>
    <t>IN-MITCHELL-SHOALS LINE EXPOSURE #16 AND # 17~~REPLACE 500' OF 6" STL MAIN</t>
  </si>
  <si>
    <t>N-X-3838</t>
  </si>
  <si>
    <t>IN-MITCHELL-MERIDIAN RD~~REMEDIATE 500' OF 8" HP EXPOSED STL MAIN IN CREEK</t>
  </si>
  <si>
    <t>N-X-3839</t>
  </si>
  <si>
    <t>IN-MITCHELL-MERIDIAN RD~~REPLACE 500' OF 8" HP EXPOSED STL MAIN</t>
  </si>
  <si>
    <t>N-X-4653</t>
  </si>
  <si>
    <t xml:space="preserve">IN-MITCHELL-OLD STATE HWY 37~~REMEDIATE 4" MP EXPOSED STL MAIN IN CREEK. REPLACE 500' OF 4" MP WITH 4" HDPE. NO SERVICES. </t>
  </si>
  <si>
    <t>N-X-1703</t>
  </si>
  <si>
    <t>IN-SHOALS-SHOALS LINE EXPOSURE #4~~REPLACE 500' OF 6" STL MAIN</t>
  </si>
  <si>
    <t>N-X-1704</t>
  </si>
  <si>
    <t>IN-SHOALS-SHOALS LINE EXPOSURE #5~~REPLACE 500' OF 6" STL MAIN</t>
  </si>
  <si>
    <t>N-X-1708</t>
  </si>
  <si>
    <t>IN-SHOALS-SHOALS LINE EXPOSURE # 14 AND # 15~~REPLACE 500' OF 6" STL MAIN</t>
  </si>
  <si>
    <t>N-X-5006</t>
  </si>
  <si>
    <t>ST. BERNICE</t>
  </si>
  <si>
    <t>IN - ST. BERNICE - EXPOSURE - REPLACE APPROX. 500' OF EXIST. 2" STEEL MAIN.</t>
  </si>
  <si>
    <t>N-X-5001</t>
  </si>
  <si>
    <t>IN-BROWNSBURG-GREEN ST/SYCAMORE ST~~REPLACE VINTAGE PLASTIC - REPLACE APPROX. 9,000 FT OF EXISTING 2" MAIN.  REPLACE APPROX. 100 SERVICES.</t>
  </si>
  <si>
    <t>N-X-2001</t>
  </si>
  <si>
    <t>DAYTON</t>
  </si>
  <si>
    <t>IN-DAYTON~~REPLACE VINTAGE PLASTIC Replacement of 1972 Vintage Plastic - Replace approx. 7,700' of existing 2" main.  Replace approx. 99 services.</t>
  </si>
  <si>
    <t>N-X-4891</t>
  </si>
  <si>
    <t>IN-ELLETTSVILLE-N DEER PARK~~ N-X-4891 - Replace Vintage Plastic.    Replace approx. 1,402' of 3" &amp; 981' of 2" pre-1974 Aldyl-A main with new 2" Plastic main and replace approx. 24 services along N Deer Park and adjacent cul-de-sacs in Ellettsville.</t>
  </si>
  <si>
    <t>N-X-14101</t>
  </si>
  <si>
    <t>GREENWOOD</t>
  </si>
  <si>
    <t>IN-Greenwood-Countryside Drive-Part 1 Part 1: Replace 4050' of main and 149 services.
DIMP Project 57
Project boundaries—Countryside Drive to the west, E Worthsville Road to the south, W Stop 18 Road to the north, and US HWY 31
to the east
0.33 miles of pre‐1974 plastic􀆟c
Recommend􀆟on to target vintage plastic􀆟c. Risk targeted is Pipe, Weld, Joint
Tier 2 facility􀆟es in this area are 3.41 miles of pre‐1984 plastic􀆟c and 1.02 miles of unknown install􀆟on date plastic􀆟c.
Map Grid 191‐178</t>
  </si>
  <si>
    <t>N-X-14102</t>
  </si>
  <si>
    <t>IN-Greenwood-Countryside Derive-Part 2 Part 2: Replace 6000' of main and 137 services.
DIMP Project 57
Project boundaries—Countryside Drive to the west, E Worthsville Road to the south, W Stop 18 Road to the north, and US HWY 31
to the east
0.33 miles of pre‐1974 plastic􀆟c
Recommend􀆟on to target vintage plastic􀆟c. Risk targeted is Pipe, Weld, Joint
Tier 2 facility􀆟es in this area are 3.41 miles of pre‐1984 plastic􀆟c and 1.02 miles of unknown install􀆟on date plastic􀆟c.
Map Grid 191‐178</t>
  </si>
  <si>
    <t>N-X-9998</t>
  </si>
  <si>
    <t xml:space="preserve">IN-JEFFERSONVILLE- S INDIANA AVE/W MARKET ST~~ Reported from Local Ops - Unlocatable Plastic Main - MP:  Replace approx. Southern Indiana Ave- Main and Services
W Market St Between Southern Indiana and Market St
Missouri Ave@ West Market. INSTALL 5000' OF 2" HDPE. REPLACE 100 SERVICES. </t>
  </si>
  <si>
    <t>N-X-2002</t>
  </si>
  <si>
    <t>IN-LAFAYETTE-PARADISE/FOXWOOD/CREST DR~~ IN-LAFAYETTE-PARADISE/FOXWOOD/CREST DR~~REPLACE VINTAGE PLASTIC - REPLACE APPROX. 5,000' OF EXIST. 2" MAIN.  REPLACE APPROX. 69 SERVICES.</t>
  </si>
  <si>
    <t>N-X-1547</t>
  </si>
  <si>
    <t>ALEXANDRIA</t>
  </si>
  <si>
    <t>11TH ST, HARRISON ST, PARK AVE, HANNAH ST, COOK ST, 9TH ST REPLACE 3,050' OF 4" MP STL PIPE. INSTALL 47 SERVICES</t>
  </si>
  <si>
    <t>N-X-1548</t>
  </si>
  <si>
    <t>SHELBY, MARION AVE, RANDOLPH AVE, 4TH ST, 8TH ST, 5TH ST, CLARK AVE REPLACE 5,150' OF 2" &amp; 4" MP STL PIPE. INSTALL 80 SERVICES</t>
  </si>
  <si>
    <t>N-XA-11745</t>
  </si>
  <si>
    <t>In-Alexanria-7th Street INSTALL 6800 OF 2" MAIN OF STEEL PIPE-7TH AND 9TH STREETS-90 SERVICES</t>
  </si>
  <si>
    <t>N-X-1641</t>
  </si>
  <si>
    <t>RD 300 EAST, SCHOOL ST REPLACE 4,500' OF 2" MP STL PIPE. INSTALL 69 SERVICES</t>
  </si>
  <si>
    <t>N-X-1722</t>
  </si>
  <si>
    <t>MINSI DR, UNAMI DR, MIAMI DR, SENECA DR REPLACE 3,450' OF 2" MP STL PIPE. INSTALL 52 SERVICES</t>
  </si>
  <si>
    <t>N-XA-11744</t>
  </si>
  <si>
    <t>In-Anderson-8th Street INSTALL 3200' OF 8" STEEL AND 2630' OF 2" STEEL ALONG 8TH STREET FROM CHESTNUT TO SCATTERFIELD-50 SERVICES</t>
  </si>
  <si>
    <t>N-XA-11746</t>
  </si>
  <si>
    <t>In-Anderson-3rd Street INSTALL 5930 OF 2" AND 4" STEEL PIPE-3RD, 4TH AND FOWLER STREETS-110 SERVICES</t>
  </si>
  <si>
    <t>N-XA-11747</t>
  </si>
  <si>
    <t>In-Anderson-Harrison Street REPLACE 5,500' OF 2" &amp; 4" MP STL PIPE. INSTALL 85 SERVICES</t>
  </si>
  <si>
    <t>N-XA-11754</t>
  </si>
  <si>
    <t>IN- ANDERSON-PARK ROAD, 18TH ST, MANGER LANE, ROSEWOOD DRIVE, WESLOW CT REPLACE 5,500' OF 2" &amp; 4" MP STL PIPE. INSTALL 85 SERVICES</t>
  </si>
  <si>
    <t>N-XA-11755</t>
  </si>
  <si>
    <t>SUNSET BLVD, CANADAY DR, LORAL DR, SUNNYSIDE DR, VALLEY GROVE RD REPLACE 7,150' OF 2" &amp; 4" MP STL PIPE. INSTALL 110 SERVICES</t>
  </si>
  <si>
    <t>N-XA-11756</t>
  </si>
  <si>
    <t>38TH ST, PITT ST, CLARK ST, ST CHARLES ST, LYNN ST, 46TH ST, SADDLE LANE REPLACE 3600' OF 2" MP STL PIPE. INSTALL 56 SERVICES</t>
  </si>
  <si>
    <t>N-X-12301</t>
  </si>
  <si>
    <t>IN-Attica-Sycamore-Brady Ineffectively Coated Steel - Legacy Map 130-131 - Replace approx. 5,500' of 2" MP Steel main along Sycamore, Brady, McDonald, and Division St ; between Perry, Pine, Division, and Sycamore;  just north of Sycamore St.  Replace approx. 90 services</t>
  </si>
  <si>
    <t>N-X-10001</t>
  </si>
  <si>
    <t>IN-BEDFORD-OLD SR37/DIXIE HIGHWAY~~REPLACE 4,000' OF 4" INEFFECTIVELY COATED STL MAIN AND 21 SERVICES</t>
  </si>
  <si>
    <t>N-X-10002</t>
  </si>
  <si>
    <t>IN-BEDFORD-ALLEY BETWEEN 4TH ST &amp; 8TH ST~~REPLACE 1,100' OF 4" AND 800' OF 6" INEFFECTIVELY COATED STL MAIN AND 9 SERVICES</t>
  </si>
  <si>
    <t>N-X-10003</t>
  </si>
  <si>
    <t>IN-BEDFORD-WHITE RIVER CROSSING~~REPLACE 5,000' OF 4" INEFFECTIVELY COATED STL MAIN AND 7 SERVICES</t>
  </si>
  <si>
    <t>N-X-14703</t>
  </si>
  <si>
    <t>IN-BEDFORD-EASTVIEW DR/22ND ST~~ IN-BEDFORD-EASTVIEW DR/22ND ST~~REPLACE 1, 950' 8" HP INEFFECTIVELY COATED STL MAIN</t>
  </si>
  <si>
    <t>N-X-15303</t>
  </si>
  <si>
    <t>IN-Bloomington- Allendale Drive  Ineffective Coated Steel - Replace approx. 1,600' of 2" Steel and 2,700' of 4" Steel main located along Allendale Drive between Winslow Road and Bainbridge Drive (Map 29-246); also includes replacing approx. 78 services.</t>
  </si>
  <si>
    <t>N-X-15305</t>
  </si>
  <si>
    <t>IN-Bloomington-Sunny Slopes Drive Ineffective Coated Steel - Replace approx. 6,400' of 2" Steel and 700' of 4" Steel main located along Sunny Slopes Drive and Ridgeview Drive between S Walnut Street and S Walnut St Pike, also includes the area along S Walnut St Pike between Sherwood Hills Drive and Allendale Drive (Map 29-245); also includes replacing approx. 106 services.</t>
  </si>
  <si>
    <t>N-X-15306</t>
  </si>
  <si>
    <t>IN-Bloomington-South Old State Road 37 Ineffective Coated Steel - Replace approx. 6,000' of 6" Steel main located along South Old State Road 37, between Dellsville Road and Zikes Road; to the south of the Bloomington City Limits (Maps 29-312, 29-329, 29-346); also includes replacing approx. 64 services.</t>
  </si>
  <si>
    <t>N-X-15307</t>
  </si>
  <si>
    <t>IN-Bloomington-Westminster Drive Unlocatable Vintage Plastic - Replace approx. 6,700' of 2" plastic main located along Westminster Drive, Buckingham Drive, and Piccadilly Drive between Winslow Road and Allendale Drive (Map 29-245); also includes replacing approx. 170 services.</t>
  </si>
  <si>
    <t>N-X-16790</t>
  </si>
  <si>
    <t>IN-BLOOMINGTON-GOURLEY PIKE/KINSER PIKE~~REPLACE 5,000' OF 4" INEFFECTIVELY COATED STL MAIN AND 37 SERVICES</t>
  </si>
  <si>
    <t>N-X-16791</t>
  </si>
  <si>
    <t>IN-BLOOMINGTONARLINGTON RD~~REPLACE 1,700' OF 6" AND 1,800' OF 2" INEFFECTIVELY COATED STL MAIN AND 40 SERVICES</t>
  </si>
  <si>
    <t>N-X-17000</t>
  </si>
  <si>
    <t>IN-BLOOMINGTON-MADISON ST/BRYAN ST~~REPLACE 4,450' OF 2" INEFFECTIVELY COATED STL MAIN AND 70 SERVICES</t>
  </si>
  <si>
    <t>N-X-17010</t>
  </si>
  <si>
    <t>IN-BLOOMINGTON-MILTON AVE~~REPLACE 6,000' OF 4" INEFFECTIVELY COATED STL MAIN AND 80 SERVICES</t>
  </si>
  <si>
    <t>N-X-17011</t>
  </si>
  <si>
    <t>IN-BLOOMINGTON-BROWN AVE/BROADVIEW DR~~REPLACE 4,800' OF 2" INEFFECTIVELY COATED STL MAIN AND 80 SERVICES</t>
  </si>
  <si>
    <t>N-X-268</t>
  </si>
  <si>
    <t>IN-BLOOMINGTON-MUSGRAVE'S HORSE RANCH~~REPLACE 500' OF 10" STL MAIN NORTH OF MUSGRAVE'S HORSE RANCH</t>
  </si>
  <si>
    <t>N-X-13202</t>
  </si>
  <si>
    <t>IN-BROWNSBURG-E Tilden St DIMP Project ID 416 - 02.26.2021 - Ineffectively Coated Steel - Replace approx. 1,200' of 4" MP Steel main along E Tilden between S Jefferson St and Grant St; and approx. 1,100' of 4" MP Steel main along S School St between Tilden and Hamilton St; and approx. 900' of 2" MP Steel main along Gordon Court from Tilden St to Terminus; and approx. 500' of 2" MP Steel main along Maplebrook between School and Grant St; and approx. 600' pf 2" MP Steel main along Jackson St between Maplebrook and Jackson Court.  Total service replace approx. 80 services.</t>
  </si>
  <si>
    <t>N-X-13204</t>
  </si>
  <si>
    <t>IN-Brownsburg-Locust Ineffectively Coated Steel - Legacy Map 46-132 - Replace approx. 8,000' of 2" MP Steel main along Locust, between Tilden and Dover; Eaton, Hamben, Weston (Alpha South), Dover, Thornleigh, Briarwood, Foxwood, Brownsburg Dr., Beechwood, Dogwood.  Replace approx. 120 services.</t>
  </si>
  <si>
    <t>N-X-9958</t>
  </si>
  <si>
    <t>IN-CLARKSVILLE-TAGGART AVE/ANDALUSIA AVE IN-CLARKSVILLE-TAGGART AVE/ANDALUSIA AVE~~REPLACE 1,150' OF 2", 1,200' OF 4" AND 300' OF 6" INEFFECTIVELY COATED STL MAIN AND 73 SERVICES</t>
  </si>
  <si>
    <t>N-X-16230</t>
  </si>
  <si>
    <t>CLIFFORD</t>
  </si>
  <si>
    <t>IN-CLIFFORD~~550 N, POPLAR ST, WASHINGTON ST, MILL ST, SUGAR ST, AND 250 E.REPLACE 7,450' INEFFECTIVELY COATED STL MAIN AND 115 SERVICES</t>
  </si>
  <si>
    <t>N-X-53510</t>
  </si>
  <si>
    <t xml:space="preserve">COLUMBUS </t>
  </si>
  <si>
    <t>IN-COLUMBUS- Replace 4350' and  services and 87 services. Ineffective coated steel: (Leaks) Replace 4350' and  services and 87 services.</t>
  </si>
  <si>
    <t>N-X-1834</t>
  </si>
  <si>
    <t>EDINBURGH</t>
  </si>
  <si>
    <t>IN-EDINBURGH-COUNTY LINE RD &amp; THOMPSON ST REPLACE VARIOUS SIZE PIPELINE WITH APPROX 5,600' OF 2" PL MAIN AND APPROX 73 SERVICES DUE TO POOR CATHODIC PROTECTION AND LEAK HISTORY.  LOCATION IS BETWEEN COUNTY LINE RD &amp; THOMPSON ST AND WALNUT ST &amp; EISENHOWER DR</t>
  </si>
  <si>
    <t>N-X-1543</t>
  </si>
  <si>
    <t>NORTH E,18TH ST, ALLEY WEST OF, NORTH D ST, ALLEY NORT, 26TH ST REPLACE 5,950' OF 2" MP STL PIPE. INSTALL 93 SERVICES</t>
  </si>
  <si>
    <t>N-X-1544</t>
  </si>
  <si>
    <t>JACKLEY RD, EAST DRIVE, ROAD 1200 NORTH REPLACE 1,900' OF 2" MP STL PIPE. INSTALL 29 SERVICES</t>
  </si>
  <si>
    <t>N-X-1745</t>
  </si>
  <si>
    <t>CARTER ADD EASEMENTS SOUTH OF, ROAD 900 WEST, ROAD 1300 NORTH REPLACE 2,950' OF 2" &amp; 4" MP STL PIPE. INSTALL 61 SERVICES</t>
  </si>
  <si>
    <t xml:space="preserve">N-X-1746 </t>
  </si>
  <si>
    <t>16TH ST, ALLEY WEST OF, NORTH K ST, 18TH ST, NORTH J ST, 19TH ST, PARKVIEW REPLACE 3,480' OF 4" MP STL PIPE. INSTALL 54 SERVICES</t>
  </si>
  <si>
    <t>N-X-16703</t>
  </si>
  <si>
    <t>IN-GREENCASTLE- Highwood St Ineffectively coated steel - DIMP Project ID 49 Area -  Replace approx. 900' of existing 2" MP Steel main located along Highwood St, between Arlington and Highridge Ave; and approx. 800' of existing 4" MP Steel main located along Terrace Dr, between Arlington and Redbud St; and approx. 800' of 4" MP Steel main along Redbud, between Terrace and Shadowlawn; and approx. 750' of 2" MP Steel main along Dogwood, between Redbud  and Shadowlawn Street.  Replace approx. 62 services.</t>
  </si>
  <si>
    <t>N-X-16270</t>
  </si>
  <si>
    <t xml:space="preserve">IN-HOPE~~ALLEY NORTH OF WASHINGTON ST, WASHINGTON ST, MILL ST, LOCUST ST, SEMINARY ST, ALLEY WEST OF BROAD ST, ALLEY WEST OF MAPLE ST, AND ALLEY WEST OF WALNUT STREPLACE 6,800' OF INEFFECTIVELY COATED STL MAIN AND 105 SERVICES </t>
  </si>
  <si>
    <t>N-X-16280</t>
  </si>
  <si>
    <t>IN-HOPE~~ALLEY WEST OF MAIN ST, ALLEY WEST OF HARRISON ST, ALLEY WEST OF VINE ST, JACKSON ST, VINE DR, AND WASHINGTON ST. REPLACE 6,650' OF INEFFECTIVELY COATED STL MAIN AND 102 SERVICES</t>
  </si>
  <si>
    <t>N-X-1732</t>
  </si>
  <si>
    <t>GARDENDALE, ALLEY EAST OF CHARLES S, COLUMBIA,  BRIANT,   GARFIELD  REPLACE 8,780' OF 4" &amp; 6" &amp; 8" MP STL PIPE. INSTALL 136 SERVICES</t>
  </si>
  <si>
    <t>N-X-17903</t>
  </si>
  <si>
    <t>IN-LAFAYETTE-Virginia St DIMP Project ID 418 Area - 02.26.2021 - Vintage Plastic - Replace approx. 900' of 2" MP Plastic main along Virginia St, between S 16th St and 14th Street.  Replace approx. 28 services.</t>
  </si>
  <si>
    <t>N-X-17911</t>
  </si>
  <si>
    <t>IN-LAFAYETTE-Ferry St Vintage Plastic - Replace approx. 1,400' of 2" MP Plastic main along Ferry St, between 19th St and Tinkler St; and approx. 500' of 2" Plastic main along 19th St, between Ferry and South Street.  Replace approx. 42 services.</t>
  </si>
  <si>
    <t>N-X-17913</t>
  </si>
  <si>
    <t>IN-LAFAYETTE-Kossuth to the south DIMP Project ID 419 Area - 02.26.2021 - Vintage Plastic - Replace approx. 5,100' of 2" MP Plastic main between Kossuth to the south, S 18th St to the east, Heath to the north, Wabash to the west.  Western Replacement Area.  Replace approx. 100 services.</t>
  </si>
  <si>
    <t>N-X-9860</t>
  </si>
  <si>
    <t xml:space="preserve">IN-MADISON-PRESBYTERIAN AVE~ Madison Heat Map Area 3 - Ineffectively Coated Steel - MP"  Replace approx. 4,800' of 2" Steel main and 57 services along Presbyterian Ave, W 3rd St, and Crossing Main St between W 3rd St and W 2nd Street. </t>
  </si>
  <si>
    <t>N-X-10000</t>
  </si>
  <si>
    <t>IN-MITCHELL-CITY OF MITCHELL WASTE WATER TREATMENT PLANT~~REPLACE 200' OF 8" INEFFECTIVELY COATED HP STL MAIN AND EXISTING INLINE TEE FITTING</t>
  </si>
  <si>
    <t>N-X-10004</t>
  </si>
  <si>
    <t>IN-MITCHELL-OLD SR37/DIXIE HIGHWAY~~6,400' OF 4" INEFFECTIVELY COATED STL MAIN AND 21 SERVICES</t>
  </si>
  <si>
    <t>ISOLATED SERVICES - replaced isolated services</t>
  </si>
  <si>
    <t>N-X-1418X</t>
  </si>
  <si>
    <t>NEELEY AVE, WHEELING AVE , NEW YORK AVE, RIVERSIDE DR REPLACE 8,450' OF 2" &amp; 6" MP STL PIPE. INSTALL 127 SERVICES</t>
  </si>
  <si>
    <t>N-XA-11850</t>
  </si>
  <si>
    <t>IN-Muncie-Main Street 9400' MAIN 70 SERVICES</t>
  </si>
  <si>
    <t>N-XA-11852</t>
  </si>
  <si>
    <t>IN-Muncie-SR 167 8700' MAIN 0 SERVICES</t>
  </si>
  <si>
    <t>N-XA-11848</t>
  </si>
  <si>
    <t>IN-Noblesville-ROXBURY LANE 6235' MAIN 90 SERVICES</t>
  </si>
  <si>
    <t>N-XA-11849</t>
  </si>
  <si>
    <t>IN-Noblesville-PERSIMON PL 5615' MAIN 80 SERVICES</t>
  </si>
  <si>
    <t>N-X-13207</t>
  </si>
  <si>
    <t>IN-Plainfield-Center St Ineffectively Coated Steel - Legacy Map 46-292 - Replace approx. 7,700' of 2" MP Steel main along Center St, Lincoln St, North St, Avon St, Vine St, and Krewson St; between Mill Street, CR300S, and Main St (US40), just west of SR267 (Avon Ave.) Replace approx. 90 services.</t>
  </si>
  <si>
    <t>N-X-16310</t>
  </si>
  <si>
    <t>TAYLORSVILLE</t>
  </si>
  <si>
    <t>IN-TAYLORSVILLE~~CHARLES LN, DACIA ST, WALNUT ST, RESERVOIR ST, AND EVELYN ST. -REPLACE 5,000' OF INEFFECTIVELY COATED STL MAIN AND 52 SERVICES</t>
  </si>
  <si>
    <t>N-X-16311</t>
  </si>
  <si>
    <t>IN-TAYLORSVILLE~~WALNUT ST, RESEVOIR ST, FRANKLIN ST, AND GRACE ST.-REPLACE 5,000' OF INEFFECTIVELY COATED STL MAIN AND 52 SERVICES</t>
  </si>
  <si>
    <t>N-X-16320</t>
  </si>
  <si>
    <t>IN-TAYLORSVILLE~~TANNEHILL RD, MAIN ST, EAST ST, WALNUT ST, PEARL ST, AND MULBERRY ST. -REPLACE 8,050' OF INEFFECTIVELY COATED STL MAIN AND 123 SERVICES</t>
  </si>
  <si>
    <t>N-X-16701</t>
  </si>
  <si>
    <t>IN-TERRE HAUTE-Cloverdale Replace Existing HP Distribution Mains Due To Existing Conditions Being Shallow.  Replace approx. 3,200' of existing 6" HP Steel Distribution Main and approx. 3,200' of existing 4" HP Steel Distribution Main, near Cloverdale to the East of US231 and to the South of US40 from approx. Upper Limestone Creek - heading South</t>
  </si>
  <si>
    <t>N-X-18401</t>
  </si>
  <si>
    <t>IN-TERRE HAUTE-1st Street 10" MP Steel Main - Replace existing main and services located along Hulman Street between. 1st Street and 6th Street - Ineffectively Coated Steel - Replace approx. 2,000 FT of Existing 10" STL main and replace approx. 10 services.</t>
  </si>
  <si>
    <t>N-X-18402</t>
  </si>
  <si>
    <t>IN-TERRE HAUTE-Lockport Rd NW Future TH MOD Project 2 - Replace 12" HP Steel Main Pipe Section and Valve Located Near INRR Xing at Lockport Rd - Ineffectively Coated Steel - Replace approx. 1,400 FT of Existing 12" HP STL main.</t>
  </si>
  <si>
    <t>N-X-18405</t>
  </si>
  <si>
    <t>IN-TERRE HAUTE-1st St and Arleth Ineffectively coated steel - DIMP Project ID 46 Area -  Map 34-195 - Replace approx. 200' of existing 4" MP Steel main located along Vorhees St, between 1st Street and Arleth; and approx. 1,250' of existing 2" MP Steel main located along Alley between 1st St and Arleth, between Voorhees and Demorest St; and approx. 1,200' of 2" MP Steel main along Alley between Arleth and Dillman, between Voorhees and Demorest; and approx. 450' of 2" Steel in Alley between Dillman and Prairietown, between Demorest and Boring; and approx. 850' of 2" MP Steel main along Demorest St, between 1st St and Prairietown Street.  Replace approx. 44 services.</t>
  </si>
  <si>
    <t>N-X-18406</t>
  </si>
  <si>
    <t>IN-TERRE HAUTE-Farrington St Ineffectively coated steel - DIMP Project ID 48 Area -  Replace approx. 700' of existing 4" MP Steel main located along Farrington St, between 5th Street and 3rd Street; and approx. 2,300' of existing 2" MP Steel main located along the Alley between 3rd St and 5th St, between College and Walnut Street.  Replace approx. 40 services.</t>
  </si>
  <si>
    <t>N-X-1747</t>
  </si>
  <si>
    <t>TIPTON</t>
  </si>
  <si>
    <t>ADAMS ST, ALLEY NORTH OF, S EAST ST, ALLEY WEST OF REPLACE 760' OF 6" MP STL PIPE. INSTALL 12 SERVICES</t>
  </si>
  <si>
    <t>N-X-5002</t>
  </si>
  <si>
    <t>VEEDERSBURG</t>
  </si>
  <si>
    <t>IN-VEEDERSBURG~~STEEL-UNKNOWN THIN WALLED HP DISTRIBUTION - INEFFECTIVELY COATED STEEL - REPLACE APPROX. 6,000 FT OF EXIST. 4" HP STEEL MAIN.</t>
  </si>
  <si>
    <t>N-X-17910</t>
  </si>
  <si>
    <t>WEST POINT</t>
  </si>
  <si>
    <t xml:space="preserve">IN-WEST POINT-S CR600W Ineffectively coated steel - Replace approx. 5,300' of 10" HP Steel main located along W CR500 S, S CR600W and S CR500W.  This project will also eliminate approx. 6 existing blow down valves.  </t>
  </si>
  <si>
    <t>N-X-17921</t>
  </si>
  <si>
    <t>Replace the Valves Nos. 59002167 and 59002171 at Reg. Station No. 59000870 - West TBS - Lafayette Replace Obsolete Equipment - Replace Valves to Remedy Leaks</t>
  </si>
  <si>
    <t>N-X-11001</t>
  </si>
  <si>
    <t>IN-CLARKSVILLE-ERX Replace obsolete paper chart recorders with electronic pressure measurement (ERX) Michigan Rd, Tube Mill</t>
  </si>
  <si>
    <t>N-X-11002</t>
  </si>
  <si>
    <t>IN-CLARKSVILLE-ERX Replace obsolete paper chart recorders with electronic pressure measurement (ERX) 3rd St Parking Riser</t>
  </si>
  <si>
    <t>N-X-10301</t>
  </si>
  <si>
    <t>IN-COLUMBUS-ERX Replace obsolete paper chart recorders with electronic pressure measurement (ERX) Greensburg Michigan Ave.</t>
  </si>
  <si>
    <t>N-X-13001</t>
  </si>
  <si>
    <t>IN-GREENFIELD-ERX Replace obsolete paper chart recorders with electronic pressure measurement (ERX) C.R. 250 W. #48-1180</t>
  </si>
  <si>
    <t>N-X-13002</t>
  </si>
  <si>
    <t>IN-GREENFIELD-ERX Replace obsolete paper chart recorders with electronic pressure measurement (ERX) Ingalls Sewer Plant</t>
  </si>
  <si>
    <t>N-X-18409</t>
  </si>
  <si>
    <t>IN-TERRE HAUTE-ERX Replace 2 Replace obsolete paper chart recorders with electronic pressure measurement (ERX) in Terre Haute</t>
  </si>
  <si>
    <t>N-X-3949</t>
  </si>
  <si>
    <t>IN-ANDERSON-MOUNDS MALL~ REBUILD CORRODING REG STA 1395</t>
  </si>
  <si>
    <t>N-XA-11839</t>
  </si>
  <si>
    <t>N-XA-11840</t>
  </si>
  <si>
    <t xml:space="preserve">INSTALL 10 EMERGENCY INLET VALVES FOR VARIOUS REGULATOR STATIONS  </t>
  </si>
  <si>
    <t>N-X-402</t>
  </si>
  <si>
    <t>IN-MARTINSVILLE-SR37/EGBERT RD~~REBUILD REG STA 40000020 DUE TO BEING IN A PIT</t>
  </si>
  <si>
    <t>N-XA-11838</t>
  </si>
  <si>
    <t>N-X-1693XT</t>
  </si>
  <si>
    <t>IN-ANDERSON-SCATTERFIELD REPLACE 4,300' OF 10" HP STL PIPE. INSTALL 9 SERVICES</t>
  </si>
  <si>
    <t>N-X-5013</t>
  </si>
  <si>
    <t>IN-ANDERSON-SCATTERFIELD~ REPLACE 1500' OF 10" HP STL PIPE. INSTALL 0 SERVICES</t>
  </si>
  <si>
    <t>N-X-5014</t>
  </si>
  <si>
    <t>IN-ANDERSON-SCATTERFIELD~~ 5TH TO 1ST ST REPLACE 1000' OF 10" HP STL PIPE. INSTALL 0 SERVICES</t>
  </si>
  <si>
    <t>N-X-5015</t>
  </si>
  <si>
    <t>IN-ANDERSON-SCATTERFIELD~~ FROM 5TH TO 10TH ST REPLACE 1000' OF 10" HP STL PIPE. INSTALL 0 SERVICES</t>
  </si>
  <si>
    <t>N-X-5017</t>
  </si>
  <si>
    <t>IN-ANDERSON-SCATTERFIELD~~ MOUNDS TO 18TH ST REPLACE 3000' OF 10" HP STL PIPE. INSTALL 0 SERVICES</t>
  </si>
  <si>
    <t>N-XA-12124</t>
  </si>
  <si>
    <t>IN-BEDFORD-RR CASING  Short under abandon railroad. Retire Casing and install new 500' of 2" HDPE. NO SERVICES</t>
  </si>
  <si>
    <t>N-X-17925</t>
  </si>
  <si>
    <t>IN-Lafayette-US231, north of W CR625S DIMP Project ID 474 Area - 03.30.2021 - Exposure - Tippecanoe County - Remediate 8" MP Steel Main Exposure located along US231, north of W CR625S.  Max. Exposure No. L2147938.</t>
  </si>
  <si>
    <t>N-X-17926</t>
  </si>
  <si>
    <t>IN-Lafayette-Near intersection of W CR625S.  DIMP Project ID 475 Area - 03.30.2021 - Exposure - Tippecanoe County - Remediate 6" MP Steel Main Exposure located along US231, near intersection of W CR625S.  Max. Exposure No. L2147960.</t>
  </si>
  <si>
    <t>N-X-17927</t>
  </si>
  <si>
    <t>IN-Lafayette-US231, north of W CR800S DIMP Project ID 476 Area - 03.30.2021 - Exposure - Tippecanoe County - Remediate 8" MP Steel Main Exposure located along US231, north of W CR800S.  Max. Exposure No. L2148049.</t>
  </si>
  <si>
    <t>N-X-18410</t>
  </si>
  <si>
    <t>Exposures</t>
  </si>
  <si>
    <t xml:space="preserve">IN-Terre Haute-US40 &amp;SR46 6" MP steel main- Creek exposure near intersection of US40 &amp; SR46, east of intersection - Exposure - Replace approx. 500 FT of existing 6" Steel Main. </t>
  </si>
  <si>
    <t>N-X-14103</t>
  </si>
  <si>
    <t>IN-Greenwood-Countryside Derive-Part 3 Part 3: Replace 4045' of main and 107 services.
DIMP Project 57
Project boundaries—Countryside Drive to the west, E Worthsville Road to the south, W Stop 18 Road to the north, and US HWY 31
to the east
0.33 miles of pre‐1974 plastic􀆟c
Recommend􀆟on to target vintage plastic􀆟c. Risk targeted is Pipe, Weld, Joint
Tier 2 facility􀆟es in this area are 3.41 miles of pre‐1984 plastic􀆟c and 1.02 miles of unknown install􀆟on date plastic􀆟c.
Map Grid 191‐178</t>
  </si>
  <si>
    <t>N-X-17922</t>
  </si>
  <si>
    <t>IN-Lafayette-Owen St to the south DIMP Project ID 457 Area - 03.30.2021 - Vintage Plastic - Replace approx. 5,500' of 2" MP Plastic main between Owen St to the south, S 16th St to the east, N 2nd St to the west, Heath St to the north.  Replace approx. 110 services.</t>
  </si>
  <si>
    <t>N-X-17923</t>
  </si>
  <si>
    <t>IN-Lafayette-Kings Way Subdivision DIMP Project ID 458 Area - 03.30.2021 - Vintage Plastic - Maps 59-245 &amp; 59-265 Replace approx. 6,000' of 2" MP Plastic main at Kings Way Subdivision off of SR38E and at Pheasant Run Subdivision off of East Brady Lane.  Replace approx. 140 services.</t>
  </si>
  <si>
    <t>N-X-17924</t>
  </si>
  <si>
    <t>IN-Lafayette-S 30th Street DIMP Project ID 462 Area - 03.30.2021 - Vintage Plastic - Maps 59-223 &amp; 59-202 Replace approx. 5,000' of 2" MP Plastic main along S 30th Street, between. Kossuth and Ferry St.  Replace approx. 100 services.</t>
  </si>
  <si>
    <t>N-X-18302</t>
  </si>
  <si>
    <t>UNIVERSAL</t>
  </si>
  <si>
    <t>IN-Universal- DIMP Project ID 464 Area - 03.30.2021 - Vintage Plastic - Vermillion County  Replace approx. 3,500' of 2" MP Plastic main along CR110E between CR1680S and Creek Crossing at Universal Ave to the South.  Replace approx. 50 services.</t>
  </si>
  <si>
    <t>N-X-12302</t>
  </si>
  <si>
    <t>IN-Attica-Union-Pike Ineffectively Coated Steel - Legacy Map 130-130 - Replace approx. 5,800' of 2" MP Steel main along Union, Pike, Pine, Lithia, Perry, Bond, New, and Council St ; between Union, Pike, Pine, and Council St;  just north of Pine St.  Replace approx. 100 services</t>
  </si>
  <si>
    <t>N-X-4001</t>
  </si>
  <si>
    <t>IN-ATTICA-US231 TO ATTICA~~ IN-ATTICA-US231 TO ATTICA~~1938 HP DISTRIBUTION STL - INEFFECTIVELY COATED STEEL - REPLACE APPROX. 8,000 FT OF EXISTING 6" HP STEEL MAIN.</t>
  </si>
  <si>
    <t>N-X-13205</t>
  </si>
  <si>
    <t>AVON</t>
  </si>
  <si>
    <t>IN-Avon-CR100S Ineffectively Coated Steel - Legacy Map 46-232 - Replace approx. 4,800' of 4" MP Steel main along CR100S, between N Center St and SR267 / Avon Road and along N Center St / CR625E, between CR100S and Barberry Dr.  Replace approx. 60 services.</t>
  </si>
  <si>
    <t>N-X-15304</t>
  </si>
  <si>
    <t>IN-Bloomington-Allendale Drive between Wellington Drive and Bainbridge Drive, Ineffective Coated Steel - Replace approx. 8,000' of 2" Steel and 1,350' of 4" Steel main located along Allendale Drive between Wellington Drive and Bainbridge Drive, also includes the area along Elliston Drive (Map 29-245); also includes replacing approx. 147 services.</t>
  </si>
  <si>
    <t>N-X-1716</t>
  </si>
  <si>
    <t>IN-Bloomington-KINGSLEY ST. KINGSLEY ST. REPLACE 8,470' OF MAIN WITH 130 SERVICES</t>
  </si>
  <si>
    <t>N-X-13203</t>
  </si>
  <si>
    <t>IN-Brownsburg-Green Street Vintage Plastic - Legacy Map 46-133 - Green Street, between CR425 and Hyde Park and Sycamore St; between Green and York - Replace approx. 3,500' of 6" MP Plastic main .  Replace approx. 36 services.</t>
  </si>
  <si>
    <t>N-X-11102</t>
  </si>
  <si>
    <t>CENTER POINT</t>
  </si>
  <si>
    <t>CLAY COUNTY - SR 42 DIMP Project ID 461 Area - 03.30.2021 - Ineffectively Coated Steel - Clay County - Replace approx. 9,000' of 6" MP Steel Main along SR42 between CR200E (near Reg. Sta. #3500007B) and CR350E (near McIntyre Creek).  Replace approx. 30 services.</t>
  </si>
  <si>
    <t>N-XA-11753</t>
  </si>
  <si>
    <t xml:space="preserve">MAIN CROSS ST, CONNER ST, WAYNE ST, SOUTH ST Install 3788' of 2" HDPE and 44 services.
Main Cross St, Conner St, Wayne St, South St. </t>
  </si>
  <si>
    <t>N-XA-12123</t>
  </si>
  <si>
    <t xml:space="preserve">Ineffectively Coated Steel. Install 6500' of 2" HDPE and 122 services. Fairview Dr, Hollowell St, Clifty Dr, and Glendale Dr. </t>
  </si>
  <si>
    <t>N-X-17917</t>
  </si>
  <si>
    <t>IN-Dayton-South St  Vintage Plastic - Dayton IN - Replace approx. 5,500' of 2" MP Plastic main between South St to the south, Conjunction St to the east, Jefferson St to the north, Harrison to the west.  Western Replacement Area.  Replace approx. 110 services.</t>
  </si>
  <si>
    <t>N-X-16704</t>
  </si>
  <si>
    <t>IN-GREENCASTLE- Melrose Dr Vintage Plastic - DIMP Project ID 49 Area -  Replace approx. 1,200' of existing 2" MP Plastic main located along Melrose Dr, between Shadowlawn and Cassada Dr; and approx. 500' of existing 2" MP Plastic main located along Cassada Dr, between Melrose and Terminus.  Replace approx. 28 services.</t>
  </si>
  <si>
    <t>N-X-10006</t>
  </si>
  <si>
    <t>IN-Jeffersonville- Colonial Park Drive between 8th Street and Jonquil Drive.  Ineffectively Coated Steel:  Replace approx. 3,700' of 4" Steel main and approx. 86 services along Colonial Park Drive between 8th Street and Jonquil Drive.  This proposed project will also provide an added system loop feed at Jonquil Drive.</t>
  </si>
  <si>
    <t>N-X-17904</t>
  </si>
  <si>
    <t>IN-LAFAYETTE-Franklin St DIMP Project ID 418 Area - 02.26.2021 - Vintage Plastic - Replace approx. 1,300' of 2" MP Plastic main along Franklin St, between S 18th St and 14th Street.  Replace approx. 48 services.</t>
  </si>
  <si>
    <t>N-X-17914</t>
  </si>
  <si>
    <t>IN-LAFAYETTE-S 18th St to the east DIMP Project ID 419 Area - 02.26.2021 - Vintage Plastic - Replace approx. 5,400' of 2" MP Plastic main between Kossuth to the south, S 18th St to the east, Heath to the north, Wabash to the west.  Eastern Replacement Area.  Replace approx. 120 services.</t>
  </si>
  <si>
    <t>N-X-17915</t>
  </si>
  <si>
    <t>IN-LAFAYETTE- Greenbush St Ineffectively coated steel - Replace approx. 4,200' of 4" MP Steel main along Greenbush St, between Erie St and Sagamore Pkwy.  Replace approx. 56 services.</t>
  </si>
  <si>
    <t>N-X-17916</t>
  </si>
  <si>
    <t>IN-LAFAYETTE- Chestnut St Ineffectively coated steel - Replace approx. 1,000' of 10" MP Steel main along Chestnut St, between Wabash St and 1st St.  Replace approx. 6 services.</t>
  </si>
  <si>
    <t>N-X-17918</t>
  </si>
  <si>
    <t>IN-Lafayette-Pemberly Road  Ineffectively Coated Steel - Legacy Map 59-154 - Replace approx. 3,000' of 2" MP Steel main along Pemberly Road and West Point 2 Road; between Klondike heading west to Terminus.  Replace approx. 78 services.</t>
  </si>
  <si>
    <t>N-X-17919</t>
  </si>
  <si>
    <t>IN-Lafayette-West Point 2 Road Vintage Plastic - Legacy Map 59-154 - Replace approx. 3,300' of 2" MP Plastic main along West Point 2 Road South and North; between Klondike heading west to Terminus.  Replace approx. 72 services.</t>
  </si>
  <si>
    <t>N-X-17920</t>
  </si>
  <si>
    <t>IN-Lafayette-Friendly Village Trailer Park  Vintage Plastic - Legacy Map - Friendly Village Trailer Park - Bourdeaux Blvd, Devaraux Dr., Napolean, Rene - Replace approx. 6,000' of 2" MP Plastic main .  Replace approx. 172 services.</t>
  </si>
  <si>
    <t>N-X-10601</t>
  </si>
  <si>
    <t>IN-LEBANON-Westmoor St Ineffectively coated steel - DIMP Project ID 254 - Legacy Mod Project ID 4831.  Replace approx. 1,500' of existing 6" HP Steel main located along N Lebanon Street, near 2302; between. Westmoor St and West Maple Street</t>
  </si>
  <si>
    <t>N-XA-11854</t>
  </si>
  <si>
    <t>IN-Muncie-ROMY STREET 10800' MAIN 10 SERVICES</t>
  </si>
  <si>
    <t>N-XA-11855</t>
  </si>
  <si>
    <t>IN-Muncie-SR 3 10400' MAIN 20 SERVICES</t>
  </si>
  <si>
    <t>N-XA-11856</t>
  </si>
  <si>
    <t>IN-Muncie-SR 3-CR 700 NORTH 10400' MAIN 10 SERVICES</t>
  </si>
  <si>
    <t>N-XA-11857</t>
  </si>
  <si>
    <t>IN-Muncie-SR 3-CR 700 NORTH 11000' MAIN 0 SERVICES</t>
  </si>
  <si>
    <t>N-XA-11858</t>
  </si>
  <si>
    <t>IN-Muncie-SR 3-CR 500 NORTH 10400' MAIN 10 SERVICES</t>
  </si>
  <si>
    <t>N-XA-11859</t>
  </si>
  <si>
    <t>IN-Muncie-CR 700 N 10400' MAIN 10 SERVICES</t>
  </si>
  <si>
    <t>N-XA-11862</t>
  </si>
  <si>
    <t>IN-Muncie-BOWMAN 8000' MAIN 40 SERVICES</t>
  </si>
  <si>
    <t>N-XA-11863</t>
  </si>
  <si>
    <t>IN-Muncie-CR 200 EAST 12000' MAIN 30 SERVICES</t>
  </si>
  <si>
    <t>N-XA-11860</t>
  </si>
  <si>
    <t>PARKER CITY</t>
  </si>
  <si>
    <t>IN-Parker City-SR 28 11000' MAIN 10 SERVICES</t>
  </si>
  <si>
    <t>N-XA-11861</t>
  </si>
  <si>
    <t>IN-Parker City-6TH STREET 8000' MAIN 50 SERVICES</t>
  </si>
  <si>
    <t>N-X-13206</t>
  </si>
  <si>
    <t>IN-Plainfield-Circle St Ineffectively Coated Steel - Legacy Map 46-252 - Replace approx. 7,900' of 2" MP Steel main along Price Circle St, Price Rd, Todd Dr, Hope Dr, Rivera Dr, and Parke Dr; between CR100S (Morris St) and CR150S, just west of SR267 (Avon Ave.) Replace approx. 85 services.</t>
  </si>
  <si>
    <t>N-X-13209</t>
  </si>
  <si>
    <t>IN-Plainfield-Elm Dr, Michael Dr,  Ineffectively Coated Steel - Legacy Map 46-294 - Replace approx. 6,800' of 2" MP Steel main along Elm Dr, Michael Dr, Stephens Dr, Butler Dr, Omega Dr, and Glenda Dr; between Main St (US40) and Oliver Ave, just west of SR267. Replace approx. 96 services</t>
  </si>
  <si>
    <t>N-X-13210</t>
  </si>
  <si>
    <t>IN-PLAINFIELD-Springcrest, Bluff Ineffectively Coated Steel - Legacy Map 46-333 - Replace approx. 7,200' of 2" MP Steel main along Springcrest, Bluff, Eldin, Almond, Terry, and Stanley ; between Stanley, Springcrest, Center St and Terry St, just east of Center St.  Replace approx. 88 services</t>
  </si>
  <si>
    <t>N-XA-12125</t>
  </si>
  <si>
    <t>IN-SHELBYVILLE-W PENNSYLVANIA STREET REPLACE INEFFECTIVE COATED STEEL ON W PENNSYLVANIA ST, TOMPKINS ST, RIVER ST, AND N PIKE ST. RAILROAD CROSSING. INSTALL 6" HDPE AND 11 SERVICES</t>
  </si>
  <si>
    <t>N-X-18403</t>
  </si>
  <si>
    <t>IN-TERRE HAUTE-Fruitridge Ave.  NW Future TH MOD Project 3 - Replace INRR West Xing at Fruitridge Ave. - Located Just South of Ohio Blvd.  Replace approx. 500' of exist. 6" MP Steel Main.</t>
  </si>
  <si>
    <t>N-X-18404</t>
  </si>
  <si>
    <t>IN-TERRE HAUTE-Fruitridge Ave.  NW Future TH MOD Project 4 - Replace INRR East Xing at Fruitridge Ave. - Located Just South of Ohio Blvd.  Replace approx. 500' of exist. 8" HP Steel Main.</t>
  </si>
  <si>
    <t>N-X-18407</t>
  </si>
  <si>
    <t>IN-TERRE HAUTE-Gilbert St Ineffectively coated steel - DIMP Project ID 47 Area -  Replace approx. 1,200' of existing 2" MP Steel main located along Gilbert St, between Poplar Street and Crawford Street; and approx. 350' of existing 2" MP Steel main located along Oak St, between 14th and 15th Street.  Replace approx. 30 services.</t>
  </si>
  <si>
    <t>N-X-18408</t>
  </si>
  <si>
    <t>IN-TERRE HAUTE-College and Cruft, Ineffectively coated steel - DIMP Project ID 48 Area -  Map 34-181 - Replace approx. 400' of existing 2" MP Steel main located along Alleyway between College and Cruft, between 29th Street and 31st St; and approx. 1,800' of existing 2" MP Steel main located along Alley between Cruft St and Franklin, between 25th St and 31st St; and approx. 1,900' of 2" MP Steel main along Alley between Franklin and Dean, between 25th St and 31st St;  and approx. 800' of 2" MP Steel main along 29th St, between Dean St and College Street.  Replace approx. 62 services.</t>
  </si>
  <si>
    <t>N-X-18301</t>
  </si>
  <si>
    <t>VERMILLION COUNTY - SR63 DIMP Project ID 463 Area - 03.30.2021 - Ineffectively Coated Steel - Vermillion County - Replace approx. 7,000' of 6" MP Steel Main along SR63 between Broullettes Creek and Trinity Road (near Reg. Sta. #37000185).  Replace approx. 20 services.</t>
  </si>
  <si>
    <t>N-X-17905</t>
  </si>
  <si>
    <t xml:space="preserve">IN-WEST POINT-W CR500 S Ineffectively coated steel - Replace approx. 5,000' of 10" HP Steel main located along W CR500 S, between Andrew Road and S CR600W.  </t>
  </si>
  <si>
    <t>OBSOLETE RISERS - replace obsolete service risers</t>
  </si>
  <si>
    <t>N-XA-11843</t>
  </si>
  <si>
    <t>N-XA-11836</t>
  </si>
  <si>
    <t>N-XA-11842</t>
  </si>
  <si>
    <t>N-XA-11780</t>
  </si>
  <si>
    <t>IN-LAFAYETTE-2800 CONCORD RD Rea Magnet Wire- Meter set obsolete, 2800 Concord Road.</t>
  </si>
  <si>
    <t>N-XA-11781</t>
  </si>
  <si>
    <t>IN-LAFAYETTE-2309 CONCORD RD Fairfield Manufacturing - Meter set obsolete, 2309 Concord Road.</t>
  </si>
  <si>
    <t>Bare Steel and Cast Iron - Compliance Project</t>
  </si>
  <si>
    <t>N-1113</t>
  </si>
  <si>
    <t>18022232</t>
  </si>
  <si>
    <t>98785126</t>
  </si>
  <si>
    <t>BSCI</t>
  </si>
  <si>
    <t>IN-RICHMOND-N-1113-BSCI - Est Installed Footage 8200 - Est Retired Footage 8810 - Est Svcs 138</t>
  </si>
  <si>
    <t>N-114</t>
  </si>
  <si>
    <t>14807202</t>
  </si>
  <si>
    <t>98784375</t>
  </si>
  <si>
    <t>IN-ANDERSON-N-114-BSCI - Est Installed Footage 7355 - Est Retired Footage 6945 - Est Svcs 75</t>
  </si>
  <si>
    <t>N-1415</t>
  </si>
  <si>
    <t>18022660</t>
  </si>
  <si>
    <t>98784856</t>
  </si>
  <si>
    <t>IN-MUNCIE-N-1415-BSCI - Est Installed Footage 4300 - Est Retired Footage 4215 - Est Svcs 78</t>
  </si>
  <si>
    <t>N-1416</t>
  </si>
  <si>
    <t>18352827</t>
  </si>
  <si>
    <t>98789429</t>
  </si>
  <si>
    <t>IN-MUNCIE-N-1416-BSCI - Est Installed Footage 4080 - Est Retired Footage 4295 - Est Svcs 83</t>
  </si>
  <si>
    <t>N-1421</t>
  </si>
  <si>
    <t>16047927</t>
  </si>
  <si>
    <t>98785849</t>
  </si>
  <si>
    <t>MARION</t>
  </si>
  <si>
    <t>IN-MARION-N-1421-BSCI - Est Installed Footage 8045 - Est Retired Footage 9005 - Est Svcs 78</t>
  </si>
  <si>
    <t>N-1422</t>
  </si>
  <si>
    <t>16117628</t>
  </si>
  <si>
    <t>98785880</t>
  </si>
  <si>
    <t>YORKTOWN</t>
  </si>
  <si>
    <t>IN-YORKTOWN-N-1422-BSCI - Est Installed Footage 5965 - Est Retired Footage 6565 - Est Svcs 70</t>
  </si>
  <si>
    <t>N-1430</t>
  </si>
  <si>
    <t>16047980</t>
  </si>
  <si>
    <t>98785844</t>
  </si>
  <si>
    <t>GAS CITY</t>
  </si>
  <si>
    <t>IN-GAS CITY-N-1430-BSCI - Est Installed Footage 6400 - Est Retired Footage 5945 - Est Svcs 101</t>
  </si>
  <si>
    <t>N-1440</t>
  </si>
  <si>
    <t>18785601</t>
  </si>
  <si>
    <t>98789253</t>
  </si>
  <si>
    <t>SELMA</t>
  </si>
  <si>
    <t>IN-SELMA-N-1440-BSCI - Est Installed Footage 5755 - Est Retired Footage 6375 - Est Svcs 41</t>
  </si>
  <si>
    <t>N-1441</t>
  </si>
  <si>
    <t>17539005</t>
  </si>
  <si>
    <t>98786684</t>
  </si>
  <si>
    <t>IN-YORKTOWN-N-1441-BSCI - Est Installed Footage 7695 - Est Retired Footage 7335 - Est Svcs 68</t>
  </si>
  <si>
    <t>N-1442</t>
  </si>
  <si>
    <t>17509172</t>
  </si>
  <si>
    <t>98786333</t>
  </si>
  <si>
    <t>IN-YORKTOWN-N-1442-BSCI - Est Installed Footage 3770 - Est Retired Footage 4780 - Est Svcs 74</t>
  </si>
  <si>
    <t>N-1443</t>
  </si>
  <si>
    <t>17509198</t>
  </si>
  <si>
    <t>98786537</t>
  </si>
  <si>
    <t>IN-YORKTOWN-N-1443-BSCI - Est Installed Footage 7570 - Est Retired Footage 8680 - Est Svcs 124</t>
  </si>
  <si>
    <t>N-1448</t>
  </si>
  <si>
    <t>16049055</t>
  </si>
  <si>
    <t>98785853</t>
  </si>
  <si>
    <t>IN-RICHMOND-N-1448-BSCI - Est Installed Footage 5395 - Est Retired Footage 10090 - Est Svcs 141</t>
  </si>
  <si>
    <t>N-1476</t>
  </si>
  <si>
    <t>18062127</t>
  </si>
  <si>
    <t>98789028</t>
  </si>
  <si>
    <t>IN-MUNCIE-N-1476-BSCI - Est Installed Footage 5565 - Est Retired Footage 5165 - Est Svcs 75</t>
  </si>
  <si>
    <t>N-1483</t>
  </si>
  <si>
    <t>18062165</t>
  </si>
  <si>
    <t>98789032</t>
  </si>
  <si>
    <t>IN-PARKER CITY-N-1483-BSCI - Est Installed Footage 5730 - Est Retired Footage 7515 - Est Svcs 79</t>
  </si>
  <si>
    <t>N-1484</t>
  </si>
  <si>
    <t>18062463</t>
  </si>
  <si>
    <t>98788982</t>
  </si>
  <si>
    <t>IN-PARKER CITY-N-1484-BSCI - Est Installed Footage 5910 - Est Retired Footage 7150 - Est Svcs 67</t>
  </si>
  <si>
    <t>N-1524</t>
  </si>
  <si>
    <t>18062484</t>
  </si>
  <si>
    <t>98788983</t>
  </si>
  <si>
    <t>IN-ANDERSON-N-1524-BSCI - Est Installed Footage 3305 - Est Retired Footage 5945 - Est Svcs 38</t>
  </si>
  <si>
    <t>N-1567</t>
  </si>
  <si>
    <t>18062510</t>
  </si>
  <si>
    <t>98788995</t>
  </si>
  <si>
    <t>REDKEY</t>
  </si>
  <si>
    <t>IN-REDKEY-N-1567-BSCI - Est Installed Footage 5120 - Est Retired Footage 5290 - Est Svcs 63</t>
  </si>
  <si>
    <t>N-1568</t>
  </si>
  <si>
    <t>18062740</t>
  </si>
  <si>
    <t>98785748</t>
  </si>
  <si>
    <t>IN-REDKEY-N-1568-BSCI - Est Installed Footage 5230 - Est Retired Footage 5740 - Est Svcs 51</t>
  </si>
  <si>
    <t>N-1571</t>
  </si>
  <si>
    <t>18062809</t>
  </si>
  <si>
    <t>98785762</t>
  </si>
  <si>
    <t>IN-DUNKIRK-N-1571-BSCI - Est Installed Footage 4735 - Est Retired Footage 5440 - Est Svcs 63</t>
  </si>
  <si>
    <t>N-1572</t>
  </si>
  <si>
    <t>18062929</t>
  </si>
  <si>
    <t>98789007</t>
  </si>
  <si>
    <t>IN-DUNKIRK-N-1572-BSCI - Est Installed Footage 3555 - Est Retired Footage 4460 - Est Svcs 58</t>
  </si>
  <si>
    <t>N-1573</t>
  </si>
  <si>
    <t>18062954</t>
  </si>
  <si>
    <t>98789019</t>
  </si>
  <si>
    <t>IN-DUNKIRK-N-1573-BSCI - Est Installed Footage 4825 - Est Retired Footage 5135 - Est Svcs 52</t>
  </si>
  <si>
    <t>N-1590</t>
  </si>
  <si>
    <t>18072744</t>
  </si>
  <si>
    <t>98789189</t>
  </si>
  <si>
    <t>IN-COLUMBUS-N-1590-BSCI - Est Installed Footage 13145 - Est Retired Footage 7625 - Est Svcs 148</t>
  </si>
  <si>
    <t>N-1601</t>
  </si>
  <si>
    <t>18072799</t>
  </si>
  <si>
    <t>98789199</t>
  </si>
  <si>
    <t>IN-COLUMBUS-N-1601-BSCI - Est Installed Footage 18165 - Est Retired Footage 15125 - Est Svcs 261</t>
  </si>
  <si>
    <t>N-1651</t>
  </si>
  <si>
    <t>18062983</t>
  </si>
  <si>
    <t>98789029</t>
  </si>
  <si>
    <t>IN-ANDERSON-N-1651-BSCI - Est Installed Footage 7505 - Est Retired Footage 6770 - Est Svcs 60</t>
  </si>
  <si>
    <t>N-1653</t>
  </si>
  <si>
    <t>18063004</t>
  </si>
  <si>
    <t>98789035</t>
  </si>
  <si>
    <t>IN-ANDERSON-N-1653-BSCI - Est Installed Footage 2785 - Est Retired Footage 2700 - Est Svcs 12</t>
  </si>
  <si>
    <t>N-1655</t>
  </si>
  <si>
    <t>18063034</t>
  </si>
  <si>
    <t>98789195</t>
  </si>
  <si>
    <t>IN-ANDERSON-N-1655-BSCI - Est Installed Footage 1750 - Est Retired Footage 1990 - Est Svcs 24</t>
  </si>
  <si>
    <t>N-1670</t>
  </si>
  <si>
    <t>17175625</t>
  </si>
  <si>
    <t>98785392</t>
  </si>
  <si>
    <t>FRANKTON</t>
  </si>
  <si>
    <t>IN-FRANKTON-N-1670-BSCI - Est Installed Footage 10310 - Est Retired Footage 11925 - Est Svcs 108</t>
  </si>
  <si>
    <t>N-1774</t>
  </si>
  <si>
    <t>17175756</t>
  </si>
  <si>
    <t>98785094</t>
  </si>
  <si>
    <t>CHESTERFIELD</t>
  </si>
  <si>
    <t>IN-CHESTERFIELD-N-1774-BSCI - Est Installed Footage 7517 - Est Retired Footage 7302 - Est Svcs 117</t>
  </si>
  <si>
    <t>N-1780</t>
  </si>
  <si>
    <t>17175837</t>
  </si>
  <si>
    <t>98785116</t>
  </si>
  <si>
    <t>JONESBORO</t>
  </si>
  <si>
    <t>IN-JONESBORO-N-1780-BSCI - Est Installed Footage 9325 - Est Retired Footage 9585 - Est Svcs 106</t>
  </si>
  <si>
    <t>N-1783</t>
  </si>
  <si>
    <t>18072683</t>
  </si>
  <si>
    <t>98789012</t>
  </si>
  <si>
    <t>IN-RICHMOND-N-1783-BSCI - Est Installed Footage 8300 - Est Retired Footage 6920 - Est Svcs 149</t>
  </si>
  <si>
    <t>N-1784</t>
  </si>
  <si>
    <t>17175862</t>
  </si>
  <si>
    <t>98785241</t>
  </si>
  <si>
    <t>IN-RICHMOND-N-1784-BSCI - Est Installed Footage 2445 - Est Retired Footage 3550 - Est Svcs 54</t>
  </si>
  <si>
    <t>N-1809</t>
  </si>
  <si>
    <t>18063141</t>
  </si>
  <si>
    <t>98785749</t>
  </si>
  <si>
    <t>IN-MUNCIE-N-1809-BSCI - Est Installed Footage 4765 - Est Retired Footage 4640 - Est Svcs 85</t>
  </si>
  <si>
    <t>N-1815</t>
  </si>
  <si>
    <t>18065459</t>
  </si>
  <si>
    <t>98789196</t>
  </si>
  <si>
    <t>IN-MUNCIE-N-1815-BSCI - Est Installed Footage 6670 - Est Retired Footage 6985 - Est Svcs 97</t>
  </si>
  <si>
    <t>N-2118</t>
  </si>
  <si>
    <t>18065513</t>
  </si>
  <si>
    <t>98789216</t>
  </si>
  <si>
    <t>MT. SUMMIT</t>
  </si>
  <si>
    <t>IN-MT. SUMMIT-N-2118-BSCI - Est Installed Footage 525 - Est Retired Footage 385 - Est Svcs 7</t>
  </si>
  <si>
    <t>N-2145</t>
  </si>
  <si>
    <t>18343512</t>
  </si>
  <si>
    <t>98789641</t>
  </si>
  <si>
    <t>IN-HUNTINGTON-N-2145-BSCI - Est Installed Footage 2320 - Est Retired Footage 3665 - Est Svcs 31</t>
  </si>
  <si>
    <t>N-2152</t>
  </si>
  <si>
    <t>17176131</t>
  </si>
  <si>
    <t>98785095</t>
  </si>
  <si>
    <t>IN-DUNKIRK-N-2152-BSCI - Est Installed Footage 7255 - Est Retired Footage 8715 - Est Svcs 98</t>
  </si>
  <si>
    <t>N-2154</t>
  </si>
  <si>
    <t>17509214</t>
  </si>
  <si>
    <t>98786538</t>
  </si>
  <si>
    <t>IN-ANDERSON-N-2154-BSCI - Est Installed Footage 3360 - Est Retired Footage 3285 - Est Svcs 41</t>
  </si>
  <si>
    <t>N-2215</t>
  </si>
  <si>
    <t>18192550</t>
  </si>
  <si>
    <t>98785687</t>
  </si>
  <si>
    <t>IN-ANDERSON-N-2215-BSCI - Est Installed Footage 3440 - Est Retired Footage 4800 - Est Svcs 46</t>
  </si>
  <si>
    <t>N-2216</t>
  </si>
  <si>
    <t>18065775</t>
  </si>
  <si>
    <t>98789036</t>
  </si>
  <si>
    <t>IN-RICHMOND-N-2216-BSCI - Est Installed Footage 4145 - Est Retired Footage 2510 - Est Svcs 56</t>
  </si>
  <si>
    <t>N-2224</t>
  </si>
  <si>
    <t>18066521</t>
  </si>
  <si>
    <t>98788984</t>
  </si>
  <si>
    <t>IN-TERRE HAUTE-N-2224-BSCI - Est Installed Footage 3875 - Est Retired Footage 12065 - Est Svcs 53</t>
  </si>
  <si>
    <t>N-2226</t>
  </si>
  <si>
    <t>18066571</t>
  </si>
  <si>
    <t>98789010</t>
  </si>
  <si>
    <t>IN-TERRE HAUTE-N-2226-BSCI - Est Installed Footage 10575 - Est Retired Footage 5675 - Est Svcs 119</t>
  </si>
  <si>
    <t>N-2230</t>
  </si>
  <si>
    <t>18065849</t>
  </si>
  <si>
    <t>98789197</t>
  </si>
  <si>
    <t>IN-RICHMOND-N-2230-BSCI - Est Installed Footage 4245 - Est Retired Footage 4060 - Est Svcs 73</t>
  </si>
  <si>
    <t>N-2233</t>
  </si>
  <si>
    <t>16049538</t>
  </si>
  <si>
    <t>98785851</t>
  </si>
  <si>
    <t>IN-GAS CITY-N-2233-BSCI - Est Installed Footage 7175 - Est Retired Footage 5200 - Est Svcs 112</t>
  </si>
  <si>
    <t>N-2235</t>
  </si>
  <si>
    <t>17177499</t>
  </si>
  <si>
    <t>98785377</t>
  </si>
  <si>
    <t>IN-ALBANY-N-2235-BSCI - Est Installed Footage 3020 - Est Retired Footage 2895 - Est Svcs 43</t>
  </si>
  <si>
    <t>N-2252</t>
  </si>
  <si>
    <t>18065972</t>
  </si>
  <si>
    <t>98785763</t>
  </si>
  <si>
    <t>IN-MUNCIE-N-2252-BSCI - Est Installed Footage 2760 - Est Retired Footage 2760 - Est Svcs 7</t>
  </si>
  <si>
    <t>N-2254</t>
  </si>
  <si>
    <t>18066268</t>
  </si>
  <si>
    <t>98789187</t>
  </si>
  <si>
    <t>IN-MUNCIE-N-2254-BSCI - Est Installed Footage 4640 - Est Retired Footage 6165 - Est Svcs 19</t>
  </si>
  <si>
    <t>N-2310</t>
  </si>
  <si>
    <t>18066356</t>
  </si>
  <si>
    <t>98789217</t>
  </si>
  <si>
    <t>IN-MUNCIE-N-2310-BSCI - Est Installed Footage 1220 - Est Retired Footage 1560 - Est Svcs 6</t>
  </si>
  <si>
    <t>N-2313</t>
  </si>
  <si>
    <t>18068219</t>
  </si>
  <si>
    <t>98789188</t>
  </si>
  <si>
    <t>IN-ATTICA-N-2313-BSCI - Est Installed Footage 16330 - Est Retired Footage 15550 - Est Svcs 159</t>
  </si>
  <si>
    <t>N-2314</t>
  </si>
  <si>
    <t>18068406</t>
  </si>
  <si>
    <t>98789218</t>
  </si>
  <si>
    <t>IN-ATTICA-N-2314-BSCI - Est Installed Footage 8865 - Est Retired Footage 8460 - Est Svcs 101</t>
  </si>
  <si>
    <t>N-2317</t>
  </si>
  <si>
    <t>18068512</t>
  </si>
  <si>
    <t>98785758</t>
  </si>
  <si>
    <t>LINDEN</t>
  </si>
  <si>
    <t>IN-LINDEN-N-2317-BSCI - Est Installed Footage 7840 - Est Retired Footage 8250 - Est Svcs 120</t>
  </si>
  <si>
    <t>N-2321</t>
  </si>
  <si>
    <t>18068539</t>
  </si>
  <si>
    <t>98785764</t>
  </si>
  <si>
    <t>IN-LAFAYETTE-N-2321-BSCI - Est Installed Footage 13280 - Est Retired Footage 10680 - Est Svcs 118</t>
  </si>
  <si>
    <t>N-2338</t>
  </si>
  <si>
    <t>18068899</t>
  </si>
  <si>
    <t>98789021</t>
  </si>
  <si>
    <t>IN-LAFAYETTE-N-2338-BSCI - Est Installed Footage 18135 - Est Retired Footage 21830 - Est Svcs 95</t>
  </si>
  <si>
    <t>N-2340</t>
  </si>
  <si>
    <t>18069241</t>
  </si>
  <si>
    <t>98789219</t>
  </si>
  <si>
    <t>IN-LAFAYETTE-N-2340-BSCI - Est Installed Footage 9590 - Est Retired Footage 9775 - Est Svcs 82</t>
  </si>
  <si>
    <t>N-2355</t>
  </si>
  <si>
    <t>18072854</t>
  </si>
  <si>
    <t>98785751</t>
  </si>
  <si>
    <t>IN-COLUMBUS-N-2355-BSCI - Est Installed Footage 9505 - Est Retired Footage 7725 - Est Svcs 89</t>
  </si>
  <si>
    <t>N-2356</t>
  </si>
  <si>
    <t>18072979</t>
  </si>
  <si>
    <t>98788975</t>
  </si>
  <si>
    <t>IN-TAYLORSVILLE-N-2356-BSCI - Est Installed Footage 14210 - Est Retired Footage 14075 - Est Svcs 123</t>
  </si>
  <si>
    <t>N-2359</t>
  </si>
  <si>
    <t>18073009</t>
  </si>
  <si>
    <t>98788979</t>
  </si>
  <si>
    <t>IN-BEDFORD-N-2359-BSCI - Est Installed Footage 3680 - Est Retired Footage 3765 - Est Svcs 49</t>
  </si>
  <si>
    <t>N-2362</t>
  </si>
  <si>
    <t>18073104</t>
  </si>
  <si>
    <t>98789024</t>
  </si>
  <si>
    <t>IN-BEDFORD-N-2362-BSCI - Est Installed Footage 2130 - Est Retired Footage 2020 - Est Svcs 23</t>
  </si>
  <si>
    <t>N-2366</t>
  </si>
  <si>
    <t>18073129</t>
  </si>
  <si>
    <t>98789031</t>
  </si>
  <si>
    <t>IN-BEDFORD-N-2366-BSCI - Est Installed Footage 8470 - Est Retired Footage 8390 - Est Svcs 19</t>
  </si>
  <si>
    <t>N-2367</t>
  </si>
  <si>
    <t>18073159</t>
  </si>
  <si>
    <t>98789190</t>
  </si>
  <si>
    <t>IN-MITCHELL-N-2367-BSCI - Est Installed Footage 11480 - Est Retired Footage 10755 - Est Svcs 110</t>
  </si>
  <si>
    <t>N-2368</t>
  </si>
  <si>
    <t>18082239</t>
  </si>
  <si>
    <t>98789209</t>
  </si>
  <si>
    <t>IN-MITCHELL-N-2368-BSCI - Est Installed Footage 7120 - Est Retired Footage 7995 - Est Svcs 63</t>
  </si>
  <si>
    <t>N-2383</t>
  </si>
  <si>
    <t>18082276</t>
  </si>
  <si>
    <t>98789221</t>
  </si>
  <si>
    <t>IN-MARTINSVILLE-N-2383-BSCI - Est Installed Footage 8780 - Est Retired Footage 7265 - Est Svcs 104</t>
  </si>
  <si>
    <t>N-2387</t>
  </si>
  <si>
    <t>18082454</t>
  </si>
  <si>
    <t>98789183</t>
  </si>
  <si>
    <t>IN-SEYMOUR-N-2387-BSCI - Est Installed Footage 5680 - Est Retired Footage 4880 - Est Svcs 61</t>
  </si>
  <si>
    <t>N-2388</t>
  </si>
  <si>
    <t>18082651</t>
  </si>
  <si>
    <t>98785746</t>
  </si>
  <si>
    <t>IN-SEYMOUR-N-2388-BSCI - Est Installed Footage 3090 - Est Retired Footage 2670 - Est Svcs 34</t>
  </si>
  <si>
    <t>N-2390</t>
  </si>
  <si>
    <t>18082739</t>
  </si>
  <si>
    <t>98788969</t>
  </si>
  <si>
    <t>IN-MADISON-N-2390-BSCI - Est Installed Footage 4400 - Est Retired Footage 4500 - Est Svcs 56</t>
  </si>
  <si>
    <t>N-2655</t>
  </si>
  <si>
    <t>18263205</t>
  </si>
  <si>
    <t>98789843</t>
  </si>
  <si>
    <t>IN-BROWNSBURG-N-2655-BSCI - Est Installed Footage 10060 - Est Retired Footage 5300 - Est Svcs 83</t>
  </si>
  <si>
    <t>N-714</t>
  </si>
  <si>
    <t>18069460</t>
  </si>
  <si>
    <t>98788978</t>
  </si>
  <si>
    <t>IN-TERRE HAUTE-N-714-BSCI - Est Installed Footage 10815 - Est Retired Footage 13015 - Est Svcs 149</t>
  </si>
  <si>
    <t>N-719</t>
  </si>
  <si>
    <t>18069475</t>
  </si>
  <si>
    <t>98788985</t>
  </si>
  <si>
    <t>IN-TERRE HAUTE-N-719-BSCI - Est Installed Footage 5440 - Est Retired Footage 3330 - Est Svcs 89</t>
  </si>
  <si>
    <t>N-720</t>
  </si>
  <si>
    <t>18069489</t>
  </si>
  <si>
    <t>98788986</t>
  </si>
  <si>
    <t>IN-TERRE HAUTE-N-720-BSCI - Est Installed Footage 1325 - Est Retired Footage 3620 - Est Svcs 10</t>
  </si>
  <si>
    <t>N-721</t>
  </si>
  <si>
    <t>18069503</t>
  </si>
  <si>
    <t>98788996</t>
  </si>
  <si>
    <t>IN-TERRE HAUTE-N-721-BSCI - Est Installed Footage 8425 - Est Retired Footage 10770 - Est Svcs 94</t>
  </si>
  <si>
    <t>N-896</t>
  </si>
  <si>
    <t>18066414</t>
  </si>
  <si>
    <t>98785757</t>
  </si>
  <si>
    <t>IN-RICHMOND-N-896-BSCI - Est Installed Footage 4090 - Est Retired Footage 4645 - Est Svcs 91</t>
  </si>
  <si>
    <t>N-1105</t>
  </si>
  <si>
    <t>98788308</t>
  </si>
  <si>
    <t>IN-RICHMOND-N-1105-BSCI - Est Installed Footage 4650 - Est Retired Footage 3950 - Est Svcs 76</t>
  </si>
  <si>
    <t>N-1149</t>
  </si>
  <si>
    <t>98788319</t>
  </si>
  <si>
    <t>IN-ANDERSON-N-1149-BSCI - Est Installed Footage 5550 - Est Retired Footage 5550 - Est Svcs 86</t>
  </si>
  <si>
    <t>N-1388</t>
  </si>
  <si>
    <t>98788331</t>
  </si>
  <si>
    <t>GASTON</t>
  </si>
  <si>
    <t>IN-GASTON-N-1388-BSCI - Est Installed Footage 2700 - Est Retired Footage 2700 - Est Svcs 41</t>
  </si>
  <si>
    <t>N-1389</t>
  </si>
  <si>
    <t>98788159</t>
  </si>
  <si>
    <t>IN-GASTON-N-1389-BSCI - Est Installed Footage 5880 - Est Retired Footage 5880 - Est Svcs 20</t>
  </si>
  <si>
    <t>N-1390</t>
  </si>
  <si>
    <t>98790035</t>
  </si>
  <si>
    <t>SHIDELER</t>
  </si>
  <si>
    <t>IN-SHIDELER-N-1390-BSCI - Est Installed Footage 5800 - Est Retired Footage 5800 - Est Svcs 89</t>
  </si>
  <si>
    <t>N-1394</t>
  </si>
  <si>
    <t>98788358</t>
  </si>
  <si>
    <t>ROYERTON</t>
  </si>
  <si>
    <t>IN-ROYERTON-N-1394-BSCI - Est Installed Footage 4950 - Est Retired Footage 4950 - Est Svcs 76</t>
  </si>
  <si>
    <t>N-1398</t>
  </si>
  <si>
    <t>98788320</t>
  </si>
  <si>
    <t>IN-MUNCIE-N-1398-BSCI - Est Installed Footage 4050 - Est Retired Footage 4050 - Est Svcs 62</t>
  </si>
  <si>
    <t>N-1399</t>
  </si>
  <si>
    <t>98788364</t>
  </si>
  <si>
    <t>IN-MUNCIE-N-1399-BSCI - Est Installed Footage 4050 - Est Retired Footage 4050 - Est Svcs 75</t>
  </si>
  <si>
    <t>N-1400</t>
  </si>
  <si>
    <t>98788173</t>
  </si>
  <si>
    <t>IN-MUNCIE-N-1400-BSCI - Est Installed Footage 5250 - Est Retired Footage 5250 - Est Svcs 78</t>
  </si>
  <si>
    <t>N-1401</t>
  </si>
  <si>
    <t>98788193</t>
  </si>
  <si>
    <t>IN-MUNCIE-N-1401-BSCI - Est Installed Footage 3900 - Est Retired Footage 3900 - Est Svcs 55</t>
  </si>
  <si>
    <t>N-1412</t>
  </si>
  <si>
    <t>98788289</t>
  </si>
  <si>
    <t>IN-MUNCIE-N-1412-BSCI - Est Installed Footage 4500 - Est Retired Footage 4500 - Est Svcs 60</t>
  </si>
  <si>
    <t>N-1413</t>
  </si>
  <si>
    <t>98788343</t>
  </si>
  <si>
    <t>IN-MUNCIE-N-1413-BSCI - Est Installed Footage 2700 - Est Retired Footage 2700 - Est Svcs 40</t>
  </si>
  <si>
    <t>N-1414</t>
  </si>
  <si>
    <t>98788161</t>
  </si>
  <si>
    <t>IN-MUNCIE-N-1414-BSCI - Est Installed Footage 2700 - Est Retired Footage 2700 - Est Svcs 40</t>
  </si>
  <si>
    <t>N-1428</t>
  </si>
  <si>
    <t>98788162</t>
  </si>
  <si>
    <t>IN-ELWOOD-N-1428-BSCI - Est Installed Footage 3682 - Est Retired Footage 3682 - Est Svcs 56</t>
  </si>
  <si>
    <t>N-1432</t>
  </si>
  <si>
    <t>98788332</t>
  </si>
  <si>
    <t>IN-JONESBORO-N-1432-BSCI - Est Installed Footage 3000 - Est Retired Footage 3000 - Est Svcs 46</t>
  </si>
  <si>
    <t>N-1435</t>
  </si>
  <si>
    <t>98788290</t>
  </si>
  <si>
    <t>HARTFORD CITY</t>
  </si>
  <si>
    <t>IN-HARTFORD CITY-N-1435-BSCI - Est Installed Footage 6400 - Est Retired Footage 6400 - Est Svcs 93</t>
  </si>
  <si>
    <t>N-1444</t>
  </si>
  <si>
    <t>98788194</t>
  </si>
  <si>
    <t>IN-DUNKIRK-N-1444-BSCI - Est Installed Footage 5308 - Est Retired Footage 4768 - Est Svcs 80</t>
  </si>
  <si>
    <t>N-1487</t>
  </si>
  <si>
    <t>98788356</t>
  </si>
  <si>
    <t>IN-PARKER CITY-N-1487-BSCI - Est Installed Footage 950 - Est Retired Footage 950 - Est Svcs 8</t>
  </si>
  <si>
    <t>N-1526</t>
  </si>
  <si>
    <t>98788166</t>
  </si>
  <si>
    <t>IN-ANDERSON-N-1526-BSCI - Est Installed Footage 5607 - Est Retired Footage 6157 - Est Svcs 91</t>
  </si>
  <si>
    <t>N-1545</t>
  </si>
  <si>
    <t>98788196</t>
  </si>
  <si>
    <t>IN-ELWOOD-N-1545-BSCI - Est Installed Footage 6525 - Est Retired Footage 6525 - Est Svcs 89</t>
  </si>
  <si>
    <t>N-1546</t>
  </si>
  <si>
    <t>98788181</t>
  </si>
  <si>
    <t>IN-ALEXANDRIA-N-1546-BSCI - Est Installed Footage 1607 - Est Retired Footage 1607 - Est Svcs 24</t>
  </si>
  <si>
    <t>N-1549</t>
  </si>
  <si>
    <t>98788197</t>
  </si>
  <si>
    <t>IN-ALEXANDRIA-N-1549-BSCI - Est Installed Footage 5100 - Est Retired Footage 5100 - Est Svcs 79</t>
  </si>
  <si>
    <t>N-1550</t>
  </si>
  <si>
    <t>98788279</t>
  </si>
  <si>
    <t>IN-FRANKTON-N-1550-BSCI - Est Installed Footage 5850 - Est Retired Footage 5850 - Est Svcs 89</t>
  </si>
  <si>
    <t>N-1574</t>
  </si>
  <si>
    <t>98788293</t>
  </si>
  <si>
    <t>IN-DUNKIRK-N-1574-BSCI - Est Installed Footage 5965 - Est Retired Footage 5965 - Est Svcs 92</t>
  </si>
  <si>
    <t>N-1575</t>
  </si>
  <si>
    <t>98788299</t>
  </si>
  <si>
    <t>IN-DUNKIRK-N-1575-BSCI - Est Installed Footage 5000 - Est Retired Footage 4640 - Est Svcs 76</t>
  </si>
  <si>
    <t>N-1640</t>
  </si>
  <si>
    <t>98788300</t>
  </si>
  <si>
    <t>MARKLEVILLE</t>
  </si>
  <si>
    <t>IN-MARKLEVILLE-N-1640-BSCI - Est Installed Footage 4100 - Est Retired Footage 4100 - Est Svcs 64</t>
  </si>
  <si>
    <t>N-1643</t>
  </si>
  <si>
    <t>98788309</t>
  </si>
  <si>
    <t>IN-MARKLEVILLE-N-1643-BSCI - Est Installed Footage 4750 - Est Retired Footage 4750 - Est Svcs 73</t>
  </si>
  <si>
    <t>N-1644</t>
  </si>
  <si>
    <t>98788310</t>
  </si>
  <si>
    <t>IN-PENDLETON-N-1644-BSCI - Est Installed Footage 4000 - Est Retired Footage 4000 - Est Svcs 61</t>
  </si>
  <si>
    <t>N-1645</t>
  </si>
  <si>
    <t>98790059</t>
  </si>
  <si>
    <t>IN-PENDLETON-N-1645-BSCI - Est Installed Footage 4730 - Est Retired Footage 4730 - Est Svcs 73</t>
  </si>
  <si>
    <t>N-1648</t>
  </si>
  <si>
    <t>98788322</t>
  </si>
  <si>
    <t>IN-PENDLETON-N-1648-BSCI - Est Installed Footage 4250 - Est Retired Footage 4250 - Est Svcs 65</t>
  </si>
  <si>
    <t>N-1650</t>
  </si>
  <si>
    <t>98788167</t>
  </si>
  <si>
    <t>NEW COLUMBUS</t>
  </si>
  <si>
    <t>IN-NEW COLUMBUS-N-1650-BSCI - Est Installed Footage 2250 - Est Retired Footage 2250 - Est Svcs 35</t>
  </si>
  <si>
    <t>N-1656</t>
  </si>
  <si>
    <t>98788301</t>
  </si>
  <si>
    <t>IN-ANDERSON-N-1656-BSCI - Est Installed Footage 1600 - Est Retired Footage 1600 - Est Svcs 13</t>
  </si>
  <si>
    <t>N-1660</t>
  </si>
  <si>
    <t>98788359</t>
  </si>
  <si>
    <t>IN-ANDERSON-N-1660-BSCI - Est Installed Footage 3000 - Est Retired Footage 3000 - Est Svcs 45</t>
  </si>
  <si>
    <t>N-1715</t>
  </si>
  <si>
    <t>98789999</t>
  </si>
  <si>
    <t>HARRODSBURG</t>
  </si>
  <si>
    <t>IN-HARRODSBURG-N-1715-BSCI - Est Installed Footage 9450 - Est Retired Footage 9450 - Est Svcs 87</t>
  </si>
  <si>
    <t>N-1717</t>
  </si>
  <si>
    <t>98788163</t>
  </si>
  <si>
    <t>IN-ANDERSON-N-1717-BSCI - Est Installed Footage 1350 - Est Retired Footage 1350 - Est Svcs 21</t>
  </si>
  <si>
    <t>N-1719</t>
  </si>
  <si>
    <t>98788182</t>
  </si>
  <si>
    <t>IN-ANDERSON-N-1719-BSCI - Est Installed Footage 4270 - Est Retired Footage 4270 - Est Svcs 65</t>
  </si>
  <si>
    <t>N-1733</t>
  </si>
  <si>
    <t>98788281</t>
  </si>
  <si>
    <t>MARKLE</t>
  </si>
  <si>
    <t>IN-MARKLE-N-1733-BSCI - Est Installed Footage 5755 - Est Retired Footage 5755 - Est Svcs 91</t>
  </si>
  <si>
    <t>N-1734</t>
  </si>
  <si>
    <t>98788302</t>
  </si>
  <si>
    <t>IN-MARKLE-N-1734-BSCI - Est Installed Footage 4300 - Est Retired Footage 4300 - Est Svcs 66</t>
  </si>
  <si>
    <t>N-1735</t>
  </si>
  <si>
    <t>98788323</t>
  </si>
  <si>
    <t>IN-MARKLE-N-1735-BSCI - Est Installed Footage 2650 - Est Retired Footage 2650 - Est Svcs 41</t>
  </si>
  <si>
    <t>N-1748</t>
  </si>
  <si>
    <t>98788336</t>
  </si>
  <si>
    <t>IN-ELWOOD-N-1748-BSCI - Est Installed Footage 3640 - Est Retired Footage 3640 - Est Svcs 56</t>
  </si>
  <si>
    <t>N-1776</t>
  </si>
  <si>
    <t>98788337</t>
  </si>
  <si>
    <t>IN-ELWOOD-N-1776-BSCI - Est Installed Footage 3895 - Est Retired Footage 3895 - Est Svcs 60</t>
  </si>
  <si>
    <t>N-1779</t>
  </si>
  <si>
    <t>98788344</t>
  </si>
  <si>
    <t>IN-FRANKTON-N-1779-BSCI - Est Installed Footage 2600 - Est Retired Footage 2600 - Est Svcs 40</t>
  </si>
  <si>
    <t>N-1790</t>
  </si>
  <si>
    <t>98789875</t>
  </si>
  <si>
    <t>IN-HARTFORD CITY-N-1790-BSCI - Est Installed Footage 6200 - Est Retired Footage 6200 - Est Svcs 96</t>
  </si>
  <si>
    <t>N-1791</t>
  </si>
  <si>
    <t>98790009</t>
  </si>
  <si>
    <t>IN-HARTFORD CITY-N-1791-BSCI - Est Installed Footage 4870 - Est Retired Footage 4870 - Est Svcs 76</t>
  </si>
  <si>
    <t>N-1794</t>
  </si>
  <si>
    <t>98790013</t>
  </si>
  <si>
    <t>IN-HUNTINGTON-N-1794-BSCI - Est Installed Footage 1450 - Est Retired Footage 1450 - Est Svcs 22</t>
  </si>
  <si>
    <t>N-1796</t>
  </si>
  <si>
    <t>98790014</t>
  </si>
  <si>
    <t>IN-GASTON-N-1796-BSCI - Est Installed Footage 3850 - Est Retired Footage 3850 - Est Svcs 58</t>
  </si>
  <si>
    <t>N-1797</t>
  </si>
  <si>
    <t>98790027</t>
  </si>
  <si>
    <t>IN-GASTON-N-1797-BSCI - Est Installed Footage 5280 - Est Retired Footage 5280 - Est Svcs 20</t>
  </si>
  <si>
    <t>N-1800</t>
  </si>
  <si>
    <t>98788135</t>
  </si>
  <si>
    <t>IN-EATON-N-1800-BSCI - Est Installed Footage 4250 - Est Retired Footage 4250 - Est Svcs 66</t>
  </si>
  <si>
    <t>N-1801</t>
  </si>
  <si>
    <t>98789883</t>
  </si>
  <si>
    <t>IN-EATON-N-1801-BSCI - Est Installed Footage 4650 - Est Retired Footage 4650 - Est Svcs 72</t>
  </si>
  <si>
    <t>N-1816</t>
  </si>
  <si>
    <t>98789888</t>
  </si>
  <si>
    <t>IN-MUNCIE-N-1816-BSCI - Est Installed Footage 3650 - Est Retired Footage 3650 - Est Svcs 53</t>
  </si>
  <si>
    <t>N-1817</t>
  </si>
  <si>
    <t>98789917</t>
  </si>
  <si>
    <t>IN-ROYERTON-N-1817-BSCI - Est Installed Footage 4650 - Est Retired Footage 4650 - Est Svcs 72</t>
  </si>
  <si>
    <t>N-1872</t>
  </si>
  <si>
    <t>98789995</t>
  </si>
  <si>
    <t>IN-MUNCIE-N-1872-BSCI - Est Installed Footage 6950 - Est Retired Footage 6950 - Est Svcs 92</t>
  </si>
  <si>
    <t>N-1873</t>
  </si>
  <si>
    <t>98790019</t>
  </si>
  <si>
    <t>IN-MUNCIE-N-1873-BSCI - Est Installed Footage 2164 - Est Retired Footage 2164 - Est Svcs 37</t>
  </si>
  <si>
    <t>N-1925</t>
  </si>
  <si>
    <t>98790029</t>
  </si>
  <si>
    <t>IN-MUNCIE-N-1925-BSCI - Est Installed Footage 1350 - Est Retired Footage 1350 - Est Svcs 37</t>
  </si>
  <si>
    <t>N-2112</t>
  </si>
  <si>
    <t>98790045</t>
  </si>
  <si>
    <t>IN-NEW CASTLE-N-2112-BSCI - Est Installed Footage 8907 - Est Retired Footage 8907 - Est Svcs 111</t>
  </si>
  <si>
    <t>N-2114</t>
  </si>
  <si>
    <t>98788136</t>
  </si>
  <si>
    <t>IN-NEW CASTLE-N-2114-BSCI - Est Installed Footage 6072 - Est Retired Footage 6072 - Est Svcs 86</t>
  </si>
  <si>
    <t>N-2115</t>
  </si>
  <si>
    <t>98789876</t>
  </si>
  <si>
    <t>IN-NEW CASTLE-N-2115-BSCI - Est Installed Footage 4600 - Est Retired Footage 4600 - Est Svcs 69</t>
  </si>
  <si>
    <t>N-2116</t>
  </si>
  <si>
    <t>98789913</t>
  </si>
  <si>
    <t>IN-MUNCIE-N-2116-BSCI - Est Installed Footage 3078 - Est Retired Footage 3078 - Est Svcs 47</t>
  </si>
  <si>
    <t>N-2141</t>
  </si>
  <si>
    <t>98789918</t>
  </si>
  <si>
    <t>IN-MUNCIE-N-2141-BSCI - Est Installed Footage 6800 - Est Retired Footage 6200 - Est Svcs 81</t>
  </si>
  <si>
    <t>N-2146</t>
  </si>
  <si>
    <t>98789996</t>
  </si>
  <si>
    <t>IN-NEW CASTLE-N-2146-BSCI - Est Installed Footage 2900 - Est Retired Footage 2900 - Est Svcs 44</t>
  </si>
  <si>
    <t>N-2151</t>
  </si>
  <si>
    <t>98789997</t>
  </si>
  <si>
    <t>IN-DUNKIRK-N-2151-BSCI - Est Installed Footage 2550 - Est Retired Footage 2550 - Est Svcs 39</t>
  </si>
  <si>
    <t>N-2163</t>
  </si>
  <si>
    <t>98790005</t>
  </si>
  <si>
    <t>IN-ANDERSON-N-2163-BSCI - Est Installed Footage 5243 - Est Retired Footage 5243 - Est Svcs 72</t>
  </si>
  <si>
    <t>N-2167</t>
  </si>
  <si>
    <t>98790020</t>
  </si>
  <si>
    <t>IN-RICHMOND-N-2167-BSCI - Est Installed Footage 1800 - Est Retired Footage 1800 - Est Svcs 27</t>
  </si>
  <si>
    <t>N-2205</t>
  </si>
  <si>
    <t>98790030</t>
  </si>
  <si>
    <t>IN-GAS CITY-N-2205-BSCI - Est Installed Footage 4200 - Est Retired Footage 4200 - Est Svcs 65</t>
  </si>
  <si>
    <t>N-2208</t>
  </si>
  <si>
    <t>98790031</t>
  </si>
  <si>
    <t>IN-ANDERSON-N-2208-BSCI - Est Installed Footage 6900 - Est Retired Footage 6900 - Est Svcs 103</t>
  </si>
  <si>
    <t>N-2214</t>
  </si>
  <si>
    <t>98790037</t>
  </si>
  <si>
    <t>IN-ANDERSON-N-2214-BSCI - Est Installed Footage 4695 - Est Retired Footage 4695 - Est Svcs 72</t>
  </si>
  <si>
    <t>N-2217</t>
  </si>
  <si>
    <t>98790046</t>
  </si>
  <si>
    <t>IN-RICHMOND-N-2217-BSCI - Est Installed Footage 5600 - Est Retired Footage 5600 - Est Svcs 68</t>
  </si>
  <si>
    <t>N-2218</t>
  </si>
  <si>
    <t>98790047</t>
  </si>
  <si>
    <t>IN-JONESBORO-N-2218-BSCI - Est Installed Footage 4370 - Est Retired Footage 4370 - Est Svcs 67</t>
  </si>
  <si>
    <t>N-2219</t>
  </si>
  <si>
    <t>98790055</t>
  </si>
  <si>
    <t>IN-JONESBORO-N-2219-BSCI - Est Installed Footage 4550 - Est Retired Footage 4550 - Est Svcs 69</t>
  </si>
  <si>
    <t>N-2232</t>
  </si>
  <si>
    <t>98790056</t>
  </si>
  <si>
    <t>IN-FRANKTON-N-2232-BSCI - Est Installed Footage 1350 - Est Retired Footage 1350 - Est Svcs 21</t>
  </si>
  <si>
    <t>N-2234</t>
  </si>
  <si>
    <t>98790060</t>
  </si>
  <si>
    <t>IN-HUNTINGTON-N-2234-BSCI - Est Installed Footage 3815 - Est Retired Footage 3815 - Est Svcs 60</t>
  </si>
  <si>
    <t>N-2236</t>
  </si>
  <si>
    <t>98790061</t>
  </si>
  <si>
    <t>IN-EATON-N-2236-BSCI - Est Installed Footage 2050 - Est Retired Footage 2050 - Est Svcs 32</t>
  </si>
  <si>
    <t>N-2293</t>
  </si>
  <si>
    <t>98790022</t>
  </si>
  <si>
    <t>IN-COLUMBUS-N-2293-BSCI - Est Installed Footage 3580 - Est Retired Footage 3580 - Est Svcs 60</t>
  </si>
  <si>
    <t>N-2300</t>
  </si>
  <si>
    <t>98785254</t>
  </si>
  <si>
    <t>IN-ROCKVILLE-N-2300-BSCI - Est Installed Footage 6275 - Est Retired Footage 6775 - Est Svcs 97</t>
  </si>
  <si>
    <t>N-2316</t>
  </si>
  <si>
    <t>98790032</t>
  </si>
  <si>
    <t>IN-TERRE HAUTE-N-2316-BSCI - Est Installed Footage 7510 - Est Retired Footage 7510 - Est Svcs 49</t>
  </si>
  <si>
    <t>N-2327</t>
  </si>
  <si>
    <t>98790021</t>
  </si>
  <si>
    <t>IN-MARION-N-2327-BSCI - Est Installed Footage 6240 - Est Retired Footage 6240 - Est Svcs 79</t>
  </si>
  <si>
    <t>N-2328</t>
  </si>
  <si>
    <t>98785489</t>
  </si>
  <si>
    <t>IN-LAFAYETTE-N-2328-BSCI - Est Installed Footage 3055 - Est Retired Footage 3065 - Est Svcs 16</t>
  </si>
  <si>
    <t>N-2349</t>
  </si>
  <si>
    <t>98790048</t>
  </si>
  <si>
    <t>IN-COLUMBUS-N-2349-BSCI - Est Installed Footage 2270 - Est Retired Footage 2270 - Est Svcs 23</t>
  </si>
  <si>
    <t>N-2350</t>
  </si>
  <si>
    <t>98788141</t>
  </si>
  <si>
    <t>IN-COLUMBUS-N-2350-BSCI - Est Installed Footage 3700 - Est Retired Footage 3700 - Est Svcs 0</t>
  </si>
  <si>
    <t>N-2351</t>
  </si>
  <si>
    <t>98789920</t>
  </si>
  <si>
    <t>IN-COLUMBUS-N-2351-BSCI - Est Installed Footage 6335 - Est Retired Footage 5255 - Est Svcs 97</t>
  </si>
  <si>
    <t>N-2352</t>
  </si>
  <si>
    <t>98790023</t>
  </si>
  <si>
    <t>IN-COLUMBUS-N-2352-BSCI - Est Installed Footage 9600 - Est Retired Footage 9600 - Est Svcs 132</t>
  </si>
  <si>
    <t>N-2353</t>
  </si>
  <si>
    <t>98790057</t>
  </si>
  <si>
    <t>IN-COLUMBUS-N-2353-BSCI - Est Installed Footage 2600 - Est Retired Footage 2600 - Est Svcs 35</t>
  </si>
  <si>
    <t>N-2358</t>
  </si>
  <si>
    <t>98790062</t>
  </si>
  <si>
    <t>IN-BEDFORD-N-2358-BSCI - Est Installed Footage 6600 - Est Retired Footage 6600 - Est Svcs 65</t>
  </si>
  <si>
    <t>N-2365</t>
  </si>
  <si>
    <t>98789885</t>
  </si>
  <si>
    <t>IN-BEDFORD-N-2365-BSCI - Est Installed Footage 5300 - Est Retired Footage 5300 - Est Svcs 20</t>
  </si>
  <si>
    <t>N-2410</t>
  </si>
  <si>
    <t>98788139</t>
  </si>
  <si>
    <t>SHERIDAN</t>
  </si>
  <si>
    <t>IN-SHERIDAN-N-2410-BSCI - Est Installed Footage 6140 - Est Retired Footage 6140 - Est Svcs 87</t>
  </si>
  <si>
    <t>N-2513</t>
  </si>
  <si>
    <t>98785934</t>
  </si>
  <si>
    <t>IN-LAFAYETTE-N-2513-BSCI - Est Installed Footage 1925 - Est Retired Footage 1740 - Est Svcs 3</t>
  </si>
  <si>
    <t>N-2514</t>
  </si>
  <si>
    <t>98785941</t>
  </si>
  <si>
    <t>IN-LAFAYETTE-N-2514-BSCI - Est Installed Footage 5955 - Est Retired Footage 6265 - Est Svcs 26</t>
  </si>
  <si>
    <t>N-2549</t>
  </si>
  <si>
    <t>98790039</t>
  </si>
  <si>
    <t>IN-HARRODSBURG-N-2549-BSCI - Est Installed Footage 4700 - Est Retired Footage 4700 - Est Svcs 1</t>
  </si>
  <si>
    <t>N-2550</t>
  </si>
  <si>
    <t>98790011</t>
  </si>
  <si>
    <t>IN-HARRODSBURG-N-2550-BSCI - Est Installed Footage 6950 - Est Retired Footage 6950 - Est Svcs 25</t>
  </si>
  <si>
    <t>N-2566</t>
  </si>
  <si>
    <t>98790015</t>
  </si>
  <si>
    <t>IN-BLOOMINGTON-N-2566-BSCI - Est Installed Footage 6003 - Est Retired Footage 6003 - Est Svcs 8</t>
  </si>
  <si>
    <t>N-468</t>
  </si>
  <si>
    <t>98789909</t>
  </si>
  <si>
    <t>IN-GAS CITY-N-468-BSCI - Est Installed Footage 2800 - Est Retired Footage 2800 - Est Svcs 43</t>
  </si>
  <si>
    <t>N-893</t>
  </si>
  <si>
    <t>98789910</t>
  </si>
  <si>
    <t>IN-RICHMOND-N-893-BSCI - Est Installed Footage 6700 - Est Retired Footage 6701 - Est Svcs 93</t>
  </si>
  <si>
    <t>N-899</t>
  </si>
  <si>
    <t>98789919</t>
  </si>
  <si>
    <t>IN-RICHMOND-N-899-BSCI - Est Installed Footage 3350 - Est Retired Footage 3700 - Est Svcs 64</t>
  </si>
  <si>
    <t>N-900</t>
  </si>
  <si>
    <t>98789998</t>
  </si>
  <si>
    <t>IN-RICHMOND-N-900-BSCI - Est Installed Footage 5150 - Est Retired Footage 5150 - Est Svcs 76</t>
  </si>
  <si>
    <t>N-909</t>
  </si>
  <si>
    <t>98790007</t>
  </si>
  <si>
    <t>IN-RICHMOND-N-909-BSCI - Est Installed Footage 5360 - Est Retired Footage 5360 - Est Svcs 35</t>
  </si>
  <si>
    <t>N-910</t>
  </si>
  <si>
    <t>98790010</t>
  </si>
  <si>
    <t>IN-RICHMOND-N-910-BSCI - Est Installed Footage 3930 - Est Retired Footage 4230 - Est Svcs 82</t>
  </si>
  <si>
    <t>N-1192</t>
  </si>
  <si>
    <t>IN-EATON-N-1192-BSCI - Est Installed Footage 3600 - Est Retired Footage 3600 - Est Svcs 56</t>
  </si>
  <si>
    <t>N-1393</t>
  </si>
  <si>
    <t>21573302052214</t>
  </si>
  <si>
    <t>IN-ALBANY-N-1393-BSCI - Est Installed Footage 4046 - Est Retired Footage 4046 - Est Svcs 62</t>
  </si>
  <si>
    <t>N-1396</t>
  </si>
  <si>
    <t>IN-MUNCIE-N-1396-BSCI - Est Installed Footage 3125 - Est Retired Footage 3125 - Est Svcs 39</t>
  </si>
  <si>
    <t>N-1419</t>
  </si>
  <si>
    <t>IN-MUNCIE-N-1419-BSCI - Est Installed Footage 4900 - Est Retired Footage 4900 - Est Svcs 73</t>
  </si>
  <si>
    <t>N-1423</t>
  </si>
  <si>
    <t>IN-MUNCIE-N-1423-BSCI - Est Installed Footage 5100 - Est Retired Footage 5100 - Est Svcs 77</t>
  </si>
  <si>
    <t>N-1425</t>
  </si>
  <si>
    <t>IN-MUNCIE-N-1425-BSCI - Est Installed Footage 2400 - Est Retired Footage 2400 - Est Svcs 34</t>
  </si>
  <si>
    <t>N-1427</t>
  </si>
  <si>
    <t>IN-MUNCIE-N-1427-BSCI - Est Installed Footage 4550 - Est Retired Footage 4550 - Est Svcs 68</t>
  </si>
  <si>
    <t>N-1429</t>
  </si>
  <si>
    <t>IN-MUNCIE-N-1429-BSCI - Est Installed Footage 4950 - Est Retired Footage 4950 - Est Svcs 74</t>
  </si>
  <si>
    <t>N-1433</t>
  </si>
  <si>
    <t>IN-MUNCIE-N-1433-BSCI - Est Installed Footage 5876 - Est Retired Footage 5876 - Est Svcs 96</t>
  </si>
  <si>
    <t>N-1434</t>
  </si>
  <si>
    <t>IN-MUNCIE-N-1434-BSCI - Est Installed Footage 4900 - Est Retired Footage 4900 - Est Svcs 73</t>
  </si>
  <si>
    <t>N-1436</t>
  </si>
  <si>
    <t>IN-MUNCIE-N-1436-BSCI - Est Installed Footage 5633 - Est Retired Footage 6533 - Est Svcs 93</t>
  </si>
  <si>
    <t>N-1437</t>
  </si>
  <si>
    <t>IN-MUNCIE-N-1437-BSCI - Est Installed Footage 2653 - Est Retired Footage 2653 - Est Svcs 62</t>
  </si>
  <si>
    <t>N-1438</t>
  </si>
  <si>
    <t>IN-MUNCIE-N-1438-BSCI - Est Installed Footage 2500 - Est Retired Footage 2500 - Est Svcs 62</t>
  </si>
  <si>
    <t>N-1439</t>
  </si>
  <si>
    <t>IN-MUNCIE-N-1439-BSCI - Est Installed Footage 3300 - Est Retired Footage 3300 - Est Svcs 49</t>
  </si>
  <si>
    <t>N-1446</t>
  </si>
  <si>
    <t>IN-MUNCIE-N-1446-BSCI - Est Installed Footage 5450 - Est Retired Footage 3200 - Est Svcs 84</t>
  </si>
  <si>
    <t>N-1447</t>
  </si>
  <si>
    <t>IN-MUNCIE-N-1447-BSCI - Est Installed Footage 4480 - Est Retired Footage 4480 - Est Svcs 64</t>
  </si>
  <si>
    <t>N-1449</t>
  </si>
  <si>
    <t>IN-MUNCIE-N-1449-BSCI - Est Installed Footage 4400 - Est Retired Footage 4400 - Est Svcs 66</t>
  </si>
  <si>
    <t>N-1451</t>
  </si>
  <si>
    <t>IN-MUNCIE-N-1451-BSCI - Est Installed Footage 3600 - Est Retired Footage 3600 - Est Svcs 55</t>
  </si>
  <si>
    <t>N-1452</t>
  </si>
  <si>
    <t>IN-MUNCIE-N-1452-BSCI - Est Installed Footage 6000 - Est Retired Footage 6000 - Est Svcs 88</t>
  </si>
  <si>
    <t>N-1453</t>
  </si>
  <si>
    <t>IN-MUNCIE-N-1453-BSCI - Est Installed Footage 5122 - Est Retired Footage 5122 - Est Svcs 78</t>
  </si>
  <si>
    <t>N-1455</t>
  </si>
  <si>
    <t>IN-MUNCIE-N-1455-BSCI - Est Installed Footage 3200 - Est Retired Footage 3200 - Est Svcs 47</t>
  </si>
  <si>
    <t>N-1456</t>
  </si>
  <si>
    <t>IN-MUNCIE-N-1456-BSCI - Est Installed Footage 4300 - Est Retired Footage 4300 - Est Svcs 64</t>
  </si>
  <si>
    <t>N-1457</t>
  </si>
  <si>
    <t>IN-MUNCIE-N-1457-BSCI - Est Installed Footage 1200 - Est Retired Footage 1200 - Est Svcs 34</t>
  </si>
  <si>
    <t>N-1469</t>
  </si>
  <si>
    <t>IN-MUNCIE-N-1469-BSCI - Est Installed Footage 5870 - Est Retired Footage 5870 - Est Svcs 79</t>
  </si>
  <si>
    <t>N-1470</t>
  </si>
  <si>
    <t>IN-MUNCIE-N-1470-BSCI - Est Installed Footage 6400 - Est Retired Footage 6400 - Est Svcs 98</t>
  </si>
  <si>
    <t>N-1473</t>
  </si>
  <si>
    <t>IN-MUNCIE-N-1473-BSCI - Est Installed Footage 5800 - Est Retired Footage 5800 - Est Svcs 88</t>
  </si>
  <si>
    <t>N-1474</t>
  </si>
  <si>
    <t>IN-MUNCIE-N-1474-BSCI - Est Installed Footage 6650 - Est Retired Footage 6650 - Est Svcs 102</t>
  </si>
  <si>
    <t>N-1475</t>
  </si>
  <si>
    <t>IN-MUNCIE-N-1475-BSCI - Est Installed Footage 5000 - Est Retired Footage 5000 - Est Svcs 77</t>
  </si>
  <si>
    <t>N-1479</t>
  </si>
  <si>
    <t>21573302052225</t>
  </si>
  <si>
    <t>IN-DALEVILLE-N-1479-BSCI - Est Installed Footage 5500 - Est Retired Footage 5500 - Est Svcs 81</t>
  </si>
  <si>
    <t>N-1480</t>
  </si>
  <si>
    <t>21573302052226</t>
  </si>
  <si>
    <t>IN-DALEVILLE-N-1480-BSCI - Est Installed Footage 3650 - Est Retired Footage 3650 - Est Svcs 55</t>
  </si>
  <si>
    <t>N-1481</t>
  </si>
  <si>
    <t>21573302052227</t>
  </si>
  <si>
    <t>IN-DALEVILLE-N-1481-BSCI - Est Installed Footage 5886 - Est Retired Footage 5886 - Est Svcs 81</t>
  </si>
  <si>
    <t>N-1488</t>
  </si>
  <si>
    <t>21573302052229</t>
  </si>
  <si>
    <t>FARMLAND</t>
  </si>
  <si>
    <t>IN-FARMLAND-N-1488-BSCI - Est Installed Footage 3930 - Est Retired Footage 3930 - Est Svcs 61</t>
  </si>
  <si>
    <t>N-1527</t>
  </si>
  <si>
    <t>IN-CHESTERFIELD-N-1527-BSCI - Est Installed Footage 2500 - Est Retired Footage 2500 - Est Svcs 38</t>
  </si>
  <si>
    <t>N-1551</t>
  </si>
  <si>
    <t>IN-TIPTON-N-1551-BSCI - Est Installed Footage 4515 - Est Retired Footage 4515 - Est Svcs 67</t>
  </si>
  <si>
    <t>N-1569</t>
  </si>
  <si>
    <t>21573302052230</t>
  </si>
  <si>
    <t>IN-REDKEY-N-1569-BSCI - Est Installed Footage 3300 - Est Retired Footage 3300 - Est Svcs 51</t>
  </si>
  <si>
    <t>N-1570</t>
  </si>
  <si>
    <t>21573302052231</t>
  </si>
  <si>
    <t>IN-REDKEY-N-1570-BSCI - Est Installed Footage 6326 - Est Retired Footage 6326 - Est Svcs 95</t>
  </si>
  <si>
    <t>N-1642</t>
  </si>
  <si>
    <t>IN-MUNCIE-N-1642-BSCI - Est Installed Footage 5000 - Est Retired Footage 5000 - Est Svcs 77</t>
  </si>
  <si>
    <t>N-1658</t>
  </si>
  <si>
    <t>IN-ANDERSON-N-1658-BSCI - Est Installed Footage 2800 - Est Retired Footage 2800 - Est Svcs 43</t>
  </si>
  <si>
    <t>N-1669</t>
  </si>
  <si>
    <t>21583002052210</t>
  </si>
  <si>
    <t>ARCADIA</t>
  </si>
  <si>
    <t>IN-ARCADIA-N-1669-BSCI - Est Installed Footage 4800 - Est Retired Footage 4800 - Est Svcs 72</t>
  </si>
  <si>
    <t>N-1723</t>
  </si>
  <si>
    <t>IN-MUNCIE-N-1723-BSCI - Est Installed Footage 3859 - Est Retired Footage 3859 - Est Svcs 54</t>
  </si>
  <si>
    <t>N-1724</t>
  </si>
  <si>
    <t>IN-MUNCIE-N-1724-BSCI - Est Installed Footage 4655 - Est Retired Footage 4655 - Est Svcs 58</t>
  </si>
  <si>
    <t>N-1725</t>
  </si>
  <si>
    <t>IN-MUNCIE-N-1725-BSCI - Est Installed Footage 5650 - Est Retired Footage 5650 - Est Svcs 72</t>
  </si>
  <si>
    <t>N-1726</t>
  </si>
  <si>
    <t>IN-MUNCIE-N-1726-BSCI - Est Installed Footage 4100 - Est Retired Footage 4100 - Est Svcs 62</t>
  </si>
  <si>
    <t>N-1727</t>
  </si>
  <si>
    <t>IN-MUNCIE-N-1727-BSCI - Est Installed Footage 4900 - Est Retired Footage 4900 - Est Svcs 69</t>
  </si>
  <si>
    <t>N-1772</t>
  </si>
  <si>
    <t>IN-ANDERSON-N-1772-BSCI - Est Installed Footage 3863 - Est Retired Footage 3863 - Est Svcs 57</t>
  </si>
  <si>
    <t>N-1793</t>
  </si>
  <si>
    <t>IN-PENDLETON-N-1793-BSCI - Est Installed Footage 5800 - Est Retired Footage 5800 - Est Svcs 89</t>
  </si>
  <si>
    <t>N-1798</t>
  </si>
  <si>
    <t>21573302052238</t>
  </si>
  <si>
    <t>IN-ALBANY-N-1798-BSCI - Est Installed Footage 3088 - Est Retired Footage 3638 - Est Svcs 45</t>
  </si>
  <si>
    <t>N-1799</t>
  </si>
  <si>
    <t>IN-EATON-N-1799-BSCI - Est Installed Footage 4200 - Est Retired Footage 4200 - Est Svcs 60</t>
  </si>
  <si>
    <t>N-1803</t>
  </si>
  <si>
    <t>IN-MUNCIE-N-1803-BSCI - Est Installed Footage 7118 - Est Retired Footage 7118 - Est Svcs 109</t>
  </si>
  <si>
    <t>N-1804</t>
  </si>
  <si>
    <t>IN-MUNCIE-N-1804-BSCI - Est Installed Footage 6400 - Est Retired Footage 6400 - Est Svcs 94</t>
  </si>
  <si>
    <t>N-1807</t>
  </si>
  <si>
    <t>IN-MUNCIE-N-1807-BSCI - Est Installed Footage 5950 - Est Retired Footage 5950 - Est Svcs 92</t>
  </si>
  <si>
    <t>N-1808</t>
  </si>
  <si>
    <t>IN-MUNCIE-N-1808-BSCI - Est Installed Footage 3300 - Est Retired Footage 3800 - Est Svcs 50</t>
  </si>
  <si>
    <t>N-1810</t>
  </si>
  <si>
    <t>IN-MUNCIE-N-1810-BSCI - Est Installed Footage 5269 - Est Retired Footage 5269 - Est Svcs 74</t>
  </si>
  <si>
    <t>N-1811</t>
  </si>
  <si>
    <t>IN-MUNCIE-N-1811-BSCI - Est Installed Footage 4900 - Est Retired Footage 4900 - Est Svcs 76</t>
  </si>
  <si>
    <t>N-1812</t>
  </si>
  <si>
    <t>IN-MUNCIE-N-1812-BSCI - Est Installed Footage 5000 - Est Retired Footage 6100 - Est Svcs 59</t>
  </si>
  <si>
    <t>N-1814</t>
  </si>
  <si>
    <t>IN-MUNCIE-N-1814-BSCI - Est Installed Footage 5263 - Est Retired Footage 5263 - Est Svcs 80</t>
  </si>
  <si>
    <t>N-1818</t>
  </si>
  <si>
    <t>IN-YORKTOWN-N-1818-BSCI - Est Installed Footage 5100 - Est Retired Footage 5100 - Est Svcs 67</t>
  </si>
  <si>
    <t>N-1825</t>
  </si>
  <si>
    <t>IN-PENDLETON-N-1825-BSCI - Est Installed Footage 4250 - Est Retired Footage 4250 - Est Svcs 65</t>
  </si>
  <si>
    <t>N-2153</t>
  </si>
  <si>
    <t>IN-ANDERSON-N-2153-BSCI - Est Installed Footage 3100 - Est Retired Footage 3100 - Est Svcs 49</t>
  </si>
  <si>
    <t>N-2171</t>
  </si>
  <si>
    <t>IN-MUNCIE-N-2171-BSCI - Est Installed Footage 4000 - Est Retired Footage 4000 - Est Svcs 61</t>
  </si>
  <si>
    <t>N-2174</t>
  </si>
  <si>
    <t>IN-MUNCIE-N-2174-BSCI - Est Installed Footage 3050 - Est Retired Footage 3050 - Est Svcs 35</t>
  </si>
  <si>
    <t>N-2175</t>
  </si>
  <si>
    <t>IN-MUNCIE-N-2175-BSCI - Est Installed Footage 4100 - Est Retired Footage 4100 - Est Svcs 64</t>
  </si>
  <si>
    <t>N-2179</t>
  </si>
  <si>
    <t>IN-MUNCIE-N-2179-BSCI - Est Installed Footage 2050 - Est Retired Footage 2050 - Est Svcs 36</t>
  </si>
  <si>
    <t>N-2201</t>
  </si>
  <si>
    <t>IN-MUNCIE-N-2201-BSCI - Est Installed Footage 3300 - Est Retired Footage 2500 - Est Svcs 58</t>
  </si>
  <si>
    <t>N-2204</t>
  </si>
  <si>
    <t>IN-MUNCIE-N-2204-BSCI - Est Installed Footage 3400 - Est Retired Footage 3400 - Est Svcs 52</t>
  </si>
  <si>
    <t>N-2209</t>
  </si>
  <si>
    <t>IN-ANDERSON-N-2209-BSCI - Est Installed Footage 2900 - Est Retired Footage 2900 - Est Svcs 44</t>
  </si>
  <si>
    <t>N-2225</t>
  </si>
  <si>
    <t>IN-PENDLETON-N-2225-BSCI - Est Installed Footage 2750 - Est Retired Footage 2750 - Est Svcs 42</t>
  </si>
  <si>
    <t>N-2227</t>
  </si>
  <si>
    <t>IN-PENDLETON-N-2227-BSCI - Est Installed Footage 5850 - Est Retired Footage 5850 - Est Svcs 90</t>
  </si>
  <si>
    <t>N-2228</t>
  </si>
  <si>
    <t>IN-PENDLETON-N-2228-BSCI - Est Installed Footage 3650 - Est Retired Footage 3650 - Est Svcs 56</t>
  </si>
  <si>
    <t>N-2231</t>
  </si>
  <si>
    <t>IN-TIPTON-N-2231-BSCI - Est Installed Footage 4500 - Est Retired Footage 4500 - Est Svcs 69</t>
  </si>
  <si>
    <t>N-2237</t>
  </si>
  <si>
    <t>IN-EATON-N-2237-BSCI - Est Installed Footage 4800 - Est Retired Footage 4800 - Est Svcs 73</t>
  </si>
  <si>
    <t>N-2238</t>
  </si>
  <si>
    <t>21573302052254</t>
  </si>
  <si>
    <t>IN-FARMLAND-N-2238-BSCI - Est Installed Footage 3550 - Est Retired Footage 3550 - Est Svcs 55</t>
  </si>
  <si>
    <t>N-2240</t>
  </si>
  <si>
    <t>IN-GASTON-N-2240-BSCI - Est Installed Footage 5280 - Est Retired Footage 5280 - Est Svcs 20</t>
  </si>
  <si>
    <t>N-2241</t>
  </si>
  <si>
    <t>IN-GASTON-N-2241-BSCI - Est Installed Footage 5280 - Est Retired Footage 5280 - Est Svcs 20</t>
  </si>
  <si>
    <t>N-2242</t>
  </si>
  <si>
    <t>IN-GASTON-N-2242-BSCI - Est Installed Footage 2050 - Est Retired Footage 2050 - Est Svcs 32</t>
  </si>
  <si>
    <t>N-2243</t>
  </si>
  <si>
    <t>21573302052255</t>
  </si>
  <si>
    <t>IN-YORKTOWN-N-2243-BSCI - Est Installed Footage 3746 - Est Retired Footage 3746 - Est Svcs 52</t>
  </si>
  <si>
    <t>N-2244</t>
  </si>
  <si>
    <t>21573302052256</t>
  </si>
  <si>
    <t>IN-YORKTOWN-N-2244-BSCI - Est Installed Footage 1820 - Est Retired Footage 1820 - Est Svcs 28</t>
  </si>
  <si>
    <t>N-2245</t>
  </si>
  <si>
    <t>IN-MUNCIE-N-2245-BSCI - Est Installed Footage 2815 - Est Retired Footage 2815 - Est Svcs 37</t>
  </si>
  <si>
    <t>N-2246</t>
  </si>
  <si>
    <t>IN-MUNCIE-N-2246-BSCI - Est Installed Footage 4142 - Est Retired Footage 4142 - Est Svcs 60</t>
  </si>
  <si>
    <t>N-2247</t>
  </si>
  <si>
    <t>IN-MUNCIE-N-2247-BSCI - Est Installed Footage 2100 - Est Retired Footage 2100 - Est Svcs 32</t>
  </si>
  <si>
    <t>N-2248</t>
  </si>
  <si>
    <t>IN-MUNCIE-N-2248-BSCI - Est Installed Footage 3905 - Est Retired Footage 3905 - Est Svcs 58</t>
  </si>
  <si>
    <t>N-2249</t>
  </si>
  <si>
    <t>IN-MUNCIE-N-2249-BSCI - Est Installed Footage 4400 - Est Retired Footage 4400 - Est Svcs 66</t>
  </si>
  <si>
    <t>N-2250</t>
  </si>
  <si>
    <t>IN-MUNCIE-N-2250-BSCI - Est Installed Footage 4900 - Est Retired Footage 4900 - Est Svcs 75</t>
  </si>
  <si>
    <t>N-2311</t>
  </si>
  <si>
    <t>21573302052257</t>
  </si>
  <si>
    <t>IN-YORKTOWN-N-2311-BSCI - Est Installed Footage 8600 - Est Retired Footage 8600 - Est Svcs 132</t>
  </si>
  <si>
    <t>N-2312</t>
  </si>
  <si>
    <t>COWAN</t>
  </si>
  <si>
    <t>IN-COWAN-N-2312-BSCI - Est Installed Footage 9272 - Est Retired Footage 9272 - Est Svcs 1</t>
  </si>
  <si>
    <t>N-2323</t>
  </si>
  <si>
    <t>IN-MUNCIE-N-2323-BSCI - Est Installed Footage 6017 - Est Retired Footage 6017 - Est Svcs 0</t>
  </si>
  <si>
    <t>N-2343</t>
  </si>
  <si>
    <t>IN-ANDERSON-N-2343-BSCI - Est Installed Footage 2245 - Est Retired Footage 2245 - Est Svcs 34</t>
  </si>
  <si>
    <t>N-2346</t>
  </si>
  <si>
    <t>IN-PENDLETON-N-2346-BSCI - Est Installed Footage 4202 - Est Retired Footage 4202 - Est Svcs 65</t>
  </si>
  <si>
    <t>N-2361</t>
  </si>
  <si>
    <t>IN-REDKEY-N-2361-BSCI - Est Installed Footage 4657 - Est Retired Footage 4657 - Est Svcs 72</t>
  </si>
  <si>
    <t>N-2411</t>
  </si>
  <si>
    <t>21583002052213</t>
  </si>
  <si>
    <t>IN-ARCADIA-N-2411-BSCI - Est Installed Footage 6300 - Est Retired Footage 6300 - Est Svcs 96</t>
  </si>
  <si>
    <t>N-2412</t>
  </si>
  <si>
    <t>IN-NOBLESVILLE-N-2412-BSCI - Est Installed Footage 3700 - Est Retired Footage 3700 - Est Svcs 1</t>
  </si>
  <si>
    <t>N-2547</t>
  </si>
  <si>
    <t>IN-ANDERSON-N-2547-BSCI - Est Installed Footage 70 - Est Retired Footage 70 - Est Svcs 0</t>
  </si>
  <si>
    <t>N-469</t>
  </si>
  <si>
    <t>IN-MARION-N-469-BSCI - Est Installed Footage 2800 - Est Retired Footage 2800 - Est Svcs 44</t>
  </si>
  <si>
    <t>N-2551</t>
  </si>
  <si>
    <t>IN-ANDERSON-N-2551-BSCI-GIS DATA - Est Installed Footage 1738 - Est Retired Footage 1738 - Est Svcs 0</t>
  </si>
  <si>
    <t>N-2552</t>
  </si>
  <si>
    <t>IN-ANDERSON-N-2552-BSCI-GIS DATA - Est Installed Footage 4231 - Est Retired Footage 4231 - Est Svcs 16</t>
  </si>
  <si>
    <t>N-2553</t>
  </si>
  <si>
    <t>IN-ANDERSON-N-2553-BSCI-GIS DATA - Est Installed Footage 4815 - Est Retired Footage 4941 - Est Svcs 58</t>
  </si>
  <si>
    <t>N-2554</t>
  </si>
  <si>
    <t>IN-ELWOOD-N-2554-BSCI-GIS DATA - Est Installed Footage 624 - Est Retired Footage 624 - Est Svcs 0</t>
  </si>
  <si>
    <t>N-2555</t>
  </si>
  <si>
    <t>IN-ELWOOD-N-2555-BSCI-GIS DATA - Est Installed Footage 686 - Est Retired Footage 686 - Est Svcs 3</t>
  </si>
  <si>
    <t>N-2556</t>
  </si>
  <si>
    <t>IN-TIPTON-N-2556-BSCI-GIS DATA - Est Installed Footage 2553 - Est Retired Footage 2553 - Est Svcs 21</t>
  </si>
  <si>
    <t>N-2557</t>
  </si>
  <si>
    <t>IN-ALEXANDRIA-N-2557-BSCI-GIS DATA - Est Installed Footage 667 - Est Retired Footage 667 - Est Svcs 6</t>
  </si>
  <si>
    <t>N-2558</t>
  </si>
  <si>
    <t>IN-FRANTON-N-2558-BSCI-GIS DATA - Est Installed Footage 277 - Est Retired Footage 277 - Est Svcs 4</t>
  </si>
  <si>
    <t>N-2559</t>
  </si>
  <si>
    <t>IN-CRAWFORDSVILLE-N-2559-BSCI-GIS DATA - Est Installed Footage 280 - Est Retired Footage 280 - Est Svcs 3</t>
  </si>
  <si>
    <t>N-2560</t>
  </si>
  <si>
    <t>IN-ELWOOD-N-2560-BSCI-GIS DATA - Est Installed Footage 0 - Est Retired Footage 155 - Est Svcs 0</t>
  </si>
  <si>
    <t>N-2561</t>
  </si>
  <si>
    <t>IN-RICHMOND-N-2561-BSCI-GIS DATA - Est Installed Footage 2079 - Est Retired Footage 2844 - Est Svcs 25</t>
  </si>
  <si>
    <t>N-2564</t>
  </si>
  <si>
    <t>IN-HUNTINGTON-N-2564 -BSCI-GIS DATA - Est Installed Footage 8620 - Est Retired Footage 8620 - Est Svcs 42</t>
  </si>
  <si>
    <t>N-2565</t>
  </si>
  <si>
    <t>IN-HUNTINGTON-N-2565-BSCI-GIS DATA - Est Installed Footage 3165 - Est Retired Footage 3475 - Est Svcs 19</t>
  </si>
  <si>
    <t>N-2567</t>
  </si>
  <si>
    <t>IN-MARTINSVILLE-N- 2567-BSCI-GIS DATA - Est Installed Footage 480 - Est Retired Footage 480 - Est Svcs 2</t>
  </si>
  <si>
    <t>N-2568</t>
  </si>
  <si>
    <t>IN-GREENFIELD-N-2568-BSCI-GIS DATA - Est Installed Footage 5268 - Est Retired Footage 5268 - Est Svcs 17</t>
  </si>
  <si>
    <t>N-2569</t>
  </si>
  <si>
    <t>IN-GREENFIELD-N-2569 -BSCI-GIS DATA - Est Installed Footage 2565 - Est Retired Footage 2565 - Est Svcs 10</t>
  </si>
  <si>
    <t>N-2570</t>
  </si>
  <si>
    <t>IN-GREENFIELD-N- 2570 -BSCI-GIS DATA - Est Installed Footage 3912 - Est Retired Footage 3912 - Est Svcs 25</t>
  </si>
  <si>
    <t>N-2571</t>
  </si>
  <si>
    <t>IN-GREENFIELD-N- 2571-BSCI-GIS DATA - Est Installed Footage 3767 - Est Retired Footage 3767 - Est Svcs 13</t>
  </si>
  <si>
    <t>N-2572</t>
  </si>
  <si>
    <t>IN-GREENFIELD-N- 2572 -BSCI-GIS DATA - Est Installed Footage 2473 - Est Retired Footage 2473 - Est Svcs 5</t>
  </si>
  <si>
    <t>N-2573</t>
  </si>
  <si>
    <t>IN-GREENFIELD-N-2573-BSCI-GIS DATA - Est Installed Footage 2432 - Est Retired Footage 2432 - Est Svcs 7</t>
  </si>
  <si>
    <t>N-2574</t>
  </si>
  <si>
    <t>FORTVILLE</t>
  </si>
  <si>
    <t>IN-FORTVILLE-N-2574-BSCI-GIS DATA - Est Installed Footage 3416 - Est Retired Footage 3416 - Est Svcs 21</t>
  </si>
  <si>
    <t>N-2575</t>
  </si>
  <si>
    <t>IN-NEW ALBANY-N-2575-BSCI-GIS DATA - Est Installed Footage 222 - Est Retired Footage 222 - Est Svcs 0</t>
  </si>
  <si>
    <t>N-2576</t>
  </si>
  <si>
    <t>IN-FRANKFORT-N-2576-BSCI-GIS DATA - Est Installed Footage 25281 - Est Retired Footage 25281 - Est Svcs 17</t>
  </si>
  <si>
    <t>N-2577</t>
  </si>
  <si>
    <t>CLOVERDALE</t>
  </si>
  <si>
    <t>IN-CLOVERDALE-N-2577-BSCI-GIS DATA - Est Installed Footage 6820 - Est Retired Footage 6820 - Est Svcs 1</t>
  </si>
  <si>
    <t>N-2578</t>
  </si>
  <si>
    <t>POLAND</t>
  </si>
  <si>
    <t>IN-POLAND-N-2578-BSCI-GIS DATA - Est Installed Footage 2609 - Est Retired Footage 2609 - Est Svcs 2</t>
  </si>
  <si>
    <t>N-2579</t>
  </si>
  <si>
    <t>IN-MARION-N- 2579 -BSCI-GIS DATA - Est Installed Footage 450 - Est Retired Footage 450 - Est Svcs 0</t>
  </si>
  <si>
    <t>N-2580</t>
  </si>
  <si>
    <t>IN-MARION-N- 2580 -BSCI-GIS DATA - Est Installed Footage 5371 - Est Retired Footage 5371 - Est Svcs 33</t>
  </si>
  <si>
    <t>N-2581</t>
  </si>
  <si>
    <t>IN-GAS CITY-N-2581-BSCI-GIS DATA - Est Installed Footage 1245 - Est Retired Footage 1245 - Est Svcs 21</t>
  </si>
  <si>
    <t>N-2582</t>
  </si>
  <si>
    <t>IN-JONESBORO-N-2582 -BSCI-GIS DATA - Est Installed Footage 1194 - Est Retired Footage 1194 - Est Svcs 25</t>
  </si>
  <si>
    <t>N-2583</t>
  </si>
  <si>
    <t>IN-HARTFORD CITY-N-2583 -BSCI-GIS DATA - Est Installed Footage 129 - Est Retired Footage 129 - Est Svcs 1</t>
  </si>
  <si>
    <t>N-2584</t>
  </si>
  <si>
    <t>IN-BEDFORD-N-2584 -BSCI-GIS DATA - Est Installed Footage 3200 - Est Retired Footage 3200 - Est Svcs 34</t>
  </si>
  <si>
    <t>N-2585</t>
  </si>
  <si>
    <t>IN-NOBLESVILLE-N-2585-BSCI-GIS DATA - Est Installed Footage 120 - Est Retired Footage 236 - Est Svcs 1</t>
  </si>
  <si>
    <t>N-2586</t>
  </si>
  <si>
    <t>IN-ARCADIA-N-2586-BSCI-GIS DATA - Est Installed Footage 1228 - Est Retired Footage 1228 - Est Svcs 9</t>
  </si>
  <si>
    <t>N-2589</t>
  </si>
  <si>
    <t>IN-MITCHELL-N-2589-BSCI-GIS DATA - Est Installed Footage 4510 - Est Retired Footage 4510 - Est Svcs 0</t>
  </si>
  <si>
    <t>N-2590</t>
  </si>
  <si>
    <t>IN-BLOOMINGTON-N-2590-BSCI-GIS DATA - Est Installed Footage 680 - Est Retired Footage 680 - Est Svcs 0</t>
  </si>
  <si>
    <t>N-2591</t>
  </si>
  <si>
    <t>IN-GREENFIELD-N-2591 -BSCI-GIS DATA - Est Installed Footage 621 - Est Retired Footage 621 - Est Svcs 15</t>
  </si>
  <si>
    <t>N-2592</t>
  </si>
  <si>
    <t>IN-COLUMBUS-N-2592-BSCI-GIS DATA - Est Installed Footage 3362 - Est Retired Footage 3362 - Est Svcs 16</t>
  </si>
  <si>
    <t>N-2593</t>
  </si>
  <si>
    <t>IN-COLUMBUS-N-2593-BSCI-GIS DATA - Est Installed Footage 1603 - Est Retired Footage 1603 - Est Svcs 35</t>
  </si>
  <si>
    <t>N-2594</t>
  </si>
  <si>
    <t>IN-COLUMBUS-N-2594-BSCI-GIS DATA - Est Installed Footage 3032 - Est Retired Footage 3032 - Est Svcs 46</t>
  </si>
  <si>
    <t>N-2595</t>
  </si>
  <si>
    <t>IN-COLUMBUS-N-2595-BSCI-GIS DATA - Est Installed Footage 307 - Est Retired Footage 307 - Est Svcs 5</t>
  </si>
  <si>
    <t>N-2596</t>
  </si>
  <si>
    <t>IN-EDINBURGH-N-2696-BSCI-GIS DATA - Est Installed Footage 250 - Est Retired Footage 250 - Est Svcs 5</t>
  </si>
  <si>
    <t>N-2597</t>
  </si>
  <si>
    <t>IN-GREENSBURG-N-2597 -BSCI-GIS DATA - Est Installed Footage 743 - Est Retired Footage 743 - Est Svcs 0</t>
  </si>
  <si>
    <t>N-2598</t>
  </si>
  <si>
    <t>IN-RUSHVILLE-N-2598-BSCI-GIS DATA - Est Installed Footage 2283 - Est Retired Footage 2283 - Est Svcs 0</t>
  </si>
  <si>
    <t>N-2599</t>
  </si>
  <si>
    <t>IN-RUSHVILLE-N2599-BSCI-GIS DATA - Est Installed Footage 1465 - Est Retired Footage 1465 - Est Svcs 0</t>
  </si>
  <si>
    <t>N-2600</t>
  </si>
  <si>
    <t>KNIGHTSTOWN</t>
  </si>
  <si>
    <t>IN-KNIGHTSTOWN-N-2600 -BSCI-GIS DATA - Est Installed Footage 1360 - Est Retired Footage 1360 - Est Svcs 13</t>
  </si>
  <si>
    <t>N-2601</t>
  </si>
  <si>
    <t>IN-RUSHVILLE-N-2601-BSCI-GIS DATA - Est Installed Footage 2338 - Est Retired Footage 2338 - Est Svcs 0</t>
  </si>
  <si>
    <t>N-2602</t>
  </si>
  <si>
    <t>IN-KNIGHTSTOWN-N-2602-BSCI-GIS DATA - Est Installed Footage 1455 - Est Retired Footage 1455 - Est Svcs 9</t>
  </si>
  <si>
    <t>N-2603</t>
  </si>
  <si>
    <t>CAMBRIDGE CITY</t>
  </si>
  <si>
    <t>IN-CAMBRIDGE CITY-N-2603-BSCI-GIS DATA - Est Installed Footage 288 - Est Retired Footage 288 - Est Svcs 1</t>
  </si>
  <si>
    <t>N-2604</t>
  </si>
  <si>
    <t>IN-RUSHVILLE-N2604-BSCI-GIS DATA - Est Installed Footage 385 - Est Retired Footage 385 - Est Svcs 1</t>
  </si>
  <si>
    <t>N-2605</t>
  </si>
  <si>
    <t>IN-COLUMBUS-N-2605-BSCI-GIS DATA - Est Installed Footage 2407 - Est Retired Footage 2407 - Est Svcs 0</t>
  </si>
  <si>
    <t>N-2606</t>
  </si>
  <si>
    <t>IN-LAFAYETTE-N-2606-BSCI-GIS DATA - Est Installed Footage 2806 - Est Retired Footage 3116 - Est Svcs 18</t>
  </si>
  <si>
    <t>N-2608</t>
  </si>
  <si>
    <t>IN-LEBANON-N- 2608 -BSCI-GIS DATA - Est Installed Footage 5302 - Est Retired Footage 5302 - Est Svcs 7</t>
  </si>
  <si>
    <t>N-2609</t>
  </si>
  <si>
    <t>IN-LEBANON-N- 2609 -BSCI-GIS DATA - Est Installed Footage 1144 - Est Retired Footage 1144 - Est Svcs 17</t>
  </si>
  <si>
    <t>N-2611</t>
  </si>
  <si>
    <t>IN-DANVILLE-N-2611-BSCI-GIS DATA - Est Installed Footage 460 - Est Retired Footage 460 - Est Svcs 0</t>
  </si>
  <si>
    <t>N-2612</t>
  </si>
  <si>
    <t>IN-PARKER CITY-N-2612-BSCI-GIS DATA - Est Installed Footage 380 - Est Retired Footage 380 - Est Svcs 5</t>
  </si>
  <si>
    <t>N-2613</t>
  </si>
  <si>
    <t>IN-DUNKIRK-N-2613-BSCI-GIS DATA - Est Installed Footage 677 - Est Retired Footage 677 - Est Svcs 6</t>
  </si>
  <si>
    <t>N-2614</t>
  </si>
  <si>
    <t>IN-REDKEY-N-2614-BSCI-GIS DATA - Est Installed Footage 1300 - Est Retired Footage 1300 - Est Svcs 15</t>
  </si>
  <si>
    <t>N-2615</t>
  </si>
  <si>
    <t>IN-DALEVILLE-N-2615-BSCI-GIS DATA - Est Installed Footage 752 - Est Retired Footage 752 - Est Svcs 10</t>
  </si>
  <si>
    <t>N-2616</t>
  </si>
  <si>
    <t>IN-EATON-N-2616-BSCI-GIS DATA - Est Installed Footage 288 - Est Retired Footage 288 - Est Svcs 4</t>
  </si>
  <si>
    <t>N-2617</t>
  </si>
  <si>
    <t>IN-ALBANY-N-2617-BSCI-GIS DATA - Est Installed Footage 435 - Est Retired Footage 435 - Est Svcs 3</t>
  </si>
  <si>
    <t>N-2618</t>
  </si>
  <si>
    <t>IN-FARMLAND-N-2618-BSCI-GIS DATA - Est Installed Footage 431 - Est Retired Footage 431 - Est Svcs 7</t>
  </si>
  <si>
    <t>N-2620</t>
  </si>
  <si>
    <t>IN-FRANFORT-N-2620-BSCI-GIS DATA - Est Installed Footage 495 - Est Retired Footage 494 - Est Svcs 0</t>
  </si>
  <si>
    <t>N-2621</t>
  </si>
  <si>
    <t>IN-GREENCASTLE-N-2621-BSCI-GIS DATA - Est Installed Footage 241 - Est Retired Footage 241 - Est Svcs 0</t>
  </si>
  <si>
    <t>N-2623</t>
  </si>
  <si>
    <t>IN-LEBANON-N- 2623 -BSCI-GIS DATA - Est Installed Footage 377 - Est Retired Footage 377 - Est Svcs 0</t>
  </si>
  <si>
    <t>N-2624</t>
  </si>
  <si>
    <t>IN-ROCKVILLE-N-2624-BSCI-GIS DATA - Est Installed Footage 159 - Est Retired Footage 158 - Est Svcs 0</t>
  </si>
  <si>
    <t>N-2625</t>
  </si>
  <si>
    <t>IN-MUNCIE-N-2625-BSCI-GIS DATA - Est Installed Footage 3507 - Est Retired Footage 7714 - Est Svcs 21</t>
  </si>
  <si>
    <t>N-2626</t>
  </si>
  <si>
    <t>IN-TERRE HAUTE-N2626-BSCI-GIS DATA - Est Installed Footage 199 - Est Retired Footage 199 - Est Svcs 0</t>
  </si>
  <si>
    <t>N-2627</t>
  </si>
  <si>
    <t>IN-MUNCIE-N-2627-BSCI-GIS DATA - Est Installed Footage 7971 - Est Retired Footage 7971 - Est Svcs 90</t>
  </si>
  <si>
    <t>N-2628</t>
  </si>
  <si>
    <t>IN-MUNCIE-N-2628-BSCI-GIS DATA - Est Installed Footage 5063 - Est Retired Footage 5063 - Est Svcs 56</t>
  </si>
  <si>
    <t>N-2629</t>
  </si>
  <si>
    <t>IN-MUNCIE-N-2629-BSCI-GIS DATA - Est Installed Footage 3579 - Est Retired Footage 6628 - Est Svcs 89</t>
  </si>
  <si>
    <t>N-2630</t>
  </si>
  <si>
    <t>IN-MUNCIE-N-2630-BSCI-GIS DATA - Est Installed Footage 4375 - Est Retired Footage 4375 - Est Svcs 46</t>
  </si>
  <si>
    <t>N-2631</t>
  </si>
  <si>
    <t>IN-MUNCIE-N-2631-BSCI-GIS DATA - Est Installed Footage 1843 - Est Retired Footage 1843 - Est Svcs 24</t>
  </si>
  <si>
    <t>N-2634</t>
  </si>
  <si>
    <t>IN-NEW CASTLE-N-2634-BSCI-GIS DATA - Est Installed Footage 6295 - Est Retired Footage 6295 - Est Svcs 62</t>
  </si>
  <si>
    <t>N-2635</t>
  </si>
  <si>
    <t>IN-NEW CASTLE-N-2635-BSCI-GIS DATA - Est Installed Footage 6126 - Est Retired Footage 5666 - Est Svcs 25</t>
  </si>
  <si>
    <t>N-2636</t>
  </si>
  <si>
    <t>IN-NEW CASTLE-N-2636-BSCI-GIS DATA - Est Installed Footage 5577 - Est Retired Footage 5577 - Est Svcs 57</t>
  </si>
  <si>
    <t>Storage Modernization - Compliance Project</t>
  </si>
  <si>
    <t>S-0311</t>
  </si>
  <si>
    <t>EMERGENCY RESPONSE</t>
  </si>
  <si>
    <t>HINDUSTAN</t>
  </si>
  <si>
    <t>Construct access road to UHD-024 A.B.C. #1</t>
  </si>
  <si>
    <t>S-0312</t>
  </si>
  <si>
    <t>Construct access road to UHD-027 Fulford #1</t>
  </si>
  <si>
    <t>S-0344</t>
  </si>
  <si>
    <t>UNIONVILLE</t>
  </si>
  <si>
    <t>Construct access road to UND-052 Hansen #1</t>
  </si>
  <si>
    <t>S-0262</t>
  </si>
  <si>
    <t>Construct access road to WOT-015 Ponto #2</t>
  </si>
  <si>
    <t>S-0218</t>
  </si>
  <si>
    <t>Install barricade around SEK-004 Couch #1</t>
  </si>
  <si>
    <t>S-0213</t>
  </si>
  <si>
    <t>Install barricade around SEK-007 Schlosser #3</t>
  </si>
  <si>
    <t>S-0212</t>
  </si>
  <si>
    <t>Install barricade around SEK-008 Garvey #6</t>
  </si>
  <si>
    <t>S-0370</t>
  </si>
  <si>
    <t>Install barricade around SEK-016 Nabb #9</t>
  </si>
  <si>
    <t>S-0386</t>
  </si>
  <si>
    <t>Install barricade around WOT-003 Miller #1</t>
  </si>
  <si>
    <t>S-0209</t>
  </si>
  <si>
    <t>Install barricade around WOT-015 Ponto #2</t>
  </si>
  <si>
    <t>S-0384</t>
  </si>
  <si>
    <t>Install barricade around WOT-037 Watson #1</t>
  </si>
  <si>
    <t>S-0385</t>
  </si>
  <si>
    <t>Install barricade around WOT-039 M.Ponto #5</t>
  </si>
  <si>
    <t>S-0216</t>
  </si>
  <si>
    <t xml:space="preserve">HINDUSTAN </t>
  </si>
  <si>
    <t>Install Barricades around UHD-030 Champlin #1</t>
  </si>
  <si>
    <t>S-0217</t>
  </si>
  <si>
    <t>Install Barricades around UHD-051 Huffman #1</t>
  </si>
  <si>
    <t>S-0219</t>
  </si>
  <si>
    <t>Install Barricades around UND-036 Smith #5</t>
  </si>
  <si>
    <t>S-0214</t>
  </si>
  <si>
    <t>Install Barricades around UND-040 Young #3</t>
  </si>
  <si>
    <t>S-0215</t>
  </si>
  <si>
    <t>Install Barricades around UND-079 Ward #5</t>
  </si>
  <si>
    <t>S-0220</t>
  </si>
  <si>
    <t>Install Barricades around UND-080 Nehrt #6</t>
  </si>
  <si>
    <t>S-0221</t>
  </si>
  <si>
    <t>Install Barricades around UND-083 Little League #1</t>
  </si>
  <si>
    <t>S-0308</t>
  </si>
  <si>
    <t>Installation of fluid level monitoring devices to report aquifer water levels</t>
  </si>
  <si>
    <t>S-0242</t>
  </si>
  <si>
    <t>EQUIPMENT</t>
  </si>
  <si>
    <t>Replace Wellhead on  UHD-050 Hardin #1 for well logging.</t>
  </si>
  <si>
    <t>S-0243</t>
  </si>
  <si>
    <t>Replace Wellhead on  UHD-051 Huffman #2 for well logging.</t>
  </si>
  <si>
    <t>S-0225</t>
  </si>
  <si>
    <t>Replace Wellhead on UND-047 DeMolay #1 for well logging.</t>
  </si>
  <si>
    <t>S-0226</t>
  </si>
  <si>
    <t>Replace Wellhead on UND-048 Peterson #2 for well logging.</t>
  </si>
  <si>
    <t>S-0227</t>
  </si>
  <si>
    <t>Replace Wellhead on UND-049 Mundy #1 for well logging.</t>
  </si>
  <si>
    <t>S-0231</t>
  </si>
  <si>
    <t>Replace Wellhead on UND-053 Hammond #1 for well logging.</t>
  </si>
  <si>
    <t>S-0125</t>
  </si>
  <si>
    <t>Replace Wellhead on WOT-043 P. Mathew #4 for well logging.</t>
  </si>
  <si>
    <t>S-0126</t>
  </si>
  <si>
    <t>Replace Wellhead on WOT-047 Goss #11 for well logging.</t>
  </si>
  <si>
    <t>S-0203</t>
  </si>
  <si>
    <t>PRESSURE MONITORING / SCADA / RTU</t>
  </si>
  <si>
    <t>Install bottomhole pressure monitoring equipment in SEK-015 Friend#03</t>
  </si>
  <si>
    <t>S-0202</t>
  </si>
  <si>
    <t>Install bottomhole pressure monitoring equipment in UHD-024 A.B.C.#01</t>
  </si>
  <si>
    <t>S-0204</t>
  </si>
  <si>
    <t>Install bottomhole pressure monitoring equipment in UND-014 Kenrich#01</t>
  </si>
  <si>
    <t>S-0392</t>
  </si>
  <si>
    <t xml:space="preserve">IN-Hindustan Storage Field -Replace old orifice measurement equipment with Ultrasonic flow meters </t>
  </si>
  <si>
    <t>S-0024</t>
  </si>
  <si>
    <t>WELL CONSTRUCTION / REMEDIATION</t>
  </si>
  <si>
    <t>Utilize WOT-026 IGC#01 for gas observation purposes</t>
  </si>
  <si>
    <t>S-0255</t>
  </si>
  <si>
    <t>Replace Wellhead on  UHD-055 Huntington #1 for well logging.</t>
  </si>
  <si>
    <t>S-0256</t>
  </si>
  <si>
    <t>Replace Wellhead on  UHD-058 Huntington #2 for well logging.</t>
  </si>
  <si>
    <t>S-0356</t>
  </si>
  <si>
    <t>Replace Wellhead on SEK-008 SCHLOSSER #3 for well logging.</t>
  </si>
  <si>
    <t>S-0357</t>
  </si>
  <si>
    <t>Replace Wellhead on SEK-009 GARVEY #6 for well logging.</t>
  </si>
  <si>
    <t>S-0222</t>
  </si>
  <si>
    <t>Replace Wellhead on UND-052 Hansen #1 for well logging.</t>
  </si>
  <si>
    <t>S-0375</t>
  </si>
  <si>
    <t>WOT-022 P. Matthew#02 Transmission Connection</t>
  </si>
  <si>
    <t>S-0376</t>
  </si>
  <si>
    <t>Replace Wellhead on WOT-027 Matthew #1 for well logging.</t>
  </si>
  <si>
    <t>S-0014</t>
  </si>
  <si>
    <t>Drilling of new vertical observation well - SEK022-OBS#01</t>
  </si>
  <si>
    <t>S-0012</t>
  </si>
  <si>
    <t>Unionville B observation drill and complete to monitor field pressures and gas migration</t>
  </si>
  <si>
    <t>S-0013</t>
  </si>
  <si>
    <t>Drill observation well parallel to UHD-Fulford#01 to monitor communication between Unionville and Hindustan.</t>
  </si>
  <si>
    <t>S-0015</t>
  </si>
  <si>
    <t>Drill observation well north of UHD-058 Huntington#01 (UHD-OBS#01) to monitor for gas migration North of field.</t>
  </si>
  <si>
    <t>S-0316</t>
  </si>
  <si>
    <t>Construct access road to UHD-041 Musgrave #1</t>
  </si>
  <si>
    <t>S-0317</t>
  </si>
  <si>
    <t>Construct access road to UHD-044 Brough #1</t>
  </si>
  <si>
    <t>S-0346</t>
  </si>
  <si>
    <t>Construct access road to UHD-Huntington#01 and Huntington#02</t>
  </si>
  <si>
    <t>S-0318</t>
  </si>
  <si>
    <t>Construct access road to UND-066 Gross#01</t>
  </si>
  <si>
    <t>S-0390</t>
  </si>
  <si>
    <t>Wolcott</t>
  </si>
  <si>
    <t>Construct access road to WOT-003 Miller#01</t>
  </si>
  <si>
    <t>S-0391</t>
  </si>
  <si>
    <t>Construct access road to WOT-014 Goss#06</t>
  </si>
  <si>
    <t>S-0192</t>
  </si>
  <si>
    <t>Install barricade around SEK-009 Garvey #7</t>
  </si>
  <si>
    <t>S-0191</t>
  </si>
  <si>
    <t>Install barricade around SEK-010 Couch #5</t>
  </si>
  <si>
    <t>S-0193</t>
  </si>
  <si>
    <t>Install barricade around UND-021 Smith #2</t>
  </si>
  <si>
    <t>S-0380</t>
  </si>
  <si>
    <t>Install barricade around WOT-006 Goss #2</t>
  </si>
  <si>
    <t>S-0381</t>
  </si>
  <si>
    <t>Install barricade around WOT-023 F. Ponto #1</t>
  </si>
  <si>
    <t>S-0382</t>
  </si>
  <si>
    <t>Install barricade around WOT-029 IGC #2</t>
  </si>
  <si>
    <t>S-0383</t>
  </si>
  <si>
    <t>Install barricade around WOT-036 IGC #6</t>
  </si>
  <si>
    <t>S-0199</t>
  </si>
  <si>
    <t>Install Barricades around UHD -044 Brough #1</t>
  </si>
  <si>
    <t>S-0200</t>
  </si>
  <si>
    <t>Install barricades around UHD-055 Huntington #1</t>
  </si>
  <si>
    <t>S-0194</t>
  </si>
  <si>
    <t>Install Barricades around UND-023 J. Skirvin #1</t>
  </si>
  <si>
    <t>S-0195</t>
  </si>
  <si>
    <t>Install barricades around UND-047 DeMolay #1</t>
  </si>
  <si>
    <t>S-0196</t>
  </si>
  <si>
    <t>Install Barricades around UND-054 Davis #1</t>
  </si>
  <si>
    <t>S-0197</t>
  </si>
  <si>
    <t>Install Barricades around UND-068 Ward #4</t>
  </si>
  <si>
    <t>S-0198</t>
  </si>
  <si>
    <t>Install Barricades around UND-082 Smith #7</t>
  </si>
  <si>
    <t>S-0201</t>
  </si>
  <si>
    <t>Install Barricades UHD-058 Huntington #2</t>
  </si>
  <si>
    <t>S-0232</t>
  </si>
  <si>
    <t>Replace Wellhead on UND-056 F. Skirvin #2 for well logging.</t>
  </si>
  <si>
    <t>S-0233</t>
  </si>
  <si>
    <t>Replace Wellhead on UND-057 F. Skirvin #3 for well logging.</t>
  </si>
  <si>
    <t>S-0127</t>
  </si>
  <si>
    <t>Replace Wellhead on WOT-23 F. Ponto #1 for well logging.</t>
  </si>
  <si>
    <t>S-0372</t>
  </si>
  <si>
    <t>Install Remote Pressure Monitoring -  flow rate and casing pressure on 48 injection/withdrawal wells and 15 observation wells.</t>
  </si>
  <si>
    <t>S-0373</t>
  </si>
  <si>
    <t>Ward #04 Drip Addition</t>
  </si>
  <si>
    <t>S-0358</t>
  </si>
  <si>
    <t>Replace Wellhead on SEK-004 COUCH #1 for well logging.</t>
  </si>
  <si>
    <t>S-0389</t>
  </si>
  <si>
    <t>Replace Wellhead on SEK-009 GARVEY # 7 for well logging.</t>
  </si>
  <si>
    <t>S-0360</t>
  </si>
  <si>
    <t>Replace Wellhead on SEK-010 COUCH #5 for well logging.</t>
  </si>
  <si>
    <t>S-0254</t>
  </si>
  <si>
    <t>Replace Wellhead on UND-002 Brown #2 for well logging.</t>
  </si>
  <si>
    <t>S-0008</t>
  </si>
  <si>
    <t>Drilling of new vertical observation well - WOT-OBS#01 to monitor field pressures and gas migration</t>
  </si>
  <si>
    <t>S-0377</t>
  </si>
  <si>
    <t>Replace Wellhead on WOT-028 Goss #8 for well logging.</t>
  </si>
  <si>
    <t>S-0378</t>
  </si>
  <si>
    <t>Replace Wellhead on WOT-029 IGC #2 for well logging.</t>
  </si>
  <si>
    <t>S-0005</t>
  </si>
  <si>
    <t>Transmission connection to Horizontal well #1</t>
  </si>
  <si>
    <t>S-0371</t>
  </si>
  <si>
    <t>Drill &amp; Complete Unionville Horizontal Well #1.  Replace field capacity lost through remediation (plugging) of old wells with defects</t>
  </si>
  <si>
    <t>S-0264</t>
  </si>
  <si>
    <t>Construct access road to UND-032 Headley #1</t>
  </si>
  <si>
    <t>S-0265</t>
  </si>
  <si>
    <t>Construct access road to UND-049 Mundy #1</t>
  </si>
  <si>
    <t>S-0266</t>
  </si>
  <si>
    <t>Construct access road to UND-063 Bruce #1</t>
  </si>
  <si>
    <t>S-0157</t>
  </si>
  <si>
    <t>Install barricade around SEK-002 Garvey #1</t>
  </si>
  <si>
    <t>S-0156</t>
  </si>
  <si>
    <t>Install barricade around SEK-012 Garvey #8</t>
  </si>
  <si>
    <t>S-0155</t>
  </si>
  <si>
    <t>Install barricade around SEK-013 Schlosser #4</t>
  </si>
  <si>
    <t>S-0184</t>
  </si>
  <si>
    <t>Install Barricades around UHD-045 Musgrave #4</t>
  </si>
  <si>
    <t>S-0185</t>
  </si>
  <si>
    <t>Install Barricades around UHD-046 Musgrave #5</t>
  </si>
  <si>
    <t>S-0186</t>
  </si>
  <si>
    <t>Install Barricades around UHD-050 Hardin #1</t>
  </si>
  <si>
    <t>S-0180</t>
  </si>
  <si>
    <t>Install barricades around UND - 053 Hammond #1</t>
  </si>
  <si>
    <t>S-0181</t>
  </si>
  <si>
    <t>Install barricades around UND - 056F. Skirvin #2</t>
  </si>
  <si>
    <t>S-0183</t>
  </si>
  <si>
    <t>Install Barricades around UND - 081 Smith #6</t>
  </si>
  <si>
    <t>S-0182</t>
  </si>
  <si>
    <t>Install barricades around UND- 060 Christy #3</t>
  </si>
  <si>
    <t>S-0173</t>
  </si>
  <si>
    <t>Install Barricades around UND-002 Brown #2</t>
  </si>
  <si>
    <t>S-0174</t>
  </si>
  <si>
    <t>Install Barricades around UND-007 Ealy #1</t>
  </si>
  <si>
    <t>S-0175</t>
  </si>
  <si>
    <t>Install Barricades around UND-010 Hite #1</t>
  </si>
  <si>
    <t>S-0176</t>
  </si>
  <si>
    <t>Install Barricades around UND-012 A. Neal #1</t>
  </si>
  <si>
    <t>S-0177</t>
  </si>
  <si>
    <t>Install Barricades around UND-037 O. Young #1</t>
  </si>
  <si>
    <t>S-0178</t>
  </si>
  <si>
    <t>Install Barricades around UND-038 O Young #2</t>
  </si>
  <si>
    <t>S-0179</t>
  </si>
  <si>
    <t>Install barricades around UND-048 Peterson #2</t>
  </si>
  <si>
    <t>S-0238</t>
  </si>
  <si>
    <t>Replace Wellhead on UND-059 Peterson #3 for well logging.</t>
  </si>
  <si>
    <t>S-0239</t>
  </si>
  <si>
    <t>Replace Wellhead on UND-060 Christy #3 for well logging.</t>
  </si>
  <si>
    <t>S-0240</t>
  </si>
  <si>
    <t>Replace Wellhead on UND-063 Bruce #1 for well logging.</t>
  </si>
  <si>
    <t>S-0241</t>
  </si>
  <si>
    <t>Replace Wellhead on UND-065 Christy #4 for well logging.</t>
  </si>
  <si>
    <t>S-0023</t>
  </si>
  <si>
    <t>Install surface remote pressure monitoring on 12 injection/withdrawal wells and 6 observation wells</t>
  </si>
  <si>
    <t>S-0158</t>
  </si>
  <si>
    <t>SEK-021 IGC#01 recomplete higher into formation to utilize for observation purposes. Today, the well doesn't trend with the field and is providing little value.</t>
  </si>
  <si>
    <t>S-0361</t>
  </si>
  <si>
    <t>Replace Wellhead on SEK-002 GARVEY #1 for well logging.</t>
  </si>
  <si>
    <t>S-0362</t>
  </si>
  <si>
    <t>Replace Wellhead on SEK-006 COUCH #2 for well logging.</t>
  </si>
  <si>
    <t>S-0363</t>
  </si>
  <si>
    <t>Replace Wellhead on SEK-012 GARVEY #8 for well logging.</t>
  </si>
  <si>
    <t>S-0364</t>
  </si>
  <si>
    <t>Replace Wellhead on SEK-013 SCHLOSSER #4 for well logging.</t>
  </si>
  <si>
    <t>S-0379</t>
  </si>
  <si>
    <t>Replace Wellhead on WOT-031 IGC #3 for well logging.</t>
  </si>
  <si>
    <t>S-0009</t>
  </si>
  <si>
    <t>Drilling of new vertical observation well - WOT-OBS#02 to monitor field pressures and gas migration</t>
  </si>
  <si>
    <t>S-0010</t>
  </si>
  <si>
    <t>Drilling of new vertical observation well - WOT-OBS#03 to monitor field pressures and gas migration</t>
  </si>
  <si>
    <t>S-0016</t>
  </si>
  <si>
    <t>Drilling of new vertical observation well - SEK023-OBS#02 to monitor field pressures and gas migration</t>
  </si>
  <si>
    <t>S-0267</t>
  </si>
  <si>
    <t>Construct access road to UND-007 Ealy #1</t>
  </si>
  <si>
    <t>S-0268</t>
  </si>
  <si>
    <t>Construct access road to UND-016 Robertson #1</t>
  </si>
  <si>
    <t>S-0369</t>
  </si>
  <si>
    <t>Install barricade around SEK-15 Friend #3</t>
  </si>
  <si>
    <t>S-0171</t>
  </si>
  <si>
    <t>Install Barricades around UHD-042 Musgrave #2</t>
  </si>
  <si>
    <t>S-0172</t>
  </si>
  <si>
    <t>Install Barricades around UHD-043 Musgrave #3</t>
  </si>
  <si>
    <t>S-0165</t>
  </si>
  <si>
    <t>Install Barricades around UND - 052 Hansen #1</t>
  </si>
  <si>
    <t>S-0167</t>
  </si>
  <si>
    <t>Install Barricades around UND - 059 Peterson #3</t>
  </si>
  <si>
    <t>S-0168</t>
  </si>
  <si>
    <t>Install Barricades around UND - 067 Richards #2</t>
  </si>
  <si>
    <t>S-0169</t>
  </si>
  <si>
    <t>Install Barricades around UND - 071 Bates #2</t>
  </si>
  <si>
    <t>S-0170</t>
  </si>
  <si>
    <t>Install Barricades around UND - 072 DeMolay #2</t>
  </si>
  <si>
    <t>S-0166</t>
  </si>
  <si>
    <t>Install Barricades around UND- 057 F. Skirvin #3</t>
  </si>
  <si>
    <t>S-0159</t>
  </si>
  <si>
    <t>Install Barricades around UND-003 J. Young #1</t>
  </si>
  <si>
    <t>S-0160</t>
  </si>
  <si>
    <t>Install Barricades around UND-004 Peterson #1</t>
  </si>
  <si>
    <t>S-0161</t>
  </si>
  <si>
    <t>Install Barricades around UND-029 Smith #4</t>
  </si>
  <si>
    <t>S-0162</t>
  </si>
  <si>
    <t>Install Barricades around UND-031 Skirvin #1 (Silurian)</t>
  </si>
  <si>
    <t>S-0163</t>
  </si>
  <si>
    <t>Install barricades around UND-032 Headley #1 (Silurian)</t>
  </si>
  <si>
    <t>S-0164</t>
  </si>
  <si>
    <t>Install Barricades around UND-034 Fleener #1 (Silurian)</t>
  </si>
  <si>
    <t>S-0246</t>
  </si>
  <si>
    <t>Replace Wellhead on UND-066 Gross#01 for well logging.</t>
  </si>
  <si>
    <t>S-0247</t>
  </si>
  <si>
    <t>Replace Wellhead on UND-067 Richards #2 for well logging.</t>
  </si>
  <si>
    <t>S-0248</t>
  </si>
  <si>
    <t>Replace Wellhead on UND-069 Christy #6 for well logging.</t>
  </si>
  <si>
    <t>S-0249</t>
  </si>
  <si>
    <t>Replace Wellhead on UND-070 H. Young #1 for well logging.</t>
  </si>
  <si>
    <t>S-0250</t>
  </si>
  <si>
    <t>Replace Wellhead on UND-071 Bates #2 for well logging.</t>
  </si>
  <si>
    <t>S-0251</t>
  </si>
  <si>
    <t>Replace Wellhead on UND-072 DeMolay #2 for well logging.</t>
  </si>
  <si>
    <t>S-0374</t>
  </si>
  <si>
    <t xml:space="preserve">Seismic survey &amp; processing of 10-mile x 10-mile region. </t>
  </si>
  <si>
    <t>S-0365</t>
  </si>
  <si>
    <t>Replace Wellhead on SEK-011 COUCH #6 for well logging.</t>
  </si>
  <si>
    <t>S-0366</t>
  </si>
  <si>
    <t>Replace Wellhead on SEK-014 SCHLOSSER #5 for well logging.</t>
  </si>
  <si>
    <t>S-0011</t>
  </si>
  <si>
    <t>Drilling of new vertical observation well - WOT-OBS#04 to monitor field pressures and gas migration</t>
  </si>
  <si>
    <t>S-0321</t>
  </si>
  <si>
    <t>Install barricade around WOT-047 Goss #11</t>
  </si>
  <si>
    <t>S-0322</t>
  </si>
  <si>
    <t>Install barricade around WOT-051 Bahler #1</t>
  </si>
  <si>
    <t>S-0323</t>
  </si>
  <si>
    <t>Install barricade around WOT-052 Anker #4</t>
  </si>
  <si>
    <t>S-0324</t>
  </si>
  <si>
    <t>Install barricade around WOT-053 Fulkerson #4</t>
  </si>
  <si>
    <t>S-0325</t>
  </si>
  <si>
    <t>Install barricade around WOT-056 Trachsel #1</t>
  </si>
  <si>
    <t>S-0326</t>
  </si>
  <si>
    <t>Install barricade around WOT-057 Trachsel #2</t>
  </si>
  <si>
    <t>S-0151</t>
  </si>
  <si>
    <t>Install Barricades around UND - 062 Peterson</t>
  </si>
  <si>
    <t>S-0152</t>
  </si>
  <si>
    <t>Install barricades around UND - 063 Bruce #1</t>
  </si>
  <si>
    <t>S-0153</t>
  </si>
  <si>
    <t>Install barricades around UND - 065 Christy #4</t>
  </si>
  <si>
    <t>S-0154</t>
  </si>
  <si>
    <t>Install barricades around UND- 069 Christy #6</t>
  </si>
  <si>
    <t>S-0147</t>
  </si>
  <si>
    <t>Install Barricades around UND-006 Barrow #1</t>
  </si>
  <si>
    <t>S-0148</t>
  </si>
  <si>
    <t>Install barricades around UND-013 F. Young #1</t>
  </si>
  <si>
    <t>S-0149</t>
  </si>
  <si>
    <t>Install Barricades around UND-018 J. Headley #1 (Silurian)</t>
  </si>
  <si>
    <t>S-0150</t>
  </si>
  <si>
    <t>Install Barricades around UND-049 Mundy #1</t>
  </si>
  <si>
    <t>S-0367</t>
  </si>
  <si>
    <t>Replace Wellhead on SEK-016 FRIEND #3 for well logging.</t>
  </si>
  <si>
    <t>S-0368</t>
  </si>
  <si>
    <t>Replace Wellhead on SEK-018 COUCH #8 for well logging.</t>
  </si>
  <si>
    <t>S-0017</t>
  </si>
  <si>
    <t>Drilling of new observation well to replace the plugged UND-017 Otis Young#01 to monitor field pressures and gas migration</t>
  </si>
  <si>
    <t>CEI North Bare Steel / Cast Iron Replacement Program</t>
  </si>
  <si>
    <t>As of December 31, 2020</t>
  </si>
  <si>
    <t>Group #</t>
  </si>
  <si>
    <t>PowerPlant Project Number</t>
  </si>
  <si>
    <t>Operating Center</t>
  </si>
  <si>
    <t>City</t>
  </si>
  <si>
    <t>Main Type (Mat'l)</t>
  </si>
  <si>
    <t>Estimated Install Footage - Mains</t>
  </si>
  <si>
    <t>Estimated Retire Footage - Mains</t>
  </si>
  <si>
    <t>Estimated  Project Services</t>
  </si>
  <si>
    <t>Estimated Project Cost</t>
  </si>
  <si>
    <t>ACTUAL Main Footage Installed</t>
  </si>
  <si>
    <t>ACTUAL Main Footage Retired [H]</t>
  </si>
  <si>
    <t>ACTUAL Project Services Replaced or Tied-In
[E]</t>
  </si>
  <si>
    <t xml:space="preserve">ACTUAL Service Footage Installed </t>
  </si>
  <si>
    <t>ACTUAL Project Services Retired [C]</t>
  </si>
  <si>
    <t>ACTUAL Service Footage Retired [D]</t>
  </si>
  <si>
    <t>Actual Project Investment Cost [A]</t>
  </si>
  <si>
    <t>Project Status [B]</t>
  </si>
  <si>
    <t>CSIA Recovery [K]</t>
  </si>
  <si>
    <t>Total</t>
  </si>
  <si>
    <t>08582152700</t>
  </si>
  <si>
    <t>Anderson</t>
  </si>
  <si>
    <t>Bare Steel</t>
  </si>
  <si>
    <t>posted to CPR</t>
  </si>
  <si>
    <t>Excluded from CSIA</t>
  </si>
  <si>
    <t>[F]</t>
  </si>
  <si>
    <t>08582152010</t>
  </si>
  <si>
    <t>n/a</t>
  </si>
  <si>
    <t>08582152701</t>
  </si>
  <si>
    <t>08582152703</t>
  </si>
  <si>
    <t>08582152702</t>
  </si>
  <si>
    <t>08574152706</t>
  </si>
  <si>
    <t>Marion</t>
  </si>
  <si>
    <t>Jonesboro</t>
  </si>
  <si>
    <t>08574152707</t>
  </si>
  <si>
    <t>Hartford City</t>
  </si>
  <si>
    <t>08582152704</t>
  </si>
  <si>
    <t>08582152705</t>
  </si>
  <si>
    <t>`</t>
  </si>
  <si>
    <t>08582152706</t>
  </si>
  <si>
    <t>08582152708</t>
  </si>
  <si>
    <t>08582152709</t>
  </si>
  <si>
    <t>08582152710</t>
  </si>
  <si>
    <t>08582152711</t>
  </si>
  <si>
    <t>08574152703</t>
  </si>
  <si>
    <t>08574152701</t>
  </si>
  <si>
    <t>08574152702</t>
  </si>
  <si>
    <t>08574152700</t>
  </si>
  <si>
    <t>08574152704</t>
  </si>
  <si>
    <t>08574152705</t>
  </si>
  <si>
    <t>08574152714</t>
  </si>
  <si>
    <t>08574152715</t>
  </si>
  <si>
    <t>08573352700</t>
  </si>
  <si>
    <t>Muncie</t>
  </si>
  <si>
    <t>08573352701</t>
  </si>
  <si>
    <t>08573352702</t>
  </si>
  <si>
    <t>08573352703</t>
  </si>
  <si>
    <t>08582152707</t>
  </si>
  <si>
    <t>Pendleton</t>
  </si>
  <si>
    <t>08595052700</t>
  </si>
  <si>
    <t>Terre Haute</t>
  </si>
  <si>
    <t>Bare Steel / Cast Iron</t>
  </si>
  <si>
    <t>08595452700</t>
  </si>
  <si>
    <t>Lebanon</t>
  </si>
  <si>
    <t>Zionsville</t>
  </si>
  <si>
    <t>08595452701</t>
  </si>
  <si>
    <t>08592052800</t>
  </si>
  <si>
    <t>Clarksville</t>
  </si>
  <si>
    <t>New Albany</t>
  </si>
  <si>
    <t>Cast Iron</t>
  </si>
  <si>
    <t>08574152708</t>
  </si>
  <si>
    <t>Fairmount</t>
  </si>
  <si>
    <t>08574152709</t>
  </si>
  <si>
    <t>08595052701</t>
  </si>
  <si>
    <t>08583452700</t>
  </si>
  <si>
    <t>Elwood</t>
  </si>
  <si>
    <t>08574152710</t>
  </si>
  <si>
    <t>08582152712</t>
  </si>
  <si>
    <t>08582152713</t>
  </si>
  <si>
    <t>08582152714</t>
  </si>
  <si>
    <t>08573352704</t>
  </si>
  <si>
    <t>08574152711</t>
  </si>
  <si>
    <t>08574152712</t>
  </si>
  <si>
    <t>Marion/Fairmont/Jonesboro</t>
  </si>
  <si>
    <t>09575252523</t>
  </si>
  <si>
    <t>New Castle</t>
  </si>
  <si>
    <t>09574152523</t>
  </si>
  <si>
    <t>08595552523</t>
  </si>
  <si>
    <t>Lafayette</t>
  </si>
  <si>
    <t>09595552526</t>
  </si>
  <si>
    <t>09575252525</t>
  </si>
  <si>
    <t>Hagerstown</t>
  </si>
  <si>
    <t>CSIA - COMPLIANCE</t>
  </si>
  <si>
    <t>08583352526</t>
  </si>
  <si>
    <t>Greenfield</t>
  </si>
  <si>
    <t>09575152523</t>
  </si>
  <si>
    <t>Richmond</t>
  </si>
  <si>
    <t>09582152527</t>
  </si>
  <si>
    <t>08574152540</t>
  </si>
  <si>
    <t>09573352523</t>
  </si>
  <si>
    <t>09573352526</t>
  </si>
  <si>
    <t>09573352527</t>
  </si>
  <si>
    <t>08573352529</t>
  </si>
  <si>
    <t>Bare Steel / Plastic</t>
  </si>
  <si>
    <t>08573352530</t>
  </si>
  <si>
    <t>09583452525</t>
  </si>
  <si>
    <t>09583452526</t>
  </si>
  <si>
    <t>08595052526</t>
  </si>
  <si>
    <t>09595052523</t>
  </si>
  <si>
    <t>09595052530</t>
  </si>
  <si>
    <t>09595052526</t>
  </si>
  <si>
    <t>Dana, Rockville</t>
  </si>
  <si>
    <t>09592852523</t>
  </si>
  <si>
    <t>Seymour</t>
  </si>
  <si>
    <t>09595552527</t>
  </si>
  <si>
    <t>09592052523</t>
  </si>
  <si>
    <t>09592052525</t>
  </si>
  <si>
    <t>09592652523</t>
  </si>
  <si>
    <t>Columbus</t>
  </si>
  <si>
    <t>09583352523</t>
  </si>
  <si>
    <t>Fortville</t>
  </si>
  <si>
    <t>09574152527</t>
  </si>
  <si>
    <t>09595752523</t>
  </si>
  <si>
    <t>Frankfort</t>
  </si>
  <si>
    <t>09582152525</t>
  </si>
  <si>
    <t>09574252523</t>
  </si>
  <si>
    <t>Huntington</t>
  </si>
  <si>
    <t>09574152526</t>
  </si>
  <si>
    <t>09574152525</t>
  </si>
  <si>
    <t>09574152528</t>
  </si>
  <si>
    <t>09582152531</t>
  </si>
  <si>
    <t>09582152529</t>
  </si>
  <si>
    <t>09582152528</t>
  </si>
  <si>
    <t>08582152540</t>
  </si>
  <si>
    <t>09582152523</t>
  </si>
  <si>
    <t>09592752525</t>
  </si>
  <si>
    <t>Greensburg</t>
  </si>
  <si>
    <t>08583352525</t>
  </si>
  <si>
    <t>09583252523</t>
  </si>
  <si>
    <t>Shelbyville</t>
  </si>
  <si>
    <t>09582152530</t>
  </si>
  <si>
    <t>09595052529</t>
  </si>
  <si>
    <t>Dana</t>
  </si>
  <si>
    <t>09582152532</t>
  </si>
  <si>
    <t>81 [G]</t>
  </si>
  <si>
    <t>09582152526</t>
  </si>
  <si>
    <t>09592452528</t>
  </si>
  <si>
    <t>Bloomington</t>
  </si>
  <si>
    <t>Bare Steel / Cast Iron / Plastic</t>
  </si>
  <si>
    <t>09595352523</t>
  </si>
  <si>
    <t>Danville</t>
  </si>
  <si>
    <t>09592452525</t>
  </si>
  <si>
    <t>09592452526</t>
  </si>
  <si>
    <t>09592452527</t>
  </si>
  <si>
    <t>09582152533</t>
  </si>
  <si>
    <t>09592052527</t>
  </si>
  <si>
    <t>09592052528</t>
  </si>
  <si>
    <t>13595002052220</t>
  </si>
  <si>
    <t>09595052531</t>
  </si>
  <si>
    <t>12595902052210</t>
  </si>
  <si>
    <t>Rockville</t>
  </si>
  <si>
    <t>10595402052210</t>
  </si>
  <si>
    <t>10595402052212</t>
  </si>
  <si>
    <t>12595702052213</t>
  </si>
  <si>
    <t>14595502052226</t>
  </si>
  <si>
    <t>09595552528</t>
  </si>
  <si>
    <t>11595502052212</t>
  </si>
  <si>
    <t>11595502052210</t>
  </si>
  <si>
    <t>14595502052210</t>
  </si>
  <si>
    <t>11595502052213</t>
  </si>
  <si>
    <t>09574102052523</t>
  </si>
  <si>
    <t>14574102052212</t>
  </si>
  <si>
    <t>11575202052214</t>
  </si>
  <si>
    <t>11574102052213</t>
  </si>
  <si>
    <t>15595002052210</t>
  </si>
  <si>
    <t>17595002052215</t>
  </si>
  <si>
    <t>12595002052222</t>
  </si>
  <si>
    <t>17595002052216</t>
  </si>
  <si>
    <t>12582102052213</t>
  </si>
  <si>
    <t>12595002052220</t>
  </si>
  <si>
    <t>15582102052212</t>
  </si>
  <si>
    <t>12582102052215</t>
  </si>
  <si>
    <t>10583402052210</t>
  </si>
  <si>
    <t>11583402052210</t>
  </si>
  <si>
    <t>16582102052214</t>
  </si>
  <si>
    <t>completed</t>
  </si>
  <si>
    <t>16582102052213</t>
  </si>
  <si>
    <t>10592802052210</t>
  </si>
  <si>
    <t>13573302052214</t>
  </si>
  <si>
    <t>12583402052210</t>
  </si>
  <si>
    <t>13575102052213</t>
  </si>
  <si>
    <t>12573302052210</t>
  </si>
  <si>
    <t>12583302052210</t>
  </si>
  <si>
    <t>12595002052218</t>
  </si>
  <si>
    <t>17595002052212</t>
  </si>
  <si>
    <t>10573302052210</t>
  </si>
  <si>
    <t>12595002052219</t>
  </si>
  <si>
    <t>09592052529</t>
  </si>
  <si>
    <t>12595002052210</t>
  </si>
  <si>
    <t>14573302052222</t>
  </si>
  <si>
    <t>12583402052212</t>
  </si>
  <si>
    <t>Madison</t>
  </si>
  <si>
    <t>10592002052210</t>
  </si>
  <si>
    <t>Jeffersonville</t>
  </si>
  <si>
    <t>10592002052212</t>
  </si>
  <si>
    <t>11592902052212</t>
  </si>
  <si>
    <t>Martinsville</t>
  </si>
  <si>
    <t>09595552529</t>
  </si>
  <si>
    <t>09582152534</t>
  </si>
  <si>
    <t>15574102052212</t>
  </si>
  <si>
    <t>.</t>
  </si>
  <si>
    <t>09582102052523</t>
  </si>
  <si>
    <t>09582102052525</t>
  </si>
  <si>
    <t>09595002052523</t>
  </si>
  <si>
    <t>09595002052525</t>
  </si>
  <si>
    <t>09595002052526</t>
  </si>
  <si>
    <t>13595002052213</t>
  </si>
  <si>
    <t>16595002052210</t>
  </si>
  <si>
    <t>10592402052210</t>
  </si>
  <si>
    <t>12574102052216</t>
  </si>
  <si>
    <t>12574102052215</t>
  </si>
  <si>
    <t>11574102052214</t>
  </si>
  <si>
    <t>11574102052215</t>
  </si>
  <si>
    <t>09592002052523</t>
  </si>
  <si>
    <t>09592002052525</t>
  </si>
  <si>
    <t>09592002052526</t>
  </si>
  <si>
    <t>10595002052212</t>
  </si>
  <si>
    <t>09595402052523</t>
  </si>
  <si>
    <t>10595002052011</t>
  </si>
  <si>
    <t>14573302052212</t>
  </si>
  <si>
    <t>17573302052213</t>
  </si>
  <si>
    <t>16573302052212</t>
  </si>
  <si>
    <t>15573302052212</t>
  </si>
  <si>
    <t>14582102052212</t>
  </si>
  <si>
    <t>13582102052210</t>
  </si>
  <si>
    <t>17592402052219</t>
  </si>
  <si>
    <t>12582102052216</t>
  </si>
  <si>
    <t>12592402052212</t>
  </si>
  <si>
    <t>10583302052210</t>
  </si>
  <si>
    <t>12592402052214</t>
  </si>
  <si>
    <t>17573302052221</t>
  </si>
  <si>
    <t>17582102052220</t>
  </si>
  <si>
    <t xml:space="preserve">Plastic </t>
  </si>
  <si>
    <t>17582102052221</t>
  </si>
  <si>
    <t>11592402052210</t>
  </si>
  <si>
    <t>10592002052213</t>
  </si>
  <si>
    <t>17595302052210</t>
  </si>
  <si>
    <t>15583302052215</t>
  </si>
  <si>
    <t>10595502052210</t>
  </si>
  <si>
    <t>12595502052210</t>
  </si>
  <si>
    <t>Layfayette</t>
  </si>
  <si>
    <t>15595502052219</t>
  </si>
  <si>
    <t>13595502052210</t>
  </si>
  <si>
    <t>14595502052215</t>
  </si>
  <si>
    <t>14595502052227</t>
  </si>
  <si>
    <t>11595402052212</t>
  </si>
  <si>
    <t>12574102052210</t>
  </si>
  <si>
    <t>13574102052215</t>
  </si>
  <si>
    <t>marion</t>
  </si>
  <si>
    <t>12573302052212</t>
  </si>
  <si>
    <t>14573302052213</t>
  </si>
  <si>
    <t>16573302052215</t>
  </si>
  <si>
    <t>17573302052222</t>
  </si>
  <si>
    <t>12573302052215</t>
  </si>
  <si>
    <t>11573302052213</t>
  </si>
  <si>
    <t>11573302052212</t>
  </si>
  <si>
    <t>12573302052216</t>
  </si>
  <si>
    <t>13573302052210</t>
  </si>
  <si>
    <t>15573302052213</t>
  </si>
  <si>
    <t>14573302052223</t>
  </si>
  <si>
    <t>11573302052210</t>
  </si>
  <si>
    <t>11573302052214</t>
  </si>
  <si>
    <t>13595002052217</t>
  </si>
  <si>
    <t>17583302052210</t>
  </si>
  <si>
    <t>Rushville</t>
  </si>
  <si>
    <t>14583302052217</t>
  </si>
  <si>
    <t>14583302052218</t>
  </si>
  <si>
    <t>10592702052210</t>
  </si>
  <si>
    <t>11575302052210</t>
  </si>
  <si>
    <t>11575302052212</t>
  </si>
  <si>
    <t>13595002052212</t>
  </si>
  <si>
    <t>10592702052212</t>
  </si>
  <si>
    <t>12575302052210</t>
  </si>
  <si>
    <t>11592702052212</t>
  </si>
  <si>
    <t>10592702052213</t>
  </si>
  <si>
    <t>11592702052210</t>
  </si>
  <si>
    <t>13583302052210</t>
  </si>
  <si>
    <t>16583302052215</t>
  </si>
  <si>
    <t>12575102052212</t>
  </si>
  <si>
    <t>Wrought Iron</t>
  </si>
  <si>
    <t>11575202052215</t>
  </si>
  <si>
    <t>13583302052212</t>
  </si>
  <si>
    <t>10595502052212</t>
  </si>
  <si>
    <t>12574202052210</t>
  </si>
  <si>
    <t>14574102052222</t>
  </si>
  <si>
    <t>14574102052216</t>
  </si>
  <si>
    <t>14574102052214</t>
  </si>
  <si>
    <t>14574102052217</t>
  </si>
  <si>
    <t>12574102052217</t>
  </si>
  <si>
    <t>13574102052212</t>
  </si>
  <si>
    <t>13574102052214</t>
  </si>
  <si>
    <t>14574102052215</t>
  </si>
  <si>
    <t>16574102052210</t>
  </si>
  <si>
    <t>13574102052216</t>
  </si>
  <si>
    <t>14574102052219</t>
  </si>
  <si>
    <t>14574102052220</t>
  </si>
  <si>
    <t>13574102052210</t>
  </si>
  <si>
    <t>17583302052212</t>
  </si>
  <si>
    <t>11595202052210</t>
  </si>
  <si>
    <t>Greencastle</t>
  </si>
  <si>
    <t>11595402052213</t>
  </si>
  <si>
    <t>11595402052210</t>
  </si>
  <si>
    <t>10583202052210</t>
  </si>
  <si>
    <t>11583202052214</t>
  </si>
  <si>
    <t>11583202052212</t>
  </si>
  <si>
    <t>11583202052213</t>
  </si>
  <si>
    <t>11583202052210</t>
  </si>
  <si>
    <t>14592402052216</t>
  </si>
  <si>
    <t>12595702052210</t>
  </si>
  <si>
    <t>12595702052214</t>
  </si>
  <si>
    <t>10592502052210</t>
  </si>
  <si>
    <t>Bedford</t>
  </si>
  <si>
    <t>11595902052212</t>
  </si>
  <si>
    <t>10595302052210</t>
  </si>
  <si>
    <t>10595302052212</t>
  </si>
  <si>
    <t>11595302052210</t>
  </si>
  <si>
    <t>Brownsburg</t>
  </si>
  <si>
    <t>11592002052210</t>
  </si>
  <si>
    <t>10573302052212</t>
  </si>
  <si>
    <t>17583302052217</t>
  </si>
  <si>
    <t>Dublin</t>
  </si>
  <si>
    <t>17583302052216</t>
  </si>
  <si>
    <t>16583302052216</t>
  </si>
  <si>
    <t>10592002052214</t>
  </si>
  <si>
    <t>11595302052212</t>
  </si>
  <si>
    <t>11595302052213</t>
  </si>
  <si>
    <t>11592002052215</t>
  </si>
  <si>
    <t>11592002052216</t>
  </si>
  <si>
    <t>11595002052210</t>
  </si>
  <si>
    <t>11592002052214</t>
  </si>
  <si>
    <t>13592002052212</t>
  </si>
  <si>
    <t>11592002052212</t>
  </si>
  <si>
    <t>13595002052210</t>
  </si>
  <si>
    <t>11574102052210</t>
  </si>
  <si>
    <t>11595002052212</t>
  </si>
  <si>
    <t>15595002052212</t>
  </si>
  <si>
    <t>13595002052215</t>
  </si>
  <si>
    <t>13595002052216</t>
  </si>
  <si>
    <t>11575102052212</t>
  </si>
  <si>
    <t>11575102052210</t>
  </si>
  <si>
    <t>12595002052212</t>
  </si>
  <si>
    <t>12595002052221</t>
  </si>
  <si>
    <t>13595002052218</t>
  </si>
  <si>
    <t>14595002052212</t>
  </si>
  <si>
    <t>19595002052217</t>
  </si>
  <si>
    <t>initiated</t>
  </si>
  <si>
    <t>12595502052212</t>
  </si>
  <si>
    <t>11582102052213</t>
  </si>
  <si>
    <t>12575202052213</t>
  </si>
  <si>
    <t>12575202052210</t>
  </si>
  <si>
    <t>12575202052212</t>
  </si>
  <si>
    <t>15592402052219</t>
  </si>
  <si>
    <t>12595802052210</t>
  </si>
  <si>
    <t>Crawfordsville</t>
  </si>
  <si>
    <t>12595802052213</t>
  </si>
  <si>
    <t>11595802052210</t>
  </si>
  <si>
    <t>14595802052212</t>
  </si>
  <si>
    <t>14595302052216</t>
  </si>
  <si>
    <t>14595302052213</t>
  </si>
  <si>
    <t>12595802052212</t>
  </si>
  <si>
    <t>11592402052212</t>
  </si>
  <si>
    <t>12592402052213</t>
  </si>
  <si>
    <t>14592402052212</t>
  </si>
  <si>
    <t>14592402052213</t>
  </si>
  <si>
    <t>16592402052210</t>
  </si>
  <si>
    <t>15592402052213</t>
  </si>
  <si>
    <t>11582102052210</t>
  </si>
  <si>
    <t>17582102052223</t>
  </si>
  <si>
    <t>17582102052213</t>
  </si>
  <si>
    <t>11582102052214</t>
  </si>
  <si>
    <t>11574102052216</t>
  </si>
  <si>
    <t>12574102052212</t>
  </si>
  <si>
    <t>12574102052214</t>
  </si>
  <si>
    <t>14582102052216</t>
  </si>
  <si>
    <t>Alexandria</t>
  </si>
  <si>
    <t>12573302052217</t>
  </si>
  <si>
    <t>14573302052224</t>
  </si>
  <si>
    <t>12573302052213</t>
  </si>
  <si>
    <t>11582102052212</t>
  </si>
  <si>
    <t>11583202052215</t>
  </si>
  <si>
    <t>11592002052217</t>
  </si>
  <si>
    <t>13592002052210</t>
  </si>
  <si>
    <t>12592002052214</t>
  </si>
  <si>
    <t>12592002052210</t>
  </si>
  <si>
    <t>12592002052215</t>
  </si>
  <si>
    <t>14592002052212</t>
  </si>
  <si>
    <t>14592002052213</t>
  </si>
  <si>
    <t>12582102052214</t>
  </si>
  <si>
    <t>13573302052212</t>
  </si>
  <si>
    <t>12583402052214</t>
  </si>
  <si>
    <t>Tipton</t>
  </si>
  <si>
    <t>15592602052212</t>
  </si>
  <si>
    <t>Plastic</t>
  </si>
  <si>
    <t>11592502052210</t>
  </si>
  <si>
    <t>17595502052210</t>
  </si>
  <si>
    <t>12595002052213</t>
  </si>
  <si>
    <t>12595502052213</t>
  </si>
  <si>
    <t>12595502052215</t>
  </si>
  <si>
    <t>12592702052212</t>
  </si>
  <si>
    <t>14592402052217</t>
  </si>
  <si>
    <t>12592502052214</t>
  </si>
  <si>
    <t>14592402052218</t>
  </si>
  <si>
    <t>12592502052213</t>
  </si>
  <si>
    <t>14592402052214</t>
  </si>
  <si>
    <t>12592502052210</t>
  </si>
  <si>
    <t>14592402052215</t>
  </si>
  <si>
    <t>15592402052214</t>
  </si>
  <si>
    <t>15592602052213</t>
  </si>
  <si>
    <t>12592602052214</t>
  </si>
  <si>
    <t>15592602052214</t>
  </si>
  <si>
    <t>13592602052212</t>
  </si>
  <si>
    <t>12592602052213</t>
  </si>
  <si>
    <t>17592602052210</t>
  </si>
  <si>
    <t>15592602052215</t>
  </si>
  <si>
    <t>17592602052220</t>
  </si>
  <si>
    <t>12592602052212</t>
  </si>
  <si>
    <t>12592602052210</t>
  </si>
  <si>
    <t>14595502052216</t>
  </si>
  <si>
    <t>14595502052217</t>
  </si>
  <si>
    <t>14595502052224</t>
  </si>
  <si>
    <t>12595702052212</t>
  </si>
  <si>
    <t>17595002052214</t>
  </si>
  <si>
    <t>13595002052219</t>
  </si>
  <si>
    <t>15595002052214</t>
  </si>
  <si>
    <t>15592402052215</t>
  </si>
  <si>
    <t>18595002052214</t>
  </si>
  <si>
    <t>open</t>
  </si>
  <si>
    <t>19595002052218</t>
  </si>
  <si>
    <t>18595002052215</t>
  </si>
  <si>
    <t>in service</t>
  </si>
  <si>
    <t>18595002052216</t>
  </si>
  <si>
    <t>18595002052217</t>
  </si>
  <si>
    <t>19595002052219</t>
  </si>
  <si>
    <t>19595002052220</t>
  </si>
  <si>
    <t>14595502052218</t>
  </si>
  <si>
    <t>15595502052215</t>
  </si>
  <si>
    <t>14595502052219</t>
  </si>
  <si>
    <t>12595502052216</t>
  </si>
  <si>
    <t>14595502052220</t>
  </si>
  <si>
    <t>West Lafayette</t>
  </si>
  <si>
    <t>13595502052212</t>
  </si>
  <si>
    <t>15595502052216</t>
  </si>
  <si>
    <t>15595502052217</t>
  </si>
  <si>
    <t>13595502052213</t>
  </si>
  <si>
    <t>14595502052221</t>
  </si>
  <si>
    <t>14595502052222</t>
  </si>
  <si>
    <t>15595502052218</t>
  </si>
  <si>
    <t>14595502052223</t>
  </si>
  <si>
    <t>17595002052219</t>
  </si>
  <si>
    <t>19595002052221</t>
  </si>
  <si>
    <t>17595002052220</t>
  </si>
  <si>
    <t>17595002052221</t>
  </si>
  <si>
    <t>12595002052214</t>
  </si>
  <si>
    <t>20595002052210</t>
  </si>
  <si>
    <t>19595002052222</t>
  </si>
  <si>
    <t>17595002052222</t>
  </si>
  <si>
    <t>15592402052216</t>
  </si>
  <si>
    <t>15592402052217</t>
  </si>
  <si>
    <t>15592402052218</t>
  </si>
  <si>
    <t>13592402052210</t>
  </si>
  <si>
    <t>12582102052217</t>
  </si>
  <si>
    <t>818 [J]</t>
  </si>
  <si>
    <t>11592002051213</t>
  </si>
  <si>
    <t>17592402052220</t>
  </si>
  <si>
    <t>12592402052210</t>
  </si>
  <si>
    <t>15582102052215</t>
  </si>
  <si>
    <t>12592702052210</t>
  </si>
  <si>
    <t>860 [G]</t>
  </si>
  <si>
    <t>12582102052212</t>
  </si>
  <si>
    <t>12583302052213</t>
  </si>
  <si>
    <t>15582102052217</t>
  </si>
  <si>
    <t>12595902052212</t>
  </si>
  <si>
    <t>19582102052224</t>
  </si>
  <si>
    <t>18582102052210</t>
  </si>
  <si>
    <t>20582102052212</t>
  </si>
  <si>
    <t>17582102052212</t>
  </si>
  <si>
    <t>20582102052213</t>
  </si>
  <si>
    <t>16582102052215</t>
  </si>
  <si>
    <t>15582102052218</t>
  </si>
  <si>
    <t>12583402052216</t>
  </si>
  <si>
    <t>12583402052213</t>
  </si>
  <si>
    <t>14582102052217</t>
  </si>
  <si>
    <t>14582102052213</t>
  </si>
  <si>
    <t>15582102052219</t>
  </si>
  <si>
    <t>12592302052210</t>
  </si>
  <si>
    <t>17575102052214</t>
  </si>
  <si>
    <t>14573302052214</t>
  </si>
  <si>
    <t>14573302052215</t>
  </si>
  <si>
    <t>15575102052212</t>
  </si>
  <si>
    <t>17575102052215</t>
  </si>
  <si>
    <t>18575102052218</t>
  </si>
  <si>
    <t>18575102052214</t>
  </si>
  <si>
    <t>16575102052210</t>
  </si>
  <si>
    <t>12595002052217</t>
  </si>
  <si>
    <t>13573302052213</t>
  </si>
  <si>
    <t>13592402052212</t>
  </si>
  <si>
    <t>12583302052212</t>
  </si>
  <si>
    <t>13592002052214</t>
  </si>
  <si>
    <t>12592002052213</t>
  </si>
  <si>
    <t>14582102052214</t>
  </si>
  <si>
    <t>18582102052224</t>
  </si>
  <si>
    <t>17582102052215</t>
  </si>
  <si>
    <t>18582102052225</t>
  </si>
  <si>
    <t>16582102052220</t>
  </si>
  <si>
    <t>12575102052210</t>
  </si>
  <si>
    <t>18575102052216</t>
  </si>
  <si>
    <t>12583402052215</t>
  </si>
  <si>
    <t>12583302052214</t>
  </si>
  <si>
    <t>12592802052210</t>
  </si>
  <si>
    <t>12595402052210</t>
  </si>
  <si>
    <t>12595402052212</t>
  </si>
  <si>
    <t>14595302052210</t>
  </si>
  <si>
    <t>14595302052212</t>
  </si>
  <si>
    <t>14595302052214</t>
  </si>
  <si>
    <t>12592002052216</t>
  </si>
  <si>
    <t>20583002052210</t>
  </si>
  <si>
    <t>Noblesville</t>
  </si>
  <si>
    <t>13575102052210</t>
  </si>
  <si>
    <t>14582102052215</t>
  </si>
  <si>
    <t>14583402052210</t>
  </si>
  <si>
    <t>17582102052216</t>
  </si>
  <si>
    <t>17582102052214</t>
  </si>
  <si>
    <t>17582102052217</t>
  </si>
  <si>
    <t>17573302052212</t>
  </si>
  <si>
    <t>17573302052214</t>
  </si>
  <si>
    <t>14574102052223</t>
  </si>
  <si>
    <t>17574102052210</t>
  </si>
  <si>
    <t>Marian</t>
  </si>
  <si>
    <t>15574102052210</t>
  </si>
  <si>
    <t>14595502052212</t>
  </si>
  <si>
    <t>16595702052210</t>
  </si>
  <si>
    <t>15595502052210</t>
  </si>
  <si>
    <t>14595502052213</t>
  </si>
  <si>
    <t>15595502052212</t>
  </si>
  <si>
    <t>14595502052225</t>
  </si>
  <si>
    <t>15595502052213</t>
  </si>
  <si>
    <t>15595502052214</t>
  </si>
  <si>
    <t>18582102052214</t>
  </si>
  <si>
    <t>18582102052215</t>
  </si>
  <si>
    <t>18575102052215</t>
  </si>
  <si>
    <t>18582102052222</t>
  </si>
  <si>
    <t>15582102052210</t>
  </si>
  <si>
    <t>18575102052210</t>
  </si>
  <si>
    <t>16575102052212</t>
  </si>
  <si>
    <t>13575102052214</t>
  </si>
  <si>
    <t>17575102052210</t>
  </si>
  <si>
    <t>17575102052212</t>
  </si>
  <si>
    <t>13595502052214</t>
  </si>
  <si>
    <t>14595302052215</t>
  </si>
  <si>
    <t>15573302052210</t>
  </si>
  <si>
    <t>18583502052212</t>
  </si>
  <si>
    <t>Franklin</t>
  </si>
  <si>
    <t>17592402052213</t>
  </si>
  <si>
    <t>14592402052210</t>
  </si>
  <si>
    <t>17592402052214</t>
  </si>
  <si>
    <t>15592402052210</t>
  </si>
  <si>
    <t>14583302052213</t>
  </si>
  <si>
    <t>14583302052210</t>
  </si>
  <si>
    <t>13592602052210</t>
  </si>
  <si>
    <t>16592602052210</t>
  </si>
  <si>
    <t>17583302052221</t>
  </si>
  <si>
    <t>Knightstown</t>
  </si>
  <si>
    <t>17583302052214</t>
  </si>
  <si>
    <t>14583302052221</t>
  </si>
  <si>
    <t>14583302052212</t>
  </si>
  <si>
    <t>15583302052213</t>
  </si>
  <si>
    <t>17583302052215</t>
  </si>
  <si>
    <t>15583302052216</t>
  </si>
  <si>
    <t>Cambridge City</t>
  </si>
  <si>
    <t>13582102052212</t>
  </si>
  <si>
    <t>16573302052213</t>
  </si>
  <si>
    <t>19592602052210</t>
  </si>
  <si>
    <t>18573302052210</t>
  </si>
  <si>
    <t>17573302052215</t>
  </si>
  <si>
    <t>14573302052210</t>
  </si>
  <si>
    <t>18573302052212</t>
  </si>
  <si>
    <t>18573302052227</t>
  </si>
  <si>
    <t>Yorktown</t>
  </si>
  <si>
    <t>14574102052213</t>
  </si>
  <si>
    <t>18574102052212</t>
  </si>
  <si>
    <t>Gas City</t>
  </si>
  <si>
    <t>18574102052213</t>
  </si>
  <si>
    <t>20573302052210</t>
  </si>
  <si>
    <t>20573302052212</t>
  </si>
  <si>
    <t>18575102052217</t>
  </si>
  <si>
    <t>17573302052224</t>
  </si>
  <si>
    <t>18573302052213</t>
  </si>
  <si>
    <t>17573302052216</t>
  </si>
  <si>
    <t>Parker City</t>
  </si>
  <si>
    <t>18573302052214</t>
  </si>
  <si>
    <t>16573302052210</t>
  </si>
  <si>
    <t>34-28</t>
  </si>
  <si>
    <t>19573302052212</t>
  </si>
  <si>
    <t>17573302052223</t>
  </si>
  <si>
    <t>13582102052213</t>
  </si>
  <si>
    <t>13575102052212</t>
  </si>
  <si>
    <t>15592402052212</t>
  </si>
  <si>
    <t>13574102052217</t>
  </si>
  <si>
    <t>13574102052213</t>
  </si>
  <si>
    <t>14595002052213</t>
  </si>
  <si>
    <t>17592402052210</t>
  </si>
  <si>
    <t>18592402052212</t>
  </si>
  <si>
    <t>Mitchell</t>
  </si>
  <si>
    <t>15583302052212</t>
  </si>
  <si>
    <t>17595302052213</t>
  </si>
  <si>
    <t>18583502052210</t>
  </si>
  <si>
    <t>18595302052210</t>
  </si>
  <si>
    <t>14595502052214</t>
  </si>
  <si>
    <t>18595502052210</t>
  </si>
  <si>
    <t>14582102052210</t>
  </si>
  <si>
    <t>18573302052215</t>
  </si>
  <si>
    <t>14575302052210</t>
  </si>
  <si>
    <t>16573302052217</t>
  </si>
  <si>
    <t>19573302052214</t>
  </si>
  <si>
    <t>Dunkirk</t>
  </si>
  <si>
    <t>17592602052215</t>
  </si>
  <si>
    <t>19592602052212</t>
  </si>
  <si>
    <t>20592602052210</t>
  </si>
  <si>
    <t>17592602052213</t>
  </si>
  <si>
    <t>15592602052210</t>
  </si>
  <si>
    <t>17592602052216</t>
  </si>
  <si>
    <t>19592602052213</t>
  </si>
  <si>
    <t>19592602052214</t>
  </si>
  <si>
    <t>19592602052215</t>
  </si>
  <si>
    <t>Taylorsville</t>
  </si>
  <si>
    <t>17592602052212</t>
  </si>
  <si>
    <t>19592602052216</t>
  </si>
  <si>
    <t>19582102052213</t>
  </si>
  <si>
    <t>19582102052214</t>
  </si>
  <si>
    <t>16582102052212</t>
  </si>
  <si>
    <t>19582102052215</t>
  </si>
  <si>
    <t>14595802052210</t>
  </si>
  <si>
    <t>19582102052216</t>
  </si>
  <si>
    <t>16583302052210</t>
  </si>
  <si>
    <t>17592402052215</t>
  </si>
  <si>
    <t>19582102052217</t>
  </si>
  <si>
    <t>18574102052214</t>
  </si>
  <si>
    <t>18574102052215</t>
  </si>
  <si>
    <t>19582102052219</t>
  </si>
  <si>
    <t>Chesterfield</t>
  </si>
  <si>
    <t>15582102052216</t>
  </si>
  <si>
    <t>19582102052220</t>
  </si>
  <si>
    <t>17582102052219</t>
  </si>
  <si>
    <t>18582102052213</t>
  </si>
  <si>
    <t>19582102052218</t>
  </si>
  <si>
    <t>19574102052212</t>
  </si>
  <si>
    <t>18574102052216</t>
  </si>
  <si>
    <t>19575102052210</t>
  </si>
  <si>
    <t>15575102052210</t>
  </si>
  <si>
    <t>18575102052212</t>
  </si>
  <si>
    <t>16573302052214</t>
  </si>
  <si>
    <t>Eaton</t>
  </si>
  <si>
    <t>18573302052221</t>
  </si>
  <si>
    <t>19573302052215</t>
  </si>
  <si>
    <t>19573302052216</t>
  </si>
  <si>
    <t>15595202052213</t>
  </si>
  <si>
    <t>15583302052214</t>
  </si>
  <si>
    <t>14595302052217</t>
  </si>
  <si>
    <t>15595202052210</t>
  </si>
  <si>
    <t>14592002052214</t>
  </si>
  <si>
    <t>15582102052214</t>
  </si>
  <si>
    <t>15582102052213</t>
  </si>
  <si>
    <t>14592402052219</t>
  </si>
  <si>
    <t>17595502052213</t>
  </si>
  <si>
    <t>17575102052213</t>
  </si>
  <si>
    <t>19574102052210</t>
  </si>
  <si>
    <t>16592002052210</t>
  </si>
  <si>
    <t>17592002052210</t>
  </si>
  <si>
    <t>17592002052212</t>
  </si>
  <si>
    <t>18592002052212</t>
  </si>
  <si>
    <t>16592002052212</t>
  </si>
  <si>
    <t>16592002052213</t>
  </si>
  <si>
    <t>15575102052214</t>
  </si>
  <si>
    <t>15575102052215</t>
  </si>
  <si>
    <t>15573302052214</t>
  </si>
  <si>
    <t>15575302052212</t>
  </si>
  <si>
    <t>15575302052210</t>
  </si>
  <si>
    <t>18595302052212</t>
  </si>
  <si>
    <t>17583302052218</t>
  </si>
  <si>
    <t>16583302052212</t>
  </si>
  <si>
    <t>16583302052213</t>
  </si>
  <si>
    <t>16583302052214</t>
  </si>
  <si>
    <t>16595502052210</t>
  </si>
  <si>
    <t>17595002052213</t>
  </si>
  <si>
    <t>16582102052210</t>
  </si>
  <si>
    <t>16573302052216</t>
  </si>
  <si>
    <t>17595302052217</t>
  </si>
  <si>
    <t>16582102052216</t>
  </si>
  <si>
    <t>16583302052217</t>
  </si>
  <si>
    <t>16583302052218</t>
  </si>
  <si>
    <t>18592002052210</t>
  </si>
  <si>
    <t>16592402052212</t>
  </si>
  <si>
    <t>17595502052214</t>
  </si>
  <si>
    <t>17592402052216</t>
  </si>
  <si>
    <t>17573302052217</t>
  </si>
  <si>
    <t>18582102052223</t>
  </si>
  <si>
    <t>18595002052210</t>
  </si>
  <si>
    <t>17573302052218</t>
  </si>
  <si>
    <t>17573302052210</t>
  </si>
  <si>
    <t>18595002052212</t>
  </si>
  <si>
    <t>18573302052223</t>
  </si>
  <si>
    <t>20582102052210</t>
  </si>
  <si>
    <t>18574102052217</t>
  </si>
  <si>
    <t>19582102052221</t>
  </si>
  <si>
    <t>18583502052213</t>
  </si>
  <si>
    <t>18583502052214</t>
  </si>
  <si>
    <t>17592402052217</t>
  </si>
  <si>
    <t>18583302052210</t>
  </si>
  <si>
    <t>19582102052222</t>
  </si>
  <si>
    <t>17573302052219</t>
  </si>
  <si>
    <t>17573302052220</t>
  </si>
  <si>
    <t>17592602052217</t>
  </si>
  <si>
    <t>16573302052218</t>
  </si>
  <si>
    <t>16573302052219</t>
  </si>
  <si>
    <t>16575102052213</t>
  </si>
  <si>
    <t>16575102052214</t>
  </si>
  <si>
    <t>18592002052213</t>
  </si>
  <si>
    <t>18592002052214</t>
  </si>
  <si>
    <t>16574102052212</t>
  </si>
  <si>
    <t>16582102052218</t>
  </si>
  <si>
    <t>16582102052219</t>
  </si>
  <si>
    <t>19595002052210</t>
  </si>
  <si>
    <t>19595002052212</t>
  </si>
  <si>
    <t>19573302052218</t>
  </si>
  <si>
    <t>18573302052224</t>
  </si>
  <si>
    <t>19595002052213</t>
  </si>
  <si>
    <t>18595002052213</t>
  </si>
  <si>
    <t>19595002052214</t>
  </si>
  <si>
    <t>16583302052219</t>
  </si>
  <si>
    <t>18582102052212</t>
  </si>
  <si>
    <t>18574102052218</t>
  </si>
  <si>
    <t>19573302052219</t>
  </si>
  <si>
    <t>Albany</t>
  </si>
  <si>
    <t>19573302052220</t>
  </si>
  <si>
    <t>Gaston</t>
  </si>
  <si>
    <t>18583302052212</t>
  </si>
  <si>
    <t>19583502052210</t>
  </si>
  <si>
    <t>19583502052212</t>
  </si>
  <si>
    <t>17595002052218</t>
  </si>
  <si>
    <t>17582102052210</t>
  </si>
  <si>
    <t xml:space="preserve">Bare Steel </t>
  </si>
  <si>
    <t>17595302052214</t>
  </si>
  <si>
    <t>18595302052213</t>
  </si>
  <si>
    <t>17595502052212</t>
  </si>
  <si>
    <t>18595302052214</t>
  </si>
  <si>
    <t>18595302052215</t>
  </si>
  <si>
    <t>17595302052212</t>
  </si>
  <si>
    <t>17592402052218</t>
  </si>
  <si>
    <t>Oolitic</t>
  </si>
  <si>
    <t>17583302052213</t>
  </si>
  <si>
    <t>19595002052215</t>
  </si>
  <si>
    <t>17595302052216</t>
  </si>
  <si>
    <t>19595302052210</t>
  </si>
  <si>
    <t>19595302052212</t>
  </si>
  <si>
    <t>17595302052215</t>
  </si>
  <si>
    <t>19595302052213</t>
  </si>
  <si>
    <t>18595502052213</t>
  </si>
  <si>
    <t>18595502052214</t>
  </si>
  <si>
    <t>18595502052215</t>
  </si>
  <si>
    <t>19592602052217</t>
  </si>
  <si>
    <t>19592602052218</t>
  </si>
  <si>
    <t>19592602052219</t>
  </si>
  <si>
    <t>18595502052216</t>
  </si>
  <si>
    <t>17592602052214</t>
  </si>
  <si>
    <t>19595302052214</t>
  </si>
  <si>
    <t>19595002052216</t>
  </si>
  <si>
    <t>18595502052217</t>
  </si>
  <si>
    <t>18592602052212</t>
  </si>
  <si>
    <t>19592402052210</t>
  </si>
  <si>
    <t>19592402052213</t>
  </si>
  <si>
    <t>19592402052214</t>
  </si>
  <si>
    <t>19592402052215</t>
  </si>
  <si>
    <t>18592402052214</t>
  </si>
  <si>
    <t>17583302052219</t>
  </si>
  <si>
    <t>17583302052220</t>
  </si>
  <si>
    <t>19583302052210</t>
  </si>
  <si>
    <t>19592402052217</t>
  </si>
  <si>
    <t>Harrodsburg</t>
  </si>
  <si>
    <t>18592602052213</t>
  </si>
  <si>
    <t>19592602052220</t>
  </si>
  <si>
    <t>19592002052210</t>
  </si>
  <si>
    <t>19592002052212</t>
  </si>
  <si>
    <t>2394</t>
  </si>
  <si>
    <t>19592002052213</t>
  </si>
  <si>
    <t>18592602052214</t>
  </si>
  <si>
    <t>17592602052218</t>
  </si>
  <si>
    <t>17592602052219</t>
  </si>
  <si>
    <t>19583002052210</t>
  </si>
  <si>
    <t>17574102052212</t>
  </si>
  <si>
    <t>17582102052224</t>
  </si>
  <si>
    <t>18575102052213</t>
  </si>
  <si>
    <t>17592602052221</t>
  </si>
  <si>
    <t>18592402052210</t>
  </si>
  <si>
    <t>19582102052223</t>
  </si>
  <si>
    <t>20574102052210</t>
  </si>
  <si>
    <t>19595502052210</t>
  </si>
  <si>
    <t>19595502052212</t>
  </si>
  <si>
    <t>20595002052212</t>
  </si>
  <si>
    <t>Cloverdale</t>
  </si>
  <si>
    <t>20595002052213</t>
  </si>
  <si>
    <t>TOTALS</t>
  </si>
  <si>
    <t>TOTALS - COMPLETED / IN-SERVICE</t>
  </si>
  <si>
    <t>[A] Represents only Investment Costs on Projects In Service prior to December 31, 2020, excludes Removal Costs.  Negative activity represents corrections posted to the work order during the trailing charge period.</t>
  </si>
  <si>
    <t>Charges extending beyond 2008 represents trailing charges (invoices not paid until a later date) or restoration costs after the asset is placed in service.</t>
  </si>
  <si>
    <t>[B] "Open" - Project is currently active and receiving charges, not yet in-service or complete, and not yet depreciating or receiving Post In-Service AFUDC accounting treatment.</t>
  </si>
  <si>
    <t xml:space="preserve">      "Initiated" - Project is included in the current year plan and is currently awaiting approval.</t>
  </si>
  <si>
    <t>"Suspended" - Project engineering and planning has been performed.  Project status will change to "Open" when construction begins.</t>
  </si>
  <si>
    <t>"In-Service" - Project is depreciating (deferred) and is receiving Post In-Service AFUDC.  Project is not unitized as final as-built is pending; preliminary footage data has been provided (above), if available.</t>
  </si>
  <si>
    <t>"Complete" - Project is depreciating (deferred) and is receiving Post In-Service AFUDC.</t>
  </si>
  <si>
    <t xml:space="preserve">[C] Services Retired represents services retired and not replaced.   </t>
  </si>
  <si>
    <t>[D] Service line footage retired represents the feet of service retired due to a retired or replaced service line.</t>
  </si>
  <si>
    <t>[E] Services replaced represents the number of services that remain active after the project has been completed.  The total count represents the number of steel services replaced + the number of tie-ins of existing plastic services.</t>
  </si>
  <si>
    <t>[F] This project was created to capture permit costs for group numbers: 1, 2, 3, 4, 7, 8, 9, 20, 30, 31, 32.</t>
  </si>
  <si>
    <t>[G] Group 81 and 860 are retirement only work orders, which only included removal expenses; therefore, no costs are reflected above for these work orders.</t>
  </si>
  <si>
    <t>[H] Main retirement footages may be higer or lower than installed footage.  This is attributable to dual mains being replaced with single main, or single main replaced with dual mains, service tie-overs where high pressure mains existed, proximity of existing high pressure mains to customer base and reduced customer base in some areas.</t>
  </si>
  <si>
    <t>[J] Project not identified as BS/CI until completed with the system.  Originally set up as a Gas System Improvement.</t>
  </si>
  <si>
    <t>[K] Work orders labeled "CSIA Recoverable" consist of bare steel cast iron replacement work orders that are now eligible for recovery via the CSIA order granted in 2014.  CSIA eligible work orders are those that had a zero CWIP balance or had not broken ground on January 1, 2014.  Work orders labeled "Excluded from CSIA" are not eligible and will continue to follow the BSCI replacement program.</t>
  </si>
  <si>
    <t>2022-2026 TDSIC Plan</t>
  </si>
  <si>
    <t>21583002G61220</t>
  </si>
  <si>
    <t>PUBLIC IMPROVEMENT  - DIST</t>
  </si>
  <si>
    <t xml:space="preserve">IN-NOBLESVILLE-PLEASANT ST RIVER RD TO 11TH PH 1-BASED OFF OF AVAILABLE INFORMATION WE WILL RELO 945' 2" PE, 1620' 4" PE, 200' 6" PE, 210' 8" PE MAINS AND 19 SERVICE LINES FOR ROAD RECONSTRUCTION PROJECT </t>
  </si>
  <si>
    <t>21592602G61215</t>
  </si>
  <si>
    <t xml:space="preserve">IN-COLUMBUS-LOWELL RD RECONST US 31 SB TO 200 W ~~ Relocate/replace 1915' of 2" PE &amp; 515' of 4” PE distribution mains and retire 1215' of 2" main and 1215' of 4" main for road improvement project </t>
  </si>
  <si>
    <t>21592602G61212</t>
  </si>
  <si>
    <t xml:space="preserve">IN-COLUMBUS-LOWELL RD RECONST 325 W TO 200 W ~~ Relocate/replace 115' of 2" PE and 240' of 4” PE distribution mains and retire 355' of 4" PE main and replace one service for road improvement project </t>
  </si>
  <si>
    <t>IN-MARTINSVILLE-OHIO ST FROM POSTON RD TO MORGAN ST-RELOCATE/INSTALL 4250' OF 4" PE MAIN AND 68 SERVICES. RETIRE 1800' OF 4" PE MAIN AND 2450 OF 4" BARE STEEL MAIN AND 68 SERVICES.  ROAD RECONSTRUCTION PROJECT</t>
  </si>
  <si>
    <t>21583502G61214</t>
  </si>
  <si>
    <t xml:space="preserve">IN-EDINBURGH-SR 252, US 31 TO I65 ~~ Relocate/install 460' of 4" PE and 6505' of 2" PE distribution mains and 56 services. Retire 7065' of 4" steel main and 56 services for road improvement project </t>
  </si>
  <si>
    <t>21592402G61212</t>
  </si>
  <si>
    <t xml:space="preserve">IN-BLOOMINGTON-SR 45 AND PETE ELLIS ROAD ~~ Relocate/install 980' of 2" PE and 1775' of 6" PE distribution mains and 5 services. Retire 1757' of 4"/ 6" mains and 5 services for road improvement project </t>
  </si>
  <si>
    <t>21592402G61213</t>
  </si>
  <si>
    <t xml:space="preserve">IN-BLOOMINGTON-E 3RD (SR46) AT SMITH ROAD ~~ Relocate/install 1335' of 4" PE and 400' of 6” steel distribution mains and 12 services. Retire 1335' of 4" PE and 400' of steel mains and 12 services for road improvement project </t>
  </si>
  <si>
    <t>21592402G61219</t>
  </si>
  <si>
    <t>IN-BLOOMINGTON-VERNAL PIKE CONNECTOR DES#1702957 &amp; 1900 ~~  Relocate/install 800' of 4" steel main and 5 services. Retire 800' of 4" steel main and 5 services for road improvement project.</t>
  </si>
  <si>
    <t>20574102G61216</t>
  </si>
  <si>
    <t>UPLAND</t>
  </si>
  <si>
    <t xml:space="preserve">Des #1800168 SR 22 RR &amp; Pavement Project-Upland-Grant Co - Final plans have yet to be published. Based off of the available information, we will relocate approximately 3700’ of 4" main and replace 28 services. This main appears to be in conflict with an INDOT road reconstruction project. </t>
  </si>
  <si>
    <t>20573302G61213</t>
  </si>
  <si>
    <t xml:space="preserve">Des #1701336 SR 28 Bridge Replacement-Delaware Co - Final plans have yet to be published. Based off of the available information, we will relocate approximately 200’ of 4" main and replace 2 services. This main appears to be in conflict with an INDOT bridge replacement project. </t>
  </si>
  <si>
    <t>20575102G61213</t>
  </si>
  <si>
    <t xml:space="preserve">Des #1702769 Main St-Ft Wayne Ave &amp; NE St Bike Project-Richmond - Final plans have yet to be published. Based off of the available information, we will relocate approximately 1176’ of 8" main and replace 11 services. This main appears to be in conflict with an INDOT bridge replacement project. </t>
  </si>
  <si>
    <t>20573302G61218</t>
  </si>
  <si>
    <t xml:space="preserve">Des #1600789 SR 103 Road Recon-Henry Co - Final plans have yet to be published. Based off of the available information, we will relocate approximately 4000’ of 2" main and replace 44 services. This main appears to be in conflict with an INDOT road reconstruction project. </t>
  </si>
  <si>
    <t>20573302G61219</t>
  </si>
  <si>
    <t xml:space="preserve">Muncie Sanitary District - CSO 023 Project-Various Streets - Final plans have yet to be published. Based off of the available information, we will relocate approximately 825’ of 2" main and replace 15 services. This main appears to be in conflict with a city sewer separation project. </t>
  </si>
  <si>
    <t>20583302G61214</t>
  </si>
  <si>
    <t xml:space="preserve">Des #1702899-1702901 US 40-SR 103 Pavement Project-Henry Co - Final plans have yet to be published. Based off of the available information, we will relocate approximately 2500’ of 2” main and replace 31 services. This main appears to be in conflict with an INDOT road reconstruction project. </t>
  </si>
  <si>
    <t>20574102G61215</t>
  </si>
  <si>
    <t xml:space="preserve">Des #1902041 US 24 &amp; SR 9 Project-Huntington Co - Final plans have yet to be published. Based off of the available information, we will relocate approximately 865’ of 6" main and replace 2 services. This main appears to be in conflict with an INDOT road project. </t>
  </si>
  <si>
    <t>20583302G61210</t>
  </si>
  <si>
    <t xml:space="preserve">Des #1702912 US 52 Bridge Project-Rush Co </t>
  </si>
  <si>
    <t>20583302G61213</t>
  </si>
  <si>
    <t xml:space="preserve">Des #1701338 US 40 Bridge Project-Henry Co - Final plans have yet to be published. Based off of the available information, we will relocate approximately 800’ of 4” main and replace no services. This main appears to be in conflict with an INDOT bridge replacement project. </t>
  </si>
  <si>
    <t>21583502G61215</t>
  </si>
  <si>
    <t>IN-FRANKLIN-YANDES &amp; MADISON ST PROJECT-JOHNSON CO ~~ Relocate/install 1700' of 2” PE distribution mains and 7 services. Retire 1700' of 2" PE main and 7 services for road improvement project</t>
  </si>
  <si>
    <t>21592402G61214</t>
  </si>
  <si>
    <t>IN-BLOOMINGTON-SR 45 WIDENING NEAR BUNGER RD ~~ Relocate/install 1500' of 4” PE distribution mains and 12 services. Retire 1500' of 4" mains and 12 services for road improvement project</t>
  </si>
  <si>
    <t>21583502G61213</t>
  </si>
  <si>
    <t>IN-FRANKLIN-US 31 INTERSECTION PROJECTS ~~ Relocate/install 300' of 2” PE and 150' of 4" PE distribution mains. Retire 300' of 2" PE and 150' of 4" PE mains for  road improvement project</t>
  </si>
  <si>
    <t>21583002G61214</t>
  </si>
  <si>
    <t>IN-NOBLESVILLE-SR 32 LAKEVIEW TO 19TH ST-BASED OFF OF AVAILABLE INFORMATION WE WILL RELO ~70' 2" PE MAIN FOR ROAD RECONSTRUCTION</t>
  </si>
  <si>
    <t>21583002G61215</t>
  </si>
  <si>
    <t>IN-NOBLESVILLE-LITTLE CHICAGO-PATH PROJECT-BASED OFF OF AVAILABLE INFORMATION WE WILL RELO 300' 2" PE, 80' 4" STL, 1700' 6" STL MAIN FOR BRIDGE REPLACEMENT/NEW PATH CONSTRUCTION</t>
  </si>
  <si>
    <t>21583002G61216</t>
  </si>
  <si>
    <t>IN-NOBLESVILLE-SR 32/MILL CREEK ROB-BASED OFF OF AVAILABLE INFORMATION WE WILL RELO 1400' 4" PE MAIN AND 2 SERVICE LINES FOR INTERSECTION IMPROVEMENT</t>
  </si>
  <si>
    <t>21583002G61217</t>
  </si>
  <si>
    <t xml:space="preserve">IN-NOBLESVILLE-SR 38/OAKMONT DR ROB-BASED OFF OF AVAILABLE INFORMATION WE WILL RELO 330' 2" PE MAIN &amp; 1100' 4" PE MAIN FOR INTERSECTION IMPROVEMENT </t>
  </si>
  <si>
    <t>21583002G61218</t>
  </si>
  <si>
    <t>IN-NOBLESVILLE-SR 38/LOGAN ST ROB-BASED OFF AVAILABLE INFORMATION WE WILL RELO 500' 6" STL MAIN AND 3 SERVICE LINES FOR INTERSECTION IMPROVEMENT</t>
  </si>
  <si>
    <t>21583002G61219</t>
  </si>
  <si>
    <t>FISHERS</t>
  </si>
  <si>
    <t>IN-FISHERS-106TH/HOOSIER RD ROB-BASED OFF OF AVAILABLE INFORMATION WE WILL RELO 750' 8" STL, 400' 6" PE, 200' 4" PE MAIN AND 10 SERVICE LINES FOR INTERSECTION IMPROVEMENT</t>
  </si>
  <si>
    <t>IN-MARTINSVILLE-SOUTH ST-INDOT-DES.NO.1702961-RELOCATE/INSTALL 1015' OF 4" PE MAIN AND 290' OF 2" PE MAIN AND 8 SERVICES.  RETIRE 160' OF 2" PE MAIN, 115' OF 2" BARE STEEL MAIN, AND 1385 OF 4" BARE STEEL MAIN AND 8 SERVICES.  ROAD RECONSTRUCTION PROJECT</t>
  </si>
  <si>
    <t>21583502G61216</t>
  </si>
  <si>
    <t>IN-SHELBYVILLE-MCKAY RD &amp; MILLER ST RAB ~~ Relocate/install 800' of 4” PE &amp; 980' of 6" steel distribution mains. Retire 800' of 4" PE and 980' of 6" steel mains for road improvement project</t>
  </si>
  <si>
    <t>21592402G61215</t>
  </si>
  <si>
    <t>IN-BLOOMINGTON-SR 45 INTER IMPR-MONROE CO ~~ Relocate/install 1200' of  4” PE distribution mains and 3 services. Retire 1200' of 4" PE main and 3 services for road improvement project</t>
  </si>
  <si>
    <t>IN-GREENFIELD-CR 600 W ~~ INDOT DES. NO. 1702756 SEGMENT B - Install 1,380’ of 6” Steel, 1,615’ of 6” PE, 645’ of 4” PE, 1,845’ of 2” PE, and 1 Regulator Station.  Retire 1,675’ of 6” Steel, 1,035’ of 6” PE, 410’ of 4” PE, 2,150’ of 2” PE, and 1 Regulator Station.  Replace 15 Services.  Necessary for road reconstruction.</t>
  </si>
  <si>
    <t>21595302G61210</t>
  </si>
  <si>
    <t>IN-LEBANON-GRANT ST-PHASE 1~~RELOCATE/INSTALL 150' OF 6" STEEL AND 300' OF 2" STEEL DISTRIBUTION MAINS, AND 3 SERVICES.  RETIRE 150' OF 6" STEEL AND 300' OF 2" STEEL DISTRIBUTION MAINS, AND 3 SERVICES FOR ROAD IMPROVEMENT PROJECT.</t>
  </si>
  <si>
    <t>21595302G61212</t>
  </si>
  <si>
    <t>IN-LEBANON-GRANT ST-PHASE 2~~RELOCATE/INSTALL 1400' OF 4" PE DISTRIBUTION MAIN AND 9 SERVICES.  RETIRE 1400' OF 4" PE DISTRIBUTION MAIN AND 9 SERVICES FOR ROAD IMPROVEMENT PROJECT.</t>
  </si>
  <si>
    <t>21595502G61210</t>
  </si>
  <si>
    <t>ROMNEY</t>
  </si>
  <si>
    <t>IN-ROMNEY-US HWY 231-PASSING LANES~~RELOCATE/INSTALL 4400' OF 8" STEEL DISTRIBUTION MAIN AND 3 SERVICES.  RETIRE  4400' OF 8" STEEL DISTRIBUTION MAIN AND 3 SERVICES FOR ROAD IMPROVEMENT PROJECT.</t>
  </si>
  <si>
    <t>21592602G61217</t>
  </si>
  <si>
    <t>IN-SEYMOUR-O'BRIEN ST AT 4TH ST RAB ~~ Relocate/install 300' of 6" steel distribution mains and retire 300' of 6" steel mains to accommodate road improvement project</t>
  </si>
  <si>
    <t>21595002G61212</t>
  </si>
  <si>
    <t>IN-GREENCASTLE-US HWY 231-CULVERTS~~RELOCATE/INSTALL 1000' OF 4" STEEL DISTRIBUTION MAIN.  RETIRE 1000' OF 4" STEEL DISTRIBUTIN MAIN FOR ROAD IMPROVEMENT PROJECT.</t>
  </si>
  <si>
    <t>21592002G61210</t>
  </si>
  <si>
    <t>Clarksville-Blackiston Mill Rd Bridge No. 51-INSTALL 1 NEW SERVICE.  RETIRE 110' OF 2" PE MAIN AND 1 SERVICE-BRIDGE/ROAD RECONSTRUCTION PROJECT</t>
  </si>
  <si>
    <t>21574102G61210</t>
  </si>
  <si>
    <t xml:space="preserve">Des #2001581 SR 15 Bridge Culvert Project-Grant Co - Final plans have yet to be published. Based off of the available information, we will relocate approximately 800’ of 6” main and replace no services. This main appears to be in conflict with an INDOT culvert replacement project. </t>
  </si>
  <si>
    <t>21573302G61210</t>
  </si>
  <si>
    <t xml:space="preserve">Des #1593238 SR 38 Bridge over Big Blue River-Henry Co - Final plans have yet to be published. Based off of the available information, we will relocate approximately 800’ of 6” main and replace 2 services. This main appears to be in conflict with an INDOT bridge replacement project. </t>
  </si>
  <si>
    <t>21574102G61212</t>
  </si>
  <si>
    <t xml:space="preserve">City of Huntington - Long Term Sewer Project - Final plans have yet to be published. Based off of the available information, we will relocate approximately 8300’ of 4” main and replace 25 services. This main appears to be in conflict with a city sewer project. </t>
  </si>
  <si>
    <t>21573302G61212</t>
  </si>
  <si>
    <t xml:space="preserve">Des #1600783 SR 28 Road Recon-Delaware Co - Final plans have yet to be published. Based off of the available information, we will relocate approximately 400’ of 2” main and replace 15 services. This main appears to be in conflict with an INDOT road reconstruction project. </t>
  </si>
  <si>
    <t>21573302G61213</t>
  </si>
  <si>
    <t>HAGERSTOWN</t>
  </si>
  <si>
    <t xml:space="preserve">Wayne Co - Bridge 194 South St-Hagerstown - Final plans have yet to be published. Based off of the available information, we will relocate approximately 600’ of 4” main and replace no services. This main appears to be in conflict with a county bridge replacement project. </t>
  </si>
  <si>
    <t>21582102G61215</t>
  </si>
  <si>
    <t>IN-PENDLETON-US 36/SR 9-BASED OFF OF AVAILABLE INFORMATION WE WILL RELO 1500' 2" PE, 1300' 4" PE, 150' 6" STL MAINS DUE TO ROAD RECONSTRUCTION</t>
  </si>
  <si>
    <t>21575102G61210</t>
  </si>
  <si>
    <t xml:space="preserve">Bridge #47 NW L Street - Richmond - Final plans have yet to be published. Based off of the available information, we will relocate approximately 600’ of 6” main and replace 2 services. This main appears to be in conflict with a county bridge replacement project. </t>
  </si>
  <si>
    <t>21592002G61214</t>
  </si>
  <si>
    <t>IN-NEW ALBANY-KAMER MILLER RD INT - Relocate 1,000’ of 6” PE, 915’ of 4” PE, 455’ of 2” PE, and 9 Services.  Necessary for intersection reconstruction.</t>
  </si>
  <si>
    <t>21583502G61218</t>
  </si>
  <si>
    <t>BARGERSVILLE</t>
  </si>
  <si>
    <t>IN-BARGERSVILLE-SMOKEY ROW RD DRAINAGE~~ - Relocate 585’ of 4” PE and 2 Services.  Necessary for drainage improvements.</t>
  </si>
  <si>
    <t>21592402G61217</t>
  </si>
  <si>
    <t>IN-MARTINSVILLE-LAKE DETURK PRIM. SPILLWAY – Replace 195’ of 3” PE with 205’ of 4” PE.  Necessary for the Spillway reconstruction.</t>
  </si>
  <si>
    <t>21595002G61220</t>
  </si>
  <si>
    <t>IN-CLINTON-SR 163 OVER BROUILLETS CREEK-DES #1701589: relocate/install 500' of 6" plastic main &amp; retire 500' of 6" plastic main for a bridge replacement project.</t>
  </si>
  <si>
    <t>21595002G61221</t>
  </si>
  <si>
    <t>IN-CLINTON-9TH ST-DES #1800239: relocate/install 700' of 2" plastic main &amp; 6 services &amp; retire 700' of 2" plastic main &amp; 6 services for road reconstruction and storm sewer improvement project.</t>
  </si>
  <si>
    <t>21595302G61216</t>
  </si>
  <si>
    <t>IN-AVON-DAN JONES RD FROM MAIN RD TO CR 100 S-DES #1801463: relocate/install 2700' of 2" plastic main &amp; 10 service &amp; retire 2700' of 2" plastic main &amp; 10 services for road reconstruction and storm sewer installation project.</t>
  </si>
  <si>
    <t>21595002G61222</t>
  </si>
  <si>
    <t>IN-CLOVERDALE-US 231-DES #1800151: relocate/install 500' of 4" steel main &amp; retire 500' of steel main for bridge/culvert replacement project</t>
  </si>
  <si>
    <t>21595002G61223</t>
  </si>
  <si>
    <t xml:space="preserve">IN-TERRE HAUTE-13TH &amp; 8TH ST-DES #1801932: install 550' of 6" plastic main &amp; 6 services. Retire 625' of 2" plastic main, 495' of 6" steel main, 380' of 4" steel main &amp; 6 services for roundabout/bridge/road reconstruction &amp; storm sewer improvement project. </t>
  </si>
  <si>
    <t>21595302G61222</t>
  </si>
  <si>
    <t>IN-BROWNSBURG-CR 700 FROM SR 267 TO CR 900 E- DES #1701590 - based on available information: relocate/install 5000' of 6" plastic main, 500' of 4" plastic main, 1000' of 2" plastic main &amp; 15 services. Retire 5000' of 6" steel main, 500' of 4" plastic main, 1000' of 2" plastic main &amp; 15 services for road reconstruction &amp; storm sewer improvement project.</t>
  </si>
  <si>
    <t>21595302G61224</t>
  </si>
  <si>
    <t>IN-ZIONSVILLE-CR 800 &amp; OAK ST: based on available information - relocate/install 3000' of 6" plastic main, 100' of 2" plastic main, &amp; 8 services. Retire 2500' of 6" plastic main, 400' of 2" plastic main, &amp; 8 services for road reconstruction/roundabout/storm sewer installation project.</t>
  </si>
  <si>
    <t>RURAL EXTENSION</t>
  </si>
  <si>
    <t>GEORGETOWN</t>
  </si>
  <si>
    <t>IN-GEORGETOWN-SB560 OFFSITE EXPANSION ~~</t>
  </si>
  <si>
    <t>IN-GREENWOOD-WORTHSVILLE RD INTERCHANGE there are 2 inch bottlenecks and large subdivision on end of 1 way feed in area where growth is expected with new Worthsville Road interchange with I-65. Install 3,560' of 6" main. This is one way feed to 622 customers fed by 2" main.</t>
  </si>
  <si>
    <t>N-XA-11505</t>
  </si>
  <si>
    <t>17595502G51210</t>
  </si>
  <si>
    <t>IN-LAFAYETTE-KOSSUTH ST-UPRATE GAS MAIN, (LORI LEE) - Project area operating at 15psig and will be Uprated to 60psig MAOP.  Area has 3,959' of main, and 754' of service lines with 119 services. The gas main was installed between 1965 and 1968 and 60 of the 119 services have no information on the service card. Uprate needed to retire station and to bolster pressure in area. Project has gone from an uprate to a total replacement per Operations because of existing location of mains and service lines and age of pipe. There are 112 steel services with no established MAOP with no established MAOP IN-LAFAYETTE-KOSSUTH ST-UPRATE GAS MAIN, (LORI LEE) - Project area operating at 15psig and will be Uprated to 60psig MAOP.  Area has 3,959' of main, and 754' of service lines with 119 services. The gas main was installed between 1965 and 1968 and 60 of the 119 services have no information on the service card. Uprate needed to retire station and to bolster pressure in area. Project has gone from an uprate to a total replacement per Operations because of existing location of mains and service lines and age of pipe. There are 112 steel services with no established MAOP with no established MAOP</t>
  </si>
  <si>
    <t>N-XA-11506</t>
  </si>
  <si>
    <t>17595502G51212</t>
  </si>
  <si>
    <t>WEST LAFAYETTE</t>
  </si>
  <si>
    <t>IN-WEST LAFAYETTE-KLONDIKE AREA 1- ELEVATE/RETEST IN-WEST LAFAYETTE-KLONDIKE AREA 1-ELEVATE/RETEST. Area is operating at 20PSIG and will be Uprated to 60PSIG MAOP. Uprate area has 27,734' of main and 19,908' of service line that feeds 419 services. 300' of 6" PE and 225' of 2" PE will be installed to create a tie. Uprate need to bolster pressure in area. There are 5 steel services and 3 plastic services with no established MAOP</t>
  </si>
  <si>
    <t>N-XA-11514</t>
  </si>
  <si>
    <t>18595302G51212</t>
  </si>
  <si>
    <t xml:space="preserve">IN-PLAINFIELD-25 PSIG SYSTEM AREA . Uprate area fed from Regulator Stations #46000027 and #46000066 at 25 PSIG and will be uprated to 60psig MAOP. Uprate area includes 16.56 miles (87,287')of gas main &amp; 41.67 miles (206,758') of service lines and 2,625 services. 35 services will need to be replaced or retested. Regulator Stations #46000027 and #46000066 will be retired. Uprate is needed to bolster pressure in area and to retire reg stations. There are 1,280 steel services and 41 plastic services with no established MAOP IN-PLAINFIELD-25 PSIG SYSTEM AREA . Uprate area fed from Regulator Stations #46000027 and #46000066 at 25 PSIG and will be uprated to 60psig MAOP. Uprate area includes 16.56 miles (87,287')of gas main &amp; 41.67 miles (206,758') of service lines and 2,625 services. 35 services will need to be replaced or retested. Regulator Stations #46000027 and #46000066 will be retired. Uprate is needed to bolster pressure in area and to retire reg stations. There are 1,280 steel services and 41 plastic services with no established MAOP.  </t>
  </si>
  <si>
    <t>N-XA-11538</t>
  </si>
  <si>
    <t>18595502G51210</t>
  </si>
  <si>
    <t>IN-WEST LAFAYETTE-KLONDIKE AREA 2 IN-WEST LAFAYETTE-KLONDIKE AREA 2 - Uprate 33.84 miles of gas main &amp; 21.75 miles of service lines from 27 to 54 PSIG. Total services 1,513. 992' of 2" plastic main will be retested and 61 services will need to be replaced or retested. Lafayette system reliability improvement.</t>
  </si>
  <si>
    <t>N-XA-11539</t>
  </si>
  <si>
    <t>18595502G51212</t>
  </si>
  <si>
    <t>IN-WEST LAFAYETTE-KLONDIKE AREA 3-UPRATE GAS MAIN Uprate 20.53 miles of gas main &amp; 17.98 miles of service lines from 18 to 54 PSIG. Total services 1,184. No main but 28 services will need to be replaced or retested.</t>
  </si>
  <si>
    <t>N-XA-11722</t>
  </si>
  <si>
    <t>IN-FRANKFORT-SR 28-VALVE REPAIR SR 28 Valve Repair, 12" Valve feeding Frito Lay factory.  Safety improvement.</t>
  </si>
  <si>
    <t>N-XA-11723</t>
  </si>
  <si>
    <t xml:space="preserve">IN-WEST LAFAYETTE-BROWN ST-UPRATE GAS MAIN   BROWN ST ~~UPRATE GAS MAIN  to improve system reliability </t>
  </si>
  <si>
    <t>N-XA-11725</t>
  </si>
  <si>
    <t>IN-FISHERS-SOUTHEASTERN PKWY --- Install approximately 2,100' of 8" PE on Southeastern Parkway, from Olio Rd east to Jack Walker Ln to help overloaded 6" main on Olio Rd.  No services included on project. 
 INSTALL 8" MAIN</t>
  </si>
  <si>
    <t>N-XA-11739</t>
  </si>
  <si>
    <t>IN-YORKTOWN-7900 N COUNTY ROAD 925 W Encroachment project  customer build a barn on existing 4" plastic distribution main in easement.  Relocate 100'  section of 4" main from building corner.</t>
  </si>
  <si>
    <t>N-XA-11762</t>
  </si>
  <si>
    <t xml:space="preserve">IN - Brownsburg - Acre Lane Area - Uprate Brownsburg - Uprate Acre Lane Area, (MAOP) from 25 to 60 PSIG, Retire Regulator Station #46000016. Uprate area includes 17,509’ of gas main and 19,475’of service lines. There are also 197 services of which 26 will need to be retested/replaced due to insufficient pressure test or threaded fittings. There are 27 steel services and 2 plastic services with no established MAOP with no established MAOP, Project area is part of BSCI project N-2279 slated for 2021 Station to be retired </t>
  </si>
  <si>
    <t>N-XA-11763</t>
  </si>
  <si>
    <t>17595302G50210</t>
  </si>
  <si>
    <t>IN- PLAINFIELD - MAXWELLTON - UPRATE  PLAINFIELD-MAXWELLTON UPRATE currently , fed by regulator station 46000030, MAOP will be uprated from 20 PSIG TO 60 PSIG. Uprate area includes 16,230' of main which is made up off 2", 3" and 4" plastic and steel pipe. Also in uprate area are 7,632’of service lines that feed 179 services. Uprate needed to bolster pressure in area and to retire reg station. There are 36 steel services and 1 plastic services with no established MAOP. Install 2085' of 2" main and 37 services.</t>
  </si>
  <si>
    <t>N-XA-11772</t>
  </si>
  <si>
    <t>IN - Danville - 100N - Virginia - Install main (100N - Virginia) Install ~ 2100' of 6" PE on CR 100N/10th St from east of Polley Dr to west of Virginia Dr 400' of 2"PE. Increases minimum pressure in 60-psig system  to 29 psig from 21 psig, Help gas pressure drop from new growth on west side of Plainfield. (0 - Services)</t>
  </si>
  <si>
    <t>N-XA-11803</t>
  </si>
  <si>
    <t>CARMEL</t>
  </si>
  <si>
    <t>IN-CARMEL-W 106TH ST -- INSTALL 8IN MAIN Tie together two 8" steel mains on 106th st just east of Torrey Pines Circle (creek crossing).  Expected Improvement: Provides 2-4 psi increase in Carmel/Zionsville area and improves reliability of the system if we were to lose stations 12 or 62.</t>
  </si>
  <si>
    <t>N-XA-11804</t>
  </si>
  <si>
    <t>IN-DALEVILLE-S CR 800 W -- REPLACE MAIN Replace ~ 6500' of 4" with 6" PE on CR 800W from RS #1386 outlet south to existing 6" main.  Expected Improvement: Increases minimum pressure in 60-psig system  to 42.3 psig from 5.2 psig</t>
  </si>
  <si>
    <t>N-XA-11805</t>
  </si>
  <si>
    <t>IN-CARMEL-JEFFRIES PL-INSTALL 2IN PL MAIN Install ~ 150' of 2" PE on Jeffries Pl from E 126th south to existing 2" main. Expected Improvement: Increases pressure in neighborhood to 39 psig from 29 psig</t>
  </si>
  <si>
    <t>N-XA-11806</t>
  </si>
  <si>
    <t xml:space="preserve">IN-NOBLESVILLE-FISHERS SOUTHEASTERN PARKWAY /  E 126TH ST Install approximately 4,100' of 6" PE on Southeastern Parkway, from Florida Rd north to E 126th St.  Install approximately 650' of 4" PE on E 126th St, from Southeastern Parkway west to existing 4" plastic main. </t>
  </si>
  <si>
    <t>N-XA-11807</t>
  </si>
  <si>
    <t>IN-RICHMOND-S J &amp;23RD ST -- REPLACE MAIN &amp; SERVICES MOD project set up for 2021, engineer to be done in 2020. ENE Engineering. 22 customer transferred from 2" S main (10#) to 6" main (54#).</t>
  </si>
  <si>
    <t>18592602G51210</t>
  </si>
  <si>
    <t>IN-COLUMBUS-COLUMBUS SOUTHSIDE HP LOOP install 2.75 miles of 6 inch steel HP main to loop HP system south of Columbus for increased system pressure and reliability</t>
  </si>
  <si>
    <t>NWTDSIC01</t>
  </si>
  <si>
    <t>SYSTEM IMPROVEMENT - SAFETY AND RELIABILITY- STORAGE</t>
  </si>
  <si>
    <t xml:space="preserve">IN-Wolcott Storage Field - Replace 2- 4" Valves, 2 - 6" Valves and 1- 16" Valve </t>
  </si>
  <si>
    <t>NWTDSIC02</t>
  </si>
  <si>
    <t>LEBANON LP</t>
  </si>
  <si>
    <t>Replace final exterior station lighting with new poles and LED lights to increase safety, light quality and energy efficiency.</t>
  </si>
  <si>
    <t>NWTDSIC03</t>
  </si>
  <si>
    <t>Replace Lighting inside compressor building with LED Fixtures to  increase safety, light quality and energy efficiency</t>
  </si>
  <si>
    <t>SETDSIC01</t>
  </si>
  <si>
    <t>JEFFERSON LP</t>
  </si>
  <si>
    <t xml:space="preserve">Install Fire Pump and tank hose monitors - ensure plant safety for enhanced system reliability </t>
  </si>
  <si>
    <t>SETDSIC02</t>
  </si>
  <si>
    <t>Replace final exterior station lighting with new poles and LED lights to increase safety, light quality and energy efficiency</t>
  </si>
  <si>
    <t>SETDSIC03</t>
  </si>
  <si>
    <t>Replace  exterior station lighting with new poles and LED lights to increase safety, light quality and energy efficiency.</t>
  </si>
  <si>
    <t>TARGETED ECONOMIC DEVELOPMENT</t>
  </si>
  <si>
    <t>20573302G61222</t>
  </si>
  <si>
    <t xml:space="preserve">Des # 1700751 MUNCIE-ARTS &amp; CULTURAL TRAIL - Final plans have yet to be published. Based off of the available information, we will relocate approximately 2600’ of 2” main and replace 56 services. This main appears to be in conflict with a city trail &amp; road project. </t>
  </si>
  <si>
    <t>20583002G61210</t>
  </si>
  <si>
    <t>IN-NOBLESVILLE-146TH STREET AT ALLISONVILLE ROAD- BASED OFF OF AVAILABLE INFORMATION WE WILL RELO 875' 2" PE, 875' 6" PE, 1050' 8" PE, 1300' 12" STL MAINS AND 7 SERVICE LINES DUE TO INTERSECTION IMPROVEMENT</t>
  </si>
  <si>
    <t>21583002G61210</t>
  </si>
  <si>
    <t xml:space="preserve">IN-FISHERS-106TH/CUMBERLAND BRIDGE 187-BASED OFF OF THE AVAILABLE INFORMATION WE WILL RELO 1,000' 6" PE MAIN FOR BRIDGE REPLACEMENT PROJECT </t>
  </si>
  <si>
    <t>21595502G61213</t>
  </si>
  <si>
    <t>IN-WEST LAFAYETTE-MOREHOUSE RD-ROAD RECONSTRUCTION~~RELOCATE/INSTALL 4500' OF 6" PE MAIN, AND 13 SERVICES.  RETIRE 4000' OF 6" STEEL AND 500' OF 4" PE DISTRIBUTION MAINS, AND 13 SERVICES FOR ROAD IMPROVEMENT PROJECT.</t>
  </si>
  <si>
    <t>IN-BLOOMINGTON-W FULLERTON PIKE PH 3 ~~INDOT-DES.NO.1802977-RELOCATE/INSTALL 1675' OF 2" PE MAIN AND 16 SERVICES.  RETIRE 2265 OF 2" PE MAIN AND 16 SERVICES.  -ROAD RECONSTRUCTION PROJECT</t>
  </si>
  <si>
    <t>20575102G61210</t>
  </si>
  <si>
    <t xml:space="preserve">Wayne Co - Bridge No. 720 Rehab - Final plans have yet to be published. Based off of the available information, we will relocate approximately 500’ of 12” main and replace 1 services. This main appears to be in conflict with county bridge replacement project. </t>
  </si>
  <si>
    <t>IN-MARTINSVILLE-INDOT-DES.NO.1802868 &amp; 1802869-RELOCATE/INSTALL 7300' OF 2" PE MAIN AND 72 SERVICES.  RETIRE 7300' OF 2" PE MAIN AND 72 SERVICES.  BIKE &amp; PEDESTRIAN PATH PROJECT</t>
  </si>
  <si>
    <t>21595502G61216</t>
  </si>
  <si>
    <t>IN-LAFAYETTE-OLD US HWY 231-REPLACE BRIDGE~~RELOCATE/INSTALL 300' OF 8" STEEL DISTRIBUTION MAIN.  RETIRE 300' OF 8" STEEL DISTRIBUTION MAIN.</t>
  </si>
  <si>
    <t>21582102G61210</t>
  </si>
  <si>
    <t>IN-PENDLETON-SR 13/CR 800S-BASED OFF OF THE AVAILABLE INFORMATION WE WILL RELO 425' 4" PE MAIN DUE TO ROAD RECONSTRUCTION</t>
  </si>
  <si>
    <t>21583002G61222</t>
  </si>
  <si>
    <t>IN-CARMEL-96TH/COLLEGE-BASED OFF OF THE AVAILABLE INFORMATION WE WILL RELO 450' 4" STL, 500' 4" PE MAINS AND 5 SERVICE LINES DUE TO INTERSECTION IMPROVEMENT</t>
  </si>
  <si>
    <t>21583502G61210</t>
  </si>
  <si>
    <t>IN-GREENWOOD-COUNTY LINE RD FROM SR 37 TO SR 135-RELOCATE/INSTALL 12100' OF 6" PE MAIN, 100' OF 4" PE MAIN, AND 43 SERVICES.  RETIRE 500' OF 2" BARE STEEL MAIN, 100' OF 4" BARE STEEL MAIN, 12100' OF 6" PE MAIN, AND 43 SERVICES.  ROAD WIDENING/RECONSTRUCTION PROJECT</t>
  </si>
  <si>
    <t>21583302G61210</t>
  </si>
  <si>
    <t xml:space="preserve">Des #1900190 SR 1 Structure Project-Wayne Co - Final plans have yet to be published. Based off of the available information, we will relocate approximately 400’ of 4” main and replace no services. This main appears to be in conflict with an INDOT culvert replacement project. </t>
  </si>
  <si>
    <t>21582102G61214</t>
  </si>
  <si>
    <t xml:space="preserve">Des #1900251 SR 128 Pavement Project-Madison Co - Final plans have yet to be published. Based off of the available information, we will relocate approximately 600’ of 2” main and replace 10 services. This main appears to be in conflict with an INDOT road reconstruction project. </t>
  </si>
  <si>
    <t>21573302G61214</t>
  </si>
  <si>
    <t xml:space="preserve">Des #1702884 SR 3 Structure Project-Delaware Co - Final plans have yet to be published. Based off of the available information, we will relocate approximately 600’ of 4” main and replace no services. This main appears to be in conflict with an INDOT culvert replacement project. </t>
  </si>
  <si>
    <t>21574102G61213</t>
  </si>
  <si>
    <t xml:space="preserve">Des #1900239 SR 124 Structure Project-Huntington Co - Final plans have yet to be published. Based off of the available information, we will relocate approximately 600’ of 4” main and replace no services. This main appears to be in conflict with an INDOT culvert replacement project. </t>
  </si>
  <si>
    <t>21583002G61225</t>
  </si>
  <si>
    <t>IN-NOBLESVILLE-SR 37/191ST ST-BASED OFF OF THE AVAILABLE INFORMATION WE WILL RELO 550' 4" PE MAIN DUE TO INTERSECTION IMPROVEMENT</t>
  </si>
  <si>
    <t>21592602G61210</t>
  </si>
  <si>
    <t>IN-COLUMBUS-SR 11 OVER DENOIS CREEK-BASED OFF OF THE AVAILABLE INFORMATION WE WILL RELO 700' 4" STL HP DISTR MAIN DUE TO BRIDGE REPLACEMENT</t>
  </si>
  <si>
    <t>21583502G61217</t>
  </si>
  <si>
    <t>IN-BARGERSVILLE-S. SR 135 DES 1800033 - Install 7,095’ of 8” PE, 1,840’ of 6” PE, and 825’ of 2” PE.  Retire 7,250’ of 8” Steel, 1,270’ of 8” PE, 1,850’ of 6” PE, 35’ of 4” PE, and 1,090’ of 2” PE.  Replace 15 Services.  Necessary for road reconstruction.</t>
  </si>
  <si>
    <t>21595002G61214</t>
  </si>
  <si>
    <t>IN-TERRE HAUTE-I-70 OVER ROBINSON RD-DES #1900178-193: based on available information - relocate/install 300' of 4" steel main &amp; retire 300' of 4" steel main for bridge replacement project.</t>
  </si>
  <si>
    <t>21595002G61216</t>
  </si>
  <si>
    <t>IN-TERRE HAUTE-I-70 OVER CSX RR-DES #1900195-198: based on available information - relocate/install 300' of 2" plastic main &amp; retire 300' of 2" plastic main for bridge replacement project.</t>
  </si>
  <si>
    <t>21595302G61215</t>
  </si>
  <si>
    <t>NORTH SALEM</t>
  </si>
  <si>
    <t>IN-NORTH SALEM-SR 75-DES #1801720: based on available information - relocate/install 1000' of 8" plastic main &amp; retire 1000' of 8" plastic main for road drainage project.</t>
  </si>
  <si>
    <t>21595302G61217</t>
  </si>
  <si>
    <t>IN-AVON-DAN JONES RD FROM CR 100 S TO CR 150 S-DES #1901763: relocate/install 3000' of 4" plastic main, 300' of 2" plastic main &amp; 8 services. Retire 3000' of 4" plastic main, 300' of 2" plastic main &amp; 8 services for road reconstruction, bridge replacement, &amp; storm sewer installation project.</t>
  </si>
  <si>
    <t>21595302G61221</t>
  </si>
  <si>
    <t>IN-AVON-DAN JONES RD FROM US 36 TO CR 100 N - based on available information: relocate/install 1000' of 8" plastic main, 700' of 6" plastic main, 3600' of 4" plastic main, 300' of 2" plastic main &amp; 15 services. Retire 1000' of 8" plastic main, 700' of 6" plastic main, 3600' of 4" plastic main, 300' of 2" plastic main &amp; 15 services for road reconstruction and storm sewer installation project.</t>
  </si>
  <si>
    <t>21595302G61223</t>
  </si>
  <si>
    <t>IN-ZIONSVILLE-TEMPLIN RD-BRIDGE #217 OVER LITTLE EAGLE CREEK: relocate/install 585' of 2" plastic main &amp; retire 515' of 2" plastic main for bridge replacement project.</t>
  </si>
  <si>
    <t>SETDSIC12</t>
  </si>
  <si>
    <t xml:space="preserve">IN-CLARKSVILLE-BLACKISTON MILL ROAD (PHASE 2) FROM KROGER DRIVE TO ALTRA DRIVE-BASED ON AVAILABLE INFORMATION WE WILL RELOCATE APPROXIMATELY 2,700' OF 4" &amp; 2" PE MAIN AND REPLACE 21 SERVICES DUE TO CONFLICTS WITH ROAD RECONSTRUCTION PROJECT. </t>
  </si>
  <si>
    <t>N-XA-12070</t>
  </si>
  <si>
    <t>SYSTEM IMPROVEMENT - SAFETY AND RELIABILITY - TRANS</t>
  </si>
  <si>
    <t xml:space="preserve">IN-GREENFIELD-EAST INDY LATERAL PHASE 1 East Indy Lateral Phase 1: Replace or parallel existing ~1.5 miles of 6" HPS (Fortville lateral) with  20" HPS from the 18"/20" south to reg station #55-110. Phase 1 provides a large gain in capacity for the Noblesville and Fortville/Greenfield area, both experiencing extremely high growth rates. </t>
  </si>
  <si>
    <t xml:space="preserve">IN- Franklin-E King Dr. New feed into Franklin 60# system, dramatically increase pressures/capacities on eastside. Install new feed into 60# system from south of town by extending 6" HPS from the 8" MPS at E King Dr/SR44 (east of I-65) and head south to the 8" HPS at E Greensburg Rd. Set new 60# station at SR44. </t>
  </si>
  <si>
    <t>In-Jeffersonville-Port Rd. to Loop Rd. Overloaded mains, increase capacity of system feeding multiple large users at the Port. Extend 6"/8" HPS from Port Rd reg station south along Port Rd to Loop Rd. Install new regulator station.</t>
  </si>
  <si>
    <t>IN-New Palestine-N-X-15210  Retire 1580’ of 2 inch ineffectively coated steel and 1 reg station by installing 1580 feet 2 inch plastic and 2500’ of 6” plastic and replace 15 services.  Tie in will be to larger surrounding 60  MAOP system</t>
  </si>
  <si>
    <t>N-XA- 11808</t>
  </si>
  <si>
    <t xml:space="preserve">IN-NOBLESVILLE-WATERSIDE DR -- INSTALL 2IN PL MAIN Install ~65' of 2" plastic main to create two way feed between a subdivision and apartment complex.  </t>
  </si>
  <si>
    <t>N-XA- 11809</t>
  </si>
  <si>
    <t>IN-NEW CASTLE-MAIN &amp; JEFFRY ST -- TIE IN EXISTING MAINS Install ~ 100' of 4" PE on S. Main St at Jeffry St/Woodbrooke Ct intersection to connect 3 dead end mains. Expected Improvement: Increases minimum pressure in 18-psig system  to 11.7 psig from 9.7 psig</t>
  </si>
  <si>
    <t>N-XA- 11810</t>
  </si>
  <si>
    <t xml:space="preserve">IN-MUNCIE-W JACKSON ST -- Install ~5300' of 6" PE in R/W on W Jackson St west of Nebo Rd to 3" MPS at N CR 500 W. Expected Improvement: Increases the pressure in the 50-psig system in the residential area NW of here up from 18 psig to ~ 40 psig. </t>
  </si>
  <si>
    <t>N-XA- 11811</t>
  </si>
  <si>
    <t>ORESTES</t>
  </si>
  <si>
    <t>IN-ORESTES-MICHIGAN ST -- INSTALL 2IN MAIN Install ~ 350' of 2" PE on Ontario St from Broadway St to Oak St, and ~ 400' of 2" PE on Erie St from E 1st St to Broadway.  Expected Improvement: Increases minimum pressure in 20-psig system  to 7.6 psig from 10.8 psig</t>
  </si>
  <si>
    <t>N-XA- 11812</t>
  </si>
  <si>
    <t>INDIANAPOLIS</t>
  </si>
  <si>
    <t>IN-INDIANAPOLIS-E 96TH ST -- INSTALL 4IN MAIN Install ~3000' of 4" PE on E 96th St between Meridian St and College Ave.   Expected Improvement: Provide ~20 psig increase on 2" main that serves Drury Inn and Firebirds restaurant. This would also increase pressures throughout the area just N of SR 31.</t>
  </si>
  <si>
    <t>N-XA- 11813</t>
  </si>
  <si>
    <t>IN-NOBLESVILLE-E 216TH ST -- INSTALL 8" MAIN Install ~4200 ft of 6-8" MP PE on E 216th St, between Stringtown Pike and South State Rd 19. There are also two small segments of 2" PE in the intersection of Stringtown Pike and E 216th that should be replaced. Expected Improvement: This will raise pressure in the Stringtown Pike area from 27 to 44 psig, and support future growth in the area around Morse Reservoir.</t>
  </si>
  <si>
    <t>N-XA- 11814</t>
  </si>
  <si>
    <t>IN-NOBLESVILLE-FISHERS  CYNTHEANNE RD  Install approximately 650' of 4" PE on E 126th St, from Southeastern Parkway west to existing 4" plastic main.</t>
  </si>
  <si>
    <t>N-XA- 11815</t>
  </si>
  <si>
    <t>IN-FISHERS-E 136TH ST --  Install approximately 11,000' of 8" PE on E 136th St, from Jack Walker Ln east to existing 8" plastic main at Stiles Dr. to increase pressure and reliability in high growth area</t>
  </si>
  <si>
    <t>N-XA- 11816</t>
  </si>
  <si>
    <t>ANDREWS</t>
  </si>
  <si>
    <t>IN-ANDREWS-RIVERFORK RD -- DERATE MAIN Install approximately 800' of 6" HDPE from station  south to W 200 N. Install approximately 450' of 2" HDPE to RS 72167001714.  Down grade section of 6" steel transmission main (running to Andrews, IN) to 60psig MAOP and retire RS 72147001716, 72166001715, 72166001717 and 726267001714.  Also removes approx. 30 high pressure services.</t>
  </si>
  <si>
    <t>N-XA- 11817</t>
  </si>
  <si>
    <t>IN-DALEVILLE-S 800 W -- UPGRADE MAIN Upgrade system to 60psig MAOP and remove regulator station on mostly newer plastic system. Cut and Retest approximately 933' of 2" steel, and upgrade 8,185' of 4" and 2" plastic (upgrade from 26psig MAOP to 60 psig MAOP).  Replace approximately 5 of 25 services.  Retire regulator station 56344001369</t>
  </si>
  <si>
    <t>N-XA- 11818</t>
  </si>
  <si>
    <t xml:space="preserve">IN-FISHERS-116TH ST-INSTALL 6IN PL MAIN Install ~2200' of 6" PE on 116th from Eller Rd to Wilderness Trail. Expected Improvement: ~ 5 psig increase in area on east side of main install.  This also adds to the reliability by providing another feed from the west. </t>
  </si>
  <si>
    <t>N-XA- 11819</t>
  </si>
  <si>
    <t>IN-ANDERSON-N MADISON AVE-REPLACE 2IN MAIN Replace ~2000' of 2" PE/Steel with 4" PE on N Madison Ave (Monticello Dr to Greenway Dr), or install ~ 1200' of 4" PE (Hazlett St to Riverview Dr) across White River.  Expected Improvement: When replaced, we could lose RS 1002 on a 50HDD day and still keep all residential customers on line. In late 2016 there was an outage in this residential area since RS 1002 failed. ~ 850 customers in the area.</t>
  </si>
  <si>
    <t>N-XA- 11820</t>
  </si>
  <si>
    <t>IN-SHERIDAN-S CALIFORNIA ST -- INSTALL 2IN MAIN Install ~ 750' of 2" PE on W 5th St and S California St from Elm Ave to alley south of W 3rd St (may be opportunity to install shorter section of main instead in easement from W 4th to W 3rd).  Expected Improvement: Increases minimum pressure in 30-psig system  to 16.1 psig from 9.5 psig</t>
  </si>
  <si>
    <t>N-XA- 11821</t>
  </si>
  <si>
    <t>INGALLS</t>
  </si>
  <si>
    <t>IN-INGALLS-REFORMATORY RD -- INSTALL 6IN MAIN Install ~ 9500' of 6" PE on Reformatory Rd to add a second feed to a one way feed system, from 4" plastic main at S 650 W east to 8" steel coming out of RS 55410000114.  Will also significantly help pressure issue in area of Maple Trails Subdivision for future section and additional subdivisions in high growth area.  No services included on project.</t>
  </si>
  <si>
    <t>N-XA-11517</t>
  </si>
  <si>
    <t>17595502G51214</t>
  </si>
  <si>
    <t>IN-LAFAYETTE-DAVIS DR-UPGRADE GAS MAIN, Replace 38,131' of 2" PE Main, Replace 477 Services. Project area is 1950's steel prone to leaks. IN-LAFAYETTE-DAVIS DR-UPGRADE GAS MAIN, Replace 38,131' of 2" PE Main, Replace 477 Services. Project area is 1950's steel prone to leaks.</t>
  </si>
  <si>
    <t>N-XA-11766</t>
  </si>
  <si>
    <t>THORNTOWN</t>
  </si>
  <si>
    <t>IN-THORNTOWN-SR 47-OLD TBS RETIREMENT SR 47 ~~OLD TBS RETIREMENT,RETIRE OLD TBS FOR THORNTOWN.  RETIRE ALL VALVES AND PIPING STILL ACTIVE WITHIN STATION.  REMOVE ALL FENCE, GRAVEL AND PIPING SO LAND CAN BE RETURNED TO OWNER.  Safety and reliability.</t>
  </si>
  <si>
    <t>N-XA-11767</t>
  </si>
  <si>
    <t>IN-LAFAYETTE-BECK LN-UPRATE GAS MAIN BECK LN ~~UPGRADE GAS MAIN, UPRATE (East) SYSTEM SERVED BY BECK  Station #59000091 and CAYUGA  #59000090 Station FROM 15 PSIG TO 60 PSIG.  RETIRE REGULATOR STATION. Replace 16,770' of main and 407 meters</t>
  </si>
  <si>
    <t>N-XA-11768</t>
  </si>
  <si>
    <t>IN-LAFAYETTE-CAYUGA CT-UPRATE GAS MAIN CAYUGA CT ~~~~UPGRADE GAS MAIN, UPRATE (West) SYSTEM SERVED BY BECK  Station #59000091 and CAYUGA  #59000090 Station FROM 15 PSIG TO 60 PSIG.  RETIRE REGULATOR STATION. Retire and replace 13,758' of main, and 240 services.</t>
  </si>
  <si>
    <t>N-XA-11802</t>
  </si>
  <si>
    <t>IN-UPLAND-S 8TH ST -- DERATE MAIN Down grade HPD 8" steel main to be able to retire of one or two Upland stations and remove approximately 27 high pressure services.  Safety and reliability. May require RS 66284000513 to be rebuilt</t>
  </si>
  <si>
    <t>N-XA-12033</t>
  </si>
  <si>
    <t>MOORESVILLE</t>
  </si>
  <si>
    <t>IN-MOORESVILLE-BARGERSVILLE-SECOND MP FEED GSP RECOMMENDATION
Provide second MP feed from the south on Bargersville 600# system  Town of Mooresville is a large single feed town, with pressure issues noted from the past cold winters. This will provide reliability and help add future capacity</t>
  </si>
  <si>
    <t>N-XA-12068</t>
  </si>
  <si>
    <t>IN-GREENWOOD-MP SYSTEM IMPROVEMENT TIE INS MP System Improvement Tie Ins.  Extensive development in Greenwood Area - Amazon, etc.
-2 miles 8 HDPE along Whiteland Rd
-10,870' 6 hdpe along Honey Creek
-1770' 4 HDPE along Cutsinger</t>
  </si>
  <si>
    <t>N-XA-12071</t>
  </si>
  <si>
    <t xml:space="preserve">IN-GREENFIELD-REGULATOR STATION-INSTALL Install small double cut regulator station on CR W 1000 S at intersection with 6" transmission line to feed into both the 18# and 60# systems here. Location:  39.959362, -85.841086.  Brings 20# system above recommended minimums, additional feed into 60# system. </t>
  </si>
  <si>
    <t>NWTDSIC04</t>
  </si>
  <si>
    <t>Install new Station inlet water knockout vessel designed for inlet slug capacity of 700 gallons.  Improved withdrawal capability from field in support of Lafayette growth.</t>
  </si>
  <si>
    <t>NWTDSIC05</t>
  </si>
  <si>
    <t>WOT-046 F. Ponto#03 - Install 2-3/8" tubing and packer and 3/8" stainless capillary unit. Work includes wellhouse and separator system for additional storage field withdrawals to ensure Lafayette system reliability</t>
  </si>
  <si>
    <t>NWTDSIC06</t>
  </si>
  <si>
    <t>WOT-051 Bahler#01 -Install 2-3/8" tubing and packer and 3/8" stainless capillary unit. Work includes wellhouse and separator system for additional storage field withdrawals to ensure Lafayette system reliability</t>
  </si>
  <si>
    <t>NWTDSIC07</t>
  </si>
  <si>
    <t>WOT-023 F. Ponto#01 - Install 2-3/8" tubing and packer and 3/8" stainless capillary unit. Work includes wellhouse and separator system.</t>
  </si>
  <si>
    <t>NWTDSIC08</t>
  </si>
  <si>
    <t>WOT-025 F. Ponto#02 -Install 2-3/8" tubing and packer and 3/8" stainless capillary unit. Work includes wellhouse and separator system for additional storage field withdrawals to ensure Lafayette system reliability</t>
  </si>
  <si>
    <t>NWTDSIC09</t>
  </si>
  <si>
    <t>WOT-018 M. Ponto#04 - Install 2-3/8" tubing and packer and 3/8" stainless capillary unit. Work includes wellhouse and separator system.</t>
  </si>
  <si>
    <t>NWTDSIC10</t>
  </si>
  <si>
    <t>WOT-020 P. Mathew#02 - Install 2-3/8" tubing and packer and 3/8" stainless capillary unit. Work includes wellhouse and separator system for additional storage field withdrawals to ensure Lafayette system reliability</t>
  </si>
  <si>
    <t>NWTDSIC11</t>
  </si>
  <si>
    <t>WOT-022 P. Mathew#03 - Install 2-3/8" tubing and packer and 3/8" stainless capillary unit. Work includes wellhouse and separator system.</t>
  </si>
  <si>
    <t>NWTDSIC12</t>
  </si>
  <si>
    <t>WOT-043 P.Mathew#04 -Install 2-3/8" tubing and packer and 3/8" stainless capillary unit. Work includes wellhouse and separator system.</t>
  </si>
  <si>
    <t>NWTDSIC13</t>
  </si>
  <si>
    <t>WOT-034 Sheets#2 - Install 2-3/8" tubing and packer and 3/8" stainless capillary unit. Work includes wellhouse and separator system for additional storage field withdrawals to ensure Lafayette system reliability</t>
  </si>
  <si>
    <t>NWTDSIC14</t>
  </si>
  <si>
    <t>WOT-050 A. Mathew#02 -Install 2-3/8" tubing and packer and 3/8" stainless capillary unit. Work includes wellhouse and separator system.</t>
  </si>
  <si>
    <t>NWTDSIC15</t>
  </si>
  <si>
    <t>WOT-042 O. Mathew#02 - Install 2-3/8" tubing and packer and 3/8" stainless capillary unit. Work includes wellhouse and separator system for additional storage field withdrawals to ensure Lafayette system reliability</t>
  </si>
  <si>
    <t>NWTDSIC16</t>
  </si>
  <si>
    <t>WOT-041 V. Mathew#03 - Install 2-3/8" tubing and packer and 3/8" stainless capillary unit. Work includes wellhouse and separator system for additional storage field withdrawals to ensure Lafayette system reliability</t>
  </si>
  <si>
    <t>NWTDSIC17</t>
  </si>
  <si>
    <t>WOT-017 M. Ponto#03 - Install 2-3/8" tubing and packer and 3/8" stainless capillary unit. Work includes wellhouse and separator system for additional storage field withdrawals to ensure Lafayette system reliability</t>
  </si>
  <si>
    <t>NWTDSIC18</t>
  </si>
  <si>
    <t>WOT-036 IGC#06 Install 2-3/8" tubing and packer and 3/8" stainless capillary unit. Work includes wellhouse and separator system for additional storage field withdrawals to ensure Lafayette system reliability</t>
  </si>
  <si>
    <t>NWTDSIC19</t>
  </si>
  <si>
    <t>WOT-031 IGC#03 Install 2-3/8" tubing and packer and 3/8" stainless capillary unit. Work includes wellhouse and separator system for additional storage field withdrawals to ensure Lafayette system reliability</t>
  </si>
  <si>
    <t>NWTDSIC20</t>
  </si>
  <si>
    <t>WOT-060 Sanford#02 Install 2-3/8" tubing and packer and 3/8" stainless capillary unit. Work includes wellhouse and separator system for additional storage field withdrawals to ensure Lafayette system reliability</t>
  </si>
  <si>
    <t>NWTDSIC21</t>
  </si>
  <si>
    <t>WOT-047 Goss#11 Install 2-3/8" tubing and packer and 3/8" stainless capillary unit. Work includes wellhouse and separator system for additional storage field withdrawals to ensure Lafayette system reliability</t>
  </si>
  <si>
    <t>NWTDSIC22</t>
  </si>
  <si>
    <t>WOT-049 Goss#12 Install 2-3/8" tubing and packer and 3/8" stainless capillary unit. Work includes wellhouse and separator system for additional storage field withdrawals to ensure Lafayette system reliability</t>
  </si>
  <si>
    <t>SETDSIC04</t>
  </si>
  <si>
    <t>Install compression at Dolan Station Current Pipe Capacity Option 1 - Backup existing Large Compressor</t>
  </si>
  <si>
    <t>SETDSIC05</t>
  </si>
  <si>
    <t xml:space="preserve">Install Backup Generator  - ensure plant operation for enhanced system reliability during power outage event </t>
  </si>
  <si>
    <t>21583302G61212</t>
  </si>
  <si>
    <t>IN-GREENFIELD-5TH ST CULVERT REPLACE-RELO 100' 2" PE Relocate 2" PE distribution main &amp; 1 SERVICE LINE for culvert replacement</t>
  </si>
  <si>
    <t>20582102G61210</t>
  </si>
  <si>
    <t xml:space="preserve">Des #1800242-1800243-1800244 Washington St-Alexandria - Final plans have yet to be published. Based off of the available information, we will relocate approximately 1250’ of 2” main and replace 15 services. This main appears to be in conflict with an INDOT road reconstruction project. </t>
  </si>
  <si>
    <t>20573302G61221</t>
  </si>
  <si>
    <t xml:space="preserve">Muncie Sanitary District - CSO 027 Project-Various Streets - Final plans have yet to be published. Based off of the available information, we will relocate approximately 1600’ of 2” main and replace 58 services. This main appears to be in conflict with a city sewer separation project. </t>
  </si>
  <si>
    <t>20575102G61215</t>
  </si>
  <si>
    <t xml:space="preserve">City of Richmond - Peacock Rd Recon from 11th to 18th - Final plans have yet to be published. Based off of the available information, we will relocate approximately 1688’ of 12” main and replace 23 services. This main appears to be in conflict with a city road reconstruction project. </t>
  </si>
  <si>
    <t>21583002G61212</t>
  </si>
  <si>
    <t>IN-CARMEL-111TH/MONON CENTER RAB-BASED OFF OF THE AVAILABLE INFORMATION WE WILL RELO 300' 4" PE MAIN DUE TO INTERSECTION IMPROVEMENT</t>
  </si>
  <si>
    <t>21583002G61213</t>
  </si>
  <si>
    <t>IN-FISHERS-CONNOR PRAIRIE N &amp; S-BASED OFF OF THE AVAILABLE INFORMATION WE WILL RELO ~1,800' 6" PE, 200' 2" PE, AND 3 SERVICE LINES DUE TO COUNTY DRAINAGE PROJECT</t>
  </si>
  <si>
    <t>21583002G61223</t>
  </si>
  <si>
    <t>IN-NOBLESVILLE-CUMBERLAND RD 150TH TO CUMBERLAND PT-BASED OFF OF THE AVAILABLE INFORMATION WE WILL RELO 3200' 6" PE, 100' 2" PE, AND 2 SERVICE LINES DUE TO ROAD RECONSTRUCTION</t>
  </si>
  <si>
    <t>21583002G61224</t>
  </si>
  <si>
    <t>IN-CARMEL-146TH/CAREY RD RAB-BASED OFF OF THE AVAILABLE INFORMATION WE WILL RELO 500' 2"PE, 1200' 4" PE, 4400' 8" STL, AND 7 SERVICE LINES DUE TO INTERSECTION IMPROVEMENT</t>
  </si>
  <si>
    <t>21573302G61215</t>
  </si>
  <si>
    <t xml:space="preserve">Des #1593230 SR 3 Reconstruction-Henry Co - Final plans have yet to be published. Based off of the available information, we will relocate approximately 600’ of 8” main and replace no services. This main appears to be in conflict with an INDOT road reconstruction project. </t>
  </si>
  <si>
    <t>21583002G61226</t>
  </si>
  <si>
    <t>WESTFIELD</t>
  </si>
  <si>
    <t>IN-WESTFIELD-161ST/MONON PEDESTRIAN UNDERPASS-BASED OFF OF THE AVAILABLE INFORMATION WE WILL RELO 100' 2" PE, 800' 4" PE MAINS DUE TO PEDESTRIAN UNDERPASS CONSTRUCTION FOR MONON TRAIL</t>
  </si>
  <si>
    <t>21583502G61212</t>
  </si>
  <si>
    <t>IN-SHELBYVILLE-SR 44/I-74 LIFT STATION/FM INSTALL-BASED OFF OF THE AVAILABLE INFORMATION WE WILL RELO 50' 4" PE, 1250' 6" PE, AND 2 SERVICE LINES FOR PROPOSED LIFT STATION AND FORCE MAIN</t>
  </si>
  <si>
    <t>21583302G61213</t>
  </si>
  <si>
    <t>IN-FORTVILLE-CR 200W/FORTVILLE PIKE-BASED OFF OF THE AVAILABLE INFORMATION WE WILL RELO 1600' 4" PE AND 10 SERVICE LINES FOR PROPOSED WALK PATH</t>
  </si>
  <si>
    <t>21583302G61214</t>
  </si>
  <si>
    <t>IN-NEW PALESTINE-CR 600W/US 52 TO DOE CREEK-BASED OFF OF THE AVAILABLE INFORMATION WE WILL RELO 2800' 2" PE, 6800' 4" PE, 1200' 8" PE AND 45 SERVICE LINES FOR ROAD RECONSTRUCTION</t>
  </si>
  <si>
    <t>21592402G61216</t>
  </si>
  <si>
    <t>IN-BEDFORD-JOHN A WILLIAMS BLVD ~~ RAB DES 1902792 - Relocate 350’ of 6” PE and 2 Services.  Necessary for the construction of a Round-a-bout.</t>
  </si>
  <si>
    <t>21592002G61212</t>
  </si>
  <si>
    <t>IN-JEFFERSONVILLE-CHARLESTOWN PIKE ~~ - Relocate 3,000’ of 4” PE and 5 Services.  Necessary for road reconstruction.</t>
  </si>
  <si>
    <t>21595302G61219</t>
  </si>
  <si>
    <t>IN-ZIONSVILLE-I-465/I-865 INTERCHANGE-DES #1600854: based on available information - relocate/install 1200' of 4" plastic main &amp; retire 1200' of 4" plastic main for the highway interchange modification project.</t>
  </si>
  <si>
    <t>21583002G61227</t>
  </si>
  <si>
    <t xml:space="preserve">IN-NOBLESVILLE-PLEASANT ST-11TH TO 19TH PH 2-BASED OFF OF AVAILABLE INFORMATION WE WILL RELO 600' 2" PE, 2900' 4" PE, 750' 8" PE, AND 30 SERVICE LINES FOR ROAD RECONSTRUCTION PROJECT </t>
  </si>
  <si>
    <t>N-XA-12032</t>
  </si>
  <si>
    <t>CRANE</t>
  </si>
  <si>
    <r>
      <t>IN-CRANE-REPLACE WITH 8IN HP MAIN GSP RECOMMENDATION
Replace 4" 400# main with 8", starting at Crane PP outlet.  Existing system at capacity, any new growth wil</t>
    </r>
    <r>
      <rPr>
        <sz val="11"/>
        <rFont val="Calibri"/>
        <family val="2"/>
        <scheme val="minor"/>
      </rPr>
      <t>l require  the 4" to be upsized.</t>
    </r>
  </si>
  <si>
    <t>IN-SEYMOUR-BURKHART BLVD AT E 4TH STREET GSP RECOMMENDATION
INSTALL 5.18 MILES OH 8 INCH HDPE FOR MP FEED TO FREEMAN FIELD INDUSTRIAL PARK
Existing system gets down to ~20 psig on cold days. Area has multiple light industrial company's and continues to grow.  Route would parallel 4.63 mile route of new bypass around south-east side of Seymour to the Industrial Park.</t>
  </si>
  <si>
    <t>N-X-4810</t>
  </si>
  <si>
    <t>IN-YORKTOWN- UPRATE  THE TOWN OF YORKTOWN FROM 18# TO 54# TO COMPLETE THE SYSTEM TO SAME PRESSURES.  System safety and reliability improvement.</t>
  </si>
  <si>
    <t>N-XA- 11822</t>
  </si>
  <si>
    <t>IN-NOBLESVILLE-SR 19-INSTALL 12IN STL MAIN  Install ~9000' of 12" steel on SR 19 from PEPL Noblesville PP outlet to the N side of 196th St. Expected Improvement: The pressure drop in this line is well over 10 psig. Upsizing would improve the pressure in the area to the N/NE of Noblesville by up to 12 psig, bringing the low point up to 32 psig. Note that this area also drops to 20 psig on a 50HDD seasonal due to large asphalt plant fed off of the 8" on Pendleton Ave.</t>
  </si>
  <si>
    <t>N-XA- 11823</t>
  </si>
  <si>
    <t>IN-NEW CASTLE-N RAINTREE DR -- INSTALL 2IN MAIN two way feed provides reliability improvement - outage experienced previously.</t>
  </si>
  <si>
    <t>N-XA- 11824</t>
  </si>
  <si>
    <t>IN-NOBLESVILLE-FISHERS  Florida Rd Install approximately 4,500' of 6" PE on Florida Rd, from E 113th St north to existing 6" plastic main.  Increased pressure and reliability to high growth area.</t>
  </si>
  <si>
    <t>N-XA- 11825</t>
  </si>
  <si>
    <t>IN-NOBLESVILLE-FISHERS Southeastern Parkway Install approximately 5,300' of 6" PE on Southeastern Parkway, from Cyntheanne Rd south to E 113th St</t>
  </si>
  <si>
    <t>N-XA-11769</t>
  </si>
  <si>
    <t xml:space="preserve">IN-LEBANON-SR 39-DERATE SR 39 De-Rate - LEBANON - DERATE 6" AND MOVE 55  SERVICES (Farm Taps) OFF 8" FOR FUTURE IM,NORTH ALONG SR 39. (55 - Services) </t>
  </si>
  <si>
    <t>N-XA-11770</t>
  </si>
  <si>
    <t>IN - Plainfield - 750E - Hadley - Install main (750E - Hadley) -Install ~ 1600' of 6" PE on CR 750E from RS #46-040 outlet to Hadley Rd; rebuild RS #46-040 for higher capacity because of new grow on west side of Plainfield. Alternative could be to retire existing station and build a new appropriately sized station at Hadley Rd. ( 0 - Services)</t>
  </si>
  <si>
    <t>N-XA-11771</t>
  </si>
  <si>
    <t>IN - Plainfield - 750E - Bucbas - Install main and new regulator station (750E - Bucbas) Install ~ 12,300' of 6" steel HP on the north side of I-70 from CR 750E to Bucbas Rd; install new regulator station; install ~ 2000' of 8" PE on Bucbas from station outlet to Reeves Rd. Increases pressure in south side of Plainfield</t>
  </si>
  <si>
    <t>N-XA-11773</t>
  </si>
  <si>
    <t>IN - Danville - 100N - Whiperwood - Install main (100N - Whiperwood) Install ~ 1100' of 6" PE on CR 200E from Whisperwood to CR 100N, will tie in new areas of growth that are feed by 2" one way feeds. (0 - Services)</t>
  </si>
  <si>
    <t>N-XA-11774</t>
  </si>
  <si>
    <t>IN - LAFAYETTE - CAT 1 on McCarty - Derate the HP main Derate the HP main west from CAT 1 on McCarty to 60# MAOP or install 8" PE west in order to tie in to the 6" PE on Creasy Lane. (0 - Services).  System reliability improvement.</t>
  </si>
  <si>
    <t>N-XA-11775</t>
  </si>
  <si>
    <t>IN- Crawfordsville - Derate 325-psig system Derate 325-psig system to 60-psig (convert RS # 52-245B); retire RS # 52-446; maintain RS # 52-882 from 16" main as backup feed; install ~ 4500' of 6" PE on CR 150S from Mt Tabor PP to Ladoga Rd (0 - Services)</t>
  </si>
  <si>
    <t>N-XA-11776</t>
  </si>
  <si>
    <t>IN -Brazil - 1100N - 100E -  (1100N - 100E) Install ~ 5300' of 6" PE on CR 1100N from CR 100E to CR 200E. Project will bolster system pressure on east side of Brazil growth area. (0 - Services)</t>
  </si>
  <si>
    <t>N-XA-11777</t>
  </si>
  <si>
    <t xml:space="preserve">IN - TERRE HAUTE - Woodsmall Dr - Southridge Rd - Replace ~ 3300' of 2" with 4" PE on Woodsmall Dr from US 41 to Southridge Rd. Project will bolster system pressure of neighborhood south side of Terre Haute. (0 - Services) </t>
  </si>
  <si>
    <t>N-XA-11778</t>
  </si>
  <si>
    <t>COVINGTON</t>
  </si>
  <si>
    <t>IN - Covington - Liberty St -  Replace ~ 200' of 3/4" with 6" PE Liberty St from RS # 51-288 outlet west to main split. Project will increase gas flow from north to south of town to help with low gas pressure issues. (0 - Services)</t>
  </si>
  <si>
    <t>N-XA-11784</t>
  </si>
  <si>
    <t>IN - LAFAYETTE - Mayfair Station #108 - Upgrade main/retire station.  Area that has 1960’s steel that has been prone to leaks, Replace 1,580’ of 2” steel and 20 services on small reg station to be retired.</t>
  </si>
  <si>
    <t>N-XA-11785</t>
  </si>
  <si>
    <t>IN - Frankfort - TBS 60000033 - Repair leak IN.  Station has 8” valves that need replaced, Temp station may need to be installed to supply demand.</t>
  </si>
  <si>
    <t>N-XA-12069</t>
  </si>
  <si>
    <t>IN-GREENFIELD-REGULATOR STATION-UPRATE  -Continue 125psig to 275psig uprate from Regulator Station 48001170A down 600 W 
-Using Uprate/Upgrade continue the 275psig system down to Regulator Station 48001168
-This involves an unknown number of services to be checked
-We do have most, if not all, work order records for this segment of main
 -Will involve investigating the following Regulator Stations – 48001551, 48001560, 48001488, 48001487, 48001565, 48001557, and 48001177 
Required for industrial and commercial loads proposed in this area. Greatly reduces flow on 6” 275# system McKenzie Rd and Meridian Rd (currently overloaded).</t>
  </si>
  <si>
    <t>NWTDSIC23</t>
  </si>
  <si>
    <t>Install compression at Wolcott Station  425 PSI Discharge.  Required to ensure deliverability from the field during peak demand.  Enhanced reliability for Lafayette system in conjunction with Trunkline lateral.</t>
  </si>
  <si>
    <t>NWTDSIC24</t>
  </si>
  <si>
    <t>NWTDSIC25</t>
  </si>
  <si>
    <t>Replace Compressor building lights to increase safety, light quality and energy efficiency</t>
  </si>
  <si>
    <t>SETDSIC06</t>
  </si>
  <si>
    <t>UND-007 Ealy #01 needs to be deepened 20'+ and acidized for additional storage capacity</t>
  </si>
  <si>
    <t>SETDSIC07</t>
  </si>
  <si>
    <t>UND-057 F. Skirvin #03 needs to be deepened 10'+ and acidized for additional storage capacity</t>
  </si>
  <si>
    <t>SETDSIC08</t>
  </si>
  <si>
    <t xml:space="preserve">Install Backup Generator and station power disconnect - ensure plant operation for enhanced system reliability during power outage event </t>
  </si>
  <si>
    <t>NWTDSIC26</t>
  </si>
  <si>
    <t>SYSTEM IMPROVEMENT - SAFETY AND RELIABILITY- TRANS</t>
  </si>
  <si>
    <t>IN- LAFAYETTE- Construct interconnection with Trunkline and 20" x 29-mile pipeline to NW Lafayette.  Pressure improvement, increased capacity, and enhanced Wolcott operation.</t>
  </si>
  <si>
    <t>21595502G61214</t>
  </si>
  <si>
    <t>IN-LAFAYETTE-S 9TH ST-ROAD RECONSTRUCTION~~RELOCATE/INSTALL 5400' OF 8" STEEL DISTRIBUTION MAIN, AND 22 SERVICES.  RETIRE 5400' OF 8" STEEL DISTRIBUTION MAIN, AND 22 SERVICES FOR ROAD IMPROVEMENT PROJECT.</t>
  </si>
  <si>
    <t>21582102G61212</t>
  </si>
  <si>
    <t>Des #1592299 67th St Road Extension Project-Madison Co - Final plans have yet to be published. Based off of the available information, we will relocate approximately 800’ of 4” main and replace no services. This main appears to be in conflict with an INDOT road construction project.   </t>
  </si>
  <si>
    <t>21582102G61213</t>
  </si>
  <si>
    <t xml:space="preserve">Des #1902803 Bridge 107 Deck Project-Madison Co - Final plans have yet to be published. Based off of the available information, we will relocate approximately 800’ of 4” main and replace no services. This main appears to be in conflict with an INDOT bridge replacement project. </t>
  </si>
  <si>
    <t>21592002G61213</t>
  </si>
  <si>
    <t>IN-SELLERSBURG-SR 60 INTERSECTION DES 1900373 - Relocate 340’ of 4” PE.  Necessary for intersection reconstruction.</t>
  </si>
  <si>
    <t>21592602G61218</t>
  </si>
  <si>
    <t>JONESVILLE</t>
  </si>
  <si>
    <t>IN-JONESVILLE-SR 11 CURVE CORRECTION DES 2000239 - Relocate 3 Services.  Necessary for road reconstruction.</t>
  </si>
  <si>
    <t>18592002G61213</t>
  </si>
  <si>
    <t xml:space="preserve">IN-NEW ALBANY-MT TABOR ROAD (PHASE 2) FROM KLERNER LANE TO CHARLESTOWN ROAD-BASED ON AVAILABLE INFORMATION WE WILL RELOCATE APPROXIMATELY 3,900' OF 8", 4", &amp; 2" PE MAIN AND REPLACE APPROXIMATELY 26 SERVICES DUE TO ROAD RECONSTRUCTION PROJECT. </t>
  </si>
  <si>
    <t>SETDSIC09</t>
  </si>
  <si>
    <t xml:space="preserve">IN-CLARKSVILLE-BLACKISTON MILL ROAD (PHASE 3) FROM ALTRA DRIVE TO GUTFORD ROAD-BASED ON AVAILABLE INFORMATION WE WILL NEED TO RELOCATE APPROXIMATELY 3,500' OF 4" &amp; 2" PE MAIN AND REPLACE 20 SERVICES DUE TO ROAD RECONSTRUCTION PROJECT. </t>
  </si>
  <si>
    <t>N-XA-12052</t>
  </si>
  <si>
    <t>In-Greenwood-W Smith Valley Rd.  install ~5 miles of 8" HP main on west side of Greenwood</t>
  </si>
  <si>
    <t>N-XA-12072</t>
  </si>
  <si>
    <t>IN-GREENFIELD-EAST INDY LATERAL PHASE 2 East Indy Lateral Phase 2: Install ~13.5 miles of 16" - 20" HPS from the 18"/20" (or reg station #55-110, depending on route) south to the 8" Greenfield to Mount Comfort lateral.  Large increase in capacity for Mount Comfort/Greenfield area. Phase 2 of project to connect the 18/20 to the 16" 600# line in Shelbyville</t>
  </si>
  <si>
    <t>N-XA- 11827</t>
  </si>
  <si>
    <t>IN-TIPTON-E STATE RD 28-REPLACE MAIN/SERVICE FEEDING CARGILL Replace ~1670 ft of 4" main/service feeding Cargill on E State Rd 28 (east of Tipton) with 6" MPP, from the 6" on SR28 to the Cargill meter set. Expected Improvement: 23# MEUP to serve a 20# delivery. Cannot always meet 20psig delivery with current system.</t>
  </si>
  <si>
    <t>N-XA- 11828</t>
  </si>
  <si>
    <t>IN-RICHMOND-CHESTER BLVD -- INSTALL SECTIONS OF 6IN MAIN Replace section of 2" plastic with 6" plastic main totaling 1225' to provide two way feed to hospital/north side of town.  Reliability and safety improvement.</t>
  </si>
  <si>
    <t>N-XA- 11830</t>
  </si>
  <si>
    <t>IN-HUNTINGTON-MERIDIAN ST-INSTALL 6IN PL MAIN Install ~ 14,825' of 6" PE on Meridian St from Markle Rd to US 24. Expected Improvement: Increases minimum pressure in 60-psig system  to 37.9 psig from 35.1 psig</t>
  </si>
  <si>
    <t>N-XA- 11831</t>
  </si>
  <si>
    <t>IN-RICHMOND-W INDUSTRIES RD-INSTALL 6IN PL MAIN Install ~ 2170' of 6" PE on W. Industries Rd from 6" main at Flatley Rd to 6" or 8" main at Williamsburg Pike. Expected Improvement: Provide more substantial 3rd feed into Richmond 54-psig</t>
  </si>
  <si>
    <t>N-XA- 11832</t>
  </si>
  <si>
    <t>SPICELAND</t>
  </si>
  <si>
    <t>IN-SPICELAND-SR 3-INSTALL 6IN PL MAIN Install ~ 5640' of 6" PE on SR 3 (Fair Oaks to CR 125W and extension on south end); new regulator station on SR 3. Expected Improvement: Increases minimum pressure in 35-psig system  to 21.9 psig from 16.7 psig and provides 2nd feed into the Spiceland system</t>
  </si>
  <si>
    <t>N-XA-11786</t>
  </si>
  <si>
    <t>IN-LAFAYETTE- Park E Blvd to South St - Install new 5,500' of  8" PE to replace the existing 4" PE located on Park E Blvd to South St. Upgrade Main</t>
  </si>
  <si>
    <t>N-XA-11787</t>
  </si>
  <si>
    <t>IN - Zionsville - CR 400S-700E-425S-500S (650E - Brocks Meadows) Install ~ 11,000' of 6" PE on CRs 400S/700E/425S/500S (CR 650E to Brocks Meadows) to provide for growth and bolster the pressure in the growing Zionsville area.</t>
  </si>
  <si>
    <t>N-XA-11788</t>
  </si>
  <si>
    <t>IN - LAFAYETTE - CR 550E - Replace ~ 2650' of 2" with 6" PE on CR 550E from SR 26 to CR 50N Increases minimum pressure in 60-psig system in vicinity of CR 100N to 30 psig from 20 psig</t>
  </si>
  <si>
    <t>N-XA-11789</t>
  </si>
  <si>
    <t>IN - LAFAYETTE - McCarty Ln to SR 26 (I-65 crossing)  Install ~ 5400' of 6" or 8" PE on CR 500E (replace 3400' of 2") from McCarty Ln to SR 26 (I-65 crossing)</t>
  </si>
  <si>
    <t>N-XA-11790</t>
  </si>
  <si>
    <t>IN - LAFAYETTE - Wagon Wheel Trail -  Install new regulator station &amp; ~ 5300' of 8" PE on CR 100E from south of CR 510S to existing 8" main south of Wagon Wheel Trail (creek crossing).  Install regulator station &amp; main</t>
  </si>
  <si>
    <t>N-XA-11791</t>
  </si>
  <si>
    <t>IN - LAFAYETTE - Canal Rd - Fannon Dr - Install ~ 300' of 6" PE from Canal Rd to Fannon Dr north of Heath St (major RR crossing)</t>
  </si>
  <si>
    <t>N-XA-11792</t>
  </si>
  <si>
    <t>IN - TERRE HAUTE - Chamberlain Rd - Install ~ 100' of 4" PE on N Chamberlain Rd &amp; new 30-psig regulator station</t>
  </si>
  <si>
    <t>N-XA-11793</t>
  </si>
  <si>
    <t>BLOOMINGDALE</t>
  </si>
  <si>
    <t>IN - Bloomingdale - Broadway St -  Install ~ 500' of 2" PE on Broadway St from end of 1.5" mains (2) to connect systems fed by RS # 38-285 and RS # 38-459.  Reliability improvement.</t>
  </si>
  <si>
    <t>N-XA-11794</t>
  </si>
  <si>
    <t>HILLSBORO</t>
  </si>
  <si>
    <t>IN - Hillsboro - Hershey Ln-Bogg St  -  Install ~ 1500' of 2" PE on Hershey Ln/Bogg St From SR 341/CR 600E to Hobson St</t>
  </si>
  <si>
    <t>N-XA-11795</t>
  </si>
  <si>
    <t>IN - Veedersburg - Perry St-Washington -  Install ~ 450' of 2" PE on Perry St/Washington from W 2nd St south to end of 1.5" main &amp; ~ 50' of 2" PE on College at W 2nd.  Reliability improvement.</t>
  </si>
  <si>
    <t>N-XA-11796</t>
  </si>
  <si>
    <t xml:space="preserve">IN- PLAINFIELD -  Moon Rd reg station -  Replace ~7000 ft of 6" and 8" HPS with 10" or 12" HPS from the end of the 12" outlet of Moon Rd reg station #46-73 to the inlet of stations 46-27 and 46-59. Rebuild Moon Rd station for higher capacity. </t>
  </si>
  <si>
    <t>N-XA-11829</t>
  </si>
  <si>
    <t>N-XA 11829</t>
  </si>
  <si>
    <t>IN-HUNTINGTON-US 24-INSTALL 6IN PL MAIN Install ~ 3740' of 6" PE on US 24 from north of Park Dr to south of Flaxmill Rd. Expected Improvement: Increases minimum pressure in 60-psig system  to 39.5 psig from 35.1 psig</t>
  </si>
  <si>
    <t>N-XA-12036</t>
  </si>
  <si>
    <t>IN-Bloomington-High Street New large line to downtown Bloomington. Replace 4" and 6" MPS with 8" MPP on S High St, from outlet of regulator station #29-107, north to intersection with Moores Pike/ Hillside. Tie three 4" mains leaving intersection to new 8" MPP. Rebuild station 29-107 for higher capacity</t>
  </si>
  <si>
    <t>N-XA-12037</t>
  </si>
  <si>
    <t xml:space="preserve">IN-Bloomington-Station #29-13 Undersized station. Rebuild station # 29-13 for additional capacity and to maintain outlet pressure . </t>
  </si>
  <si>
    <t>N-XA-12038</t>
  </si>
  <si>
    <t>In-Bloomington-E Rogers Rd. Increase capacity to this area. Install ~1200 ft of 4" MPP on E Rogers Rd, from existing 6" MPS on S High, east to The Stands / Winding Brook.</t>
  </si>
  <si>
    <t>N-XA-12039</t>
  </si>
  <si>
    <t xml:space="preserve">IN- Brooklyn-Mooney Regulators Upgrade Existing Mooney diaphragms get stuck to throttle plate due to being closed all year and only needing to be used on the coldest of days. Regulators do not open at set point and allow system to heavily droop before kicking in.Replace 4" Mooney regulators with a regulator more suited to conditions experienced here. </t>
  </si>
  <si>
    <t>N-XA-12043</t>
  </si>
  <si>
    <t xml:space="preserve">Replace existing 4" MPS with 8" MPP on 22nd St Overloaded main, increased capacity , from the 8" MPS on Midway St to the 6" MPP heading south on Beam Rd. Tie the 4" and 6" to the 8". </t>
  </si>
  <si>
    <t>N-XA-12044</t>
  </si>
  <si>
    <t>IN-Columbus- Station 31-156  Replace existing system downstream of station 31-156 and retire station. Reliability improvement for two systems.</t>
  </si>
  <si>
    <t>N-XA-12045</t>
  </si>
  <si>
    <t xml:space="preserve">IN-Taylorsville- Fiesbeck Dr. Large grain dryer installed east of intersection overloaded existing 2" mains. Adds second feed to system. Install new reg station on Fiesbeck Dr / CR W 550 N at intersection with HWY 31. </t>
  </si>
  <si>
    <t>N-XA-12046</t>
  </si>
  <si>
    <t>IN-Seymore-W 10th St. Parallel existing 6" MPS on N CR 760 E, from reg station #    outlet south to W 10th St.  Development/load growth in Seymour area.</t>
  </si>
  <si>
    <t>N-XA-12049</t>
  </si>
  <si>
    <t>IN-Shelbyville- Michigan Rd. Eliminate bottleneck near station outlet, increase capacity of industrial park south of here. Replace ~1800 ft of 4" MPP with 6" MPP on Michigan Rd near Bassett from existing 6" MPP at 39.568118, -85.799604 to existing 6" MPP at 39.565448, -85.794681</t>
  </si>
  <si>
    <t>N-XA-12053</t>
  </si>
  <si>
    <t>In-Fortville- CR W 1000 Brings 20# system above recommended minimums, additional feed into 60# system. Install small double cut regulator station on CR W 1000 S at intersection with 6" transmission line to feed into both the 18# and 60# systems here. Location:  39.959362, -85.841086</t>
  </si>
  <si>
    <t>N-XA-12054</t>
  </si>
  <si>
    <t>IN-Greenfield-Station 48-1071 Capacity, reduce station count. Replace small system downstream of station 48-1071 and retire station (8 psi system)</t>
  </si>
  <si>
    <t>N-XA-12055</t>
  </si>
  <si>
    <t>IN-Greenfield-Station 48-1082 Capacity, reduce station count. Replace any remaining pipe downstream of stations 48-1082 and 48-1083 and retire stations (8 psi system). Increases pressure and reliability on Greenfield rapid development area.</t>
  </si>
  <si>
    <t>N-XA-12056</t>
  </si>
  <si>
    <t xml:space="preserve">IN-Greenfields-Wood St. Eliminate bottleneck in primary mains  into town, improve pressure/capacity. Extend 4" MPP from existing 4" MPS on E Main St at Howard St to the 4" MPP at Baldwin St. Then replace 2" MPP from 4" MPP from Wood St to the 4" MPP heading south on S Swope St. Last, replace the 2" MPP on E South St, from the 4" MPP east of Spring St west to where the 2" heads south and ties to the 6" MPS in the alley south of South St. </t>
  </si>
  <si>
    <t>N-XA-12057</t>
  </si>
  <si>
    <t>IN-Greenfield-S State St. Loop multiple parts of the system together with large artery mains, improves pressure/capacity. Replace existing mains/install 6" MPP from the existing 6" MPP from S State St and E Steele Ford, north to the 4" MPS on Davis Rd.</t>
  </si>
  <si>
    <t>N-XA-12058</t>
  </si>
  <si>
    <t>In-Greenfield-N Blue Rd. Area growing and existing station outlets feeding this area are overloaded. Install new 275# -&gt; 50# station at N Blue Rd and E McKenzie Rd</t>
  </si>
  <si>
    <t>N-XA-12059</t>
  </si>
  <si>
    <t xml:space="preserve">In-Knoghttown-Main St. Increased capacity and less pressure drop due to 4" line  undersized at regulator outlet. Replace 4" MPS from outlet of station 49-294 with 8" MPP to the intersection of Main St and Front St where the 4" splits and continues north and south. </t>
  </si>
  <si>
    <t>N-XA-12060</t>
  </si>
  <si>
    <t>IN-Rushville-Station-43-299 Capacity, reduce station count. Replace 2" MPS with 4" MPP at outlet of station 43-299 to the end of the system if not covered under BSCI (GIS says bare, but no boundary)</t>
  </si>
  <si>
    <t>NWTDSIC27</t>
  </si>
  <si>
    <t>Install Backup Dehydrator at Wolcott to support increased deliverability from field</t>
  </si>
  <si>
    <t>NWTDSIC28</t>
  </si>
  <si>
    <t>TERRE HAUTE LP</t>
  </si>
  <si>
    <t>SETDSIC10</t>
  </si>
  <si>
    <t xml:space="preserve">SEK-018 Couch#08 recompletion related work, then convert from observation to injection/withdrawal to increase field inventory for reliability </t>
  </si>
  <si>
    <t>SETDSIC11</t>
  </si>
  <si>
    <t>21595502G61215</t>
  </si>
  <si>
    <t>IN-WEST LAFAYETTE-SOUTH ST-PLAZA PROJECT~~RELOCATE/INSTALL 200' OF 2" PE DISTRIBUTION MAIN, AND 5 SERVICES.  RETIRE 200' OF 2" PE DISTRIBUTION MAIN, AND 5 SERVICES FOR ROAD IMPROVEMENT PROJECT.</t>
  </si>
  <si>
    <t>21595502G61212</t>
  </si>
  <si>
    <t>IN-WEST LAFAYETTE-STATE ST-PURDUE MEM UNION SEWER PROJECT~~RELOCATE/INSTALL 1400' OF 2" PE  DISTRIBUTION MAIN, AND 6 SERVICES.  RETIRE 1400' OF 2" PE  DISTRIBUTION MAIN, AND 6 SERVICES FOR ROAD IMPROVEMENT PROJECT.</t>
  </si>
  <si>
    <t>215955002G1210</t>
  </si>
  <si>
    <t>IN-TERRE HAUTE-CLINTON ST-CORRIDOR INTERCHANGE~~RELOCATE/INSTALL 15000' OF 4" STEEL DISTRIBUTION MAIN.  RETIRE 15000' OF 4" STEEL DISTRIBUTION MAIN FOR ROAD IMPROVEMENT PROJECT.</t>
  </si>
  <si>
    <t>N-XA-12076</t>
  </si>
  <si>
    <t xml:space="preserve">IN-Jeffersonville-Prosser TBS Install 2 miles of 12" transmission main from Prosser TBS to Mt Tabor Rd at New Albany-Floyd County Industrial Park and regulator station.  </t>
  </si>
  <si>
    <t>N-XA- 11826</t>
  </si>
  <si>
    <t xml:space="preserve">IN-NOBLESVILLE-E 160TH STREET Install 2.25 miles of 6-inch PE on E 160th Street, Cherry Tree Road, and E 161st Street from Hazeldell Road to River Avenue. Expected Improvement: This improvement will support load growth along the route and also provide another feed to the asphalt plants on River Rd.  </t>
  </si>
  <si>
    <t>N-XA-11797</t>
  </si>
  <si>
    <t>IN-LEBANON-SR 39 MECHANICSBURG SYSTEM SR 39 ~~MECHANICSBURG SYSTEM  Project is tied to 2024 project derating of 6” line and removing high pressure services. Project will consolidation stations with uprate of 10psig and 15psig systems. Tie station areas together with 2”PE. Retire stations 53000018, 53000001, &amp; 53000002. Install &amp; 4,320’ of 2”PE, Replace 93 services on derated 6”lines.  Mitigates risks with high pressure services and improves system reliability.</t>
  </si>
  <si>
    <t>N-XA-11798</t>
  </si>
  <si>
    <t>IN - Thorntown - SR 47 -  I-65 -  Replace ~ 6600' of 4" with 6" PE on SR 47 from RS #53-004 outlet west to I-65 (or install new regulator station off the 12" 720-psig main). Project will Increase minimum pressure in 60-psig system  to 26 psig from 19 psig. (0 - Services)</t>
  </si>
  <si>
    <t>N-XA-11799</t>
  </si>
  <si>
    <t>IN - TERRE HAUTE -Margaret Dr - 20th St - Install ~ 1350' of 2" PE on E Margaret Dr from end of main east to S 20th St. Project Increases minimum pressure in south end of main 30-psig system to 21.7 psig from 18.5 psig. (0 - Services)</t>
  </si>
  <si>
    <t>N-XA-11800</t>
  </si>
  <si>
    <t>IN - Mooresville - E CR 750 -  Enterprise Dr - Install ~14'750 of 6" MPP along E CR 750, S CR 975 E, E CR 800 S, HWY 67, and Enterprise Dr. Start point is at 6" MPP located at 39.653262, -86.355645. End point is 4" MPP located at 39.642983, -86.332124. Project will provide a 3rd feed to Mooresville. Pressure improvement where growth is located. (0 - Services)</t>
  </si>
  <si>
    <t>N-XA-11801</t>
  </si>
  <si>
    <t>IN - LAFAYETTE - South Lea -  South Lea, Retire stations 59000052 &amp; 59000063 and replace 1960's steel in neighborhood stations feed. Replace (24,250 of old steel main), and (477 services).  Increase system MAOP with new main.  Area is prone to leaks and main is located in back yards with fences and high vegetation, hard to access.</t>
  </si>
  <si>
    <t>N-XA-12062</t>
  </si>
  <si>
    <t xml:space="preserve">IN-BLOOMINGTON-CURRY PIKE/SR 48-8IN HP PL MAIN Install 6000' of 8" HP main from Curry Pike to SR 48 &amp; Profile Pkwy and regulator station  Support load growth on west side MP system.   Parallel existing 6" MPP on N Curry Pike with 8" MPS (pressure tested for future 600# MAOP), from outlet of station # 29-168, south to intersection at Profile Parkway. Tie both 6" mains to new 8".       </t>
  </si>
  <si>
    <t>N-XA-12063</t>
  </si>
  <si>
    <t>IN-COLUMBUS-WESTPORT-REPLACEMENT Columbus  Westport Replace all 1” steel mains in the system.   This would complete the  Original  1985 plan to replace all mains non standard and steel mains to increase system reliability.</t>
  </si>
  <si>
    <t>N-XA-12075</t>
  </si>
  <si>
    <t>INSELLERSBURG-HWY 111/GRANT LINE RD Install ~2 miles of 8" MPP on HWY 111 / Grant Line Rd, from existing 8" MPS at Payne Rd, north to existing 8" MPP at Glenwood Way. Tie large MP systems together</t>
  </si>
  <si>
    <t>N-XA-12078</t>
  </si>
  <si>
    <t xml:space="preserve">IN-Clarksville-River Ridge Install ~2 miles of 656# MAOP main into the River Ridge area and set new 60# reg station increase capacity for growing River Ridge area, and also provide a second feed to the area for reliability. </t>
  </si>
  <si>
    <t>N-XA-12079</t>
  </si>
  <si>
    <t>IN-Shelbyville-Michigan St. Replace ~1800 ft of 4" MPP with 6" MPP on Michigan St from existing 6" MPP at 39.568118, -85.799604 to existing 6" MPP at 39.565448, -85.794681.  Eliminate bottleneck near station outlet, increase capacity of industrial park south of station</t>
  </si>
  <si>
    <t>N-XA-12080</t>
  </si>
  <si>
    <t xml:space="preserve">IN-GREENFIELD-REGULATOR STATION-UPRATE  -Regulator Station 48001071 – Center St – Between Osage and Pierson - 8psig System to 50psig System
-Isolate and retest approx. 2500’ of 2” Steel Main and 15 Services to 60psig MAOP
-Retire Regulator Station and tie over to the existing 50psig system
 -Approx. 500’ of 2” Plastic main has test records for 60psig MAOP on Work Order       12583302061220
</t>
  </si>
  <si>
    <t>N-XA-12081</t>
  </si>
  <si>
    <t xml:space="preserve">IN-GREENFIELD-REGULATOR STATION-UPRATE Regulator Station 48001364 – East 40 Mobile Home Park – 15psig System to 60psig System
- Isolate and retest approx. 1100’ of 2” Steel main and approx. 28 services
 -If retest is successful, install approx. 1100’ of 4” Plastic main along the south side of US 40 to tie in to retested system.  
 -Retire Regulator Station 48001364
</t>
  </si>
  <si>
    <t>N-XA-12082</t>
  </si>
  <si>
    <t xml:space="preserve">IN-GREENFIELD-REGULATOR STATION-UPRATE Regulator Station 48001181 – Lantern Woods – 20psig System to 60psig System
 -Using inlet pressure, test downstream system to 90psig to establish 60psig MAOP for system
 -Work Order 34841 for 170’ of 2” Plastic main, but it is Vintage Adyl-A.  The rest of the main is M/W Steel.  Replace the whole subdivision with new Plastic Main
 -15 services total.  Have test records for 7 services, however 3 are vintage Adyl-A.  The other services are M/W Steel of 1966 vintage and should be replaced entirely 
</t>
  </si>
  <si>
    <r>
      <rPr>
        <u/>
        <sz val="11"/>
        <color theme="1"/>
        <rFont val="Calibri"/>
        <family val="2"/>
        <scheme val="minor"/>
      </rPr>
      <t>Public</t>
    </r>
    <r>
      <rPr>
        <sz val="11"/>
        <color theme="1"/>
        <rFont val="Calibri"/>
        <family val="2"/>
        <scheme val="minor"/>
      </rPr>
      <t xml:space="preserve"> Attachments SAH-2 through SAH-9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</si>
</sst>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000000000"/>
    <numFmt numFmtId="165" formatCode="_(&quot;$&quot;* #,##0_);_(&quot;$&quot;* \(#,##0\);_(&quot;$&quot;* &quot;-&quot;??_);_(@_)"/>
    <numFmt numFmtId="166" formatCode="_(* #,##0_);_(* \(#,##0\);_(* &quot;-&quot;??_);_(@_)"/>
    <numFmt numFmtId="167" formatCode="&quot;$&quot;#,##0"/>
    <numFmt numFmtId="168" formatCode="&quot;$&quot;#,##0.0"/>
    <numFmt numFmtId="169" formatCode="_(&quot;$&quot;* #,##0.0_);_(&quot;$&quot;* \(#,##0.0\);_(&quot;$&quot;* &quot;-&quot;??_);_(@_)"/>
  </numFmts>
  <fonts count="34"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b/>
      <sz val="14"/>
      <name val="Arial"/>
      <family val="2"/>
    </font>
    <font>
      <sz val="10"/>
      <color theme="1"/>
      <name val="Arial"/>
      <family val="2"/>
    </font>
    <font>
      <sz val="11"/>
      <color theme="1"/>
      <name val="Arial"/>
      <family val="2"/>
    </font>
    <font>
      <sz val="14"/>
      <color theme="1"/>
      <name val="Arial"/>
      <family val="2"/>
    </font>
    <font>
      <b/>
      <sz val="14"/>
      <color theme="1"/>
      <name val="Arial"/>
      <family val="2"/>
    </font>
    <font>
      <b/>
      <sz val="10"/>
      <name val="Arial"/>
      <family val="2"/>
    </font>
    <font>
      <sz val="11"/>
      <name val="Calibri"/>
      <family val="2"/>
      <scheme val="minor"/>
    </font>
    <font>
      <b/>
      <sz val="10"/>
      <color theme="1"/>
      <name val="Arial"/>
      <family val="2"/>
    </font>
    <font>
      <strike/>
      <sz val="10"/>
      <name val="Arial"/>
      <family val="2"/>
    </font>
    <font>
      <sz val="10"/>
      <color indexed="8"/>
      <name val="Arial"/>
      <family val="2"/>
    </font>
    <font>
      <b/>
      <sz val="14"/>
      <color rgb="FFFF0000"/>
      <name val="Arial"/>
      <family val="2"/>
    </font>
    <font>
      <b/>
      <sz val="10"/>
      <color rgb="FF00B050"/>
      <name val="Arial"/>
      <family val="2"/>
    </font>
    <font>
      <sz val="12"/>
      <name val="Arial"/>
      <family val="2"/>
    </font>
    <font>
      <sz val="11"/>
      <color theme="1"/>
      <name val="Calibri"/>
      <family val="2"/>
    </font>
    <font>
      <sz val="11"/>
      <name val="Calibri"/>
      <family val="2"/>
    </font>
    <font>
      <b/>
      <i/>
      <sz val="10"/>
      <name val="Arial"/>
      <family val="2"/>
    </font>
    <font>
      <b/>
      <sz val="11"/>
      <color theme="1"/>
      <name val="Arial"/>
      <family val="2"/>
    </font>
    <font>
      <b/>
      <sz val="11"/>
      <name val="Arial"/>
      <family val="2"/>
    </font>
    <font>
      <sz val="10"/>
      <color indexed="9"/>
      <name val="Arial"/>
      <family val="2"/>
    </font>
    <font>
      <b/>
      <sz val="8"/>
      <name val="Arial"/>
      <family val="2"/>
    </font>
    <font>
      <sz val="9"/>
      <name val="Arial"/>
      <family val="2"/>
    </font>
    <font>
      <sz val="10"/>
      <color rgb="FFFF0000"/>
      <name val="Arial"/>
      <family val="2"/>
    </font>
    <font>
      <sz val="8"/>
      <name val="Calibri"/>
      <family val="2"/>
      <scheme val="minor"/>
    </font>
    <font>
      <sz val="8"/>
      <name val="Arial"/>
      <family val="2"/>
    </font>
    <font>
      <sz val="10"/>
      <color theme="1"/>
      <name val="Times New Roman"/>
      <family val="1"/>
    </font>
    <font>
      <b/>
      <sz val="12"/>
      <color theme="1"/>
      <name val="Arial"/>
      <family val="2"/>
    </font>
    <font>
      <b/>
      <sz val="11"/>
      <color rgb="FF000000"/>
      <name val="Calibri"/>
      <family val="2"/>
    </font>
    <font>
      <b/>
      <sz val="12"/>
      <color rgb="FF000000"/>
      <name val="Calibri"/>
      <family val="2"/>
    </font>
    <font>
      <u/>
      <sz val="11"/>
      <color theme="1"/>
      <name val="Calibri"/>
      <family val="2"/>
      <scheme val="minor"/>
    </font>
    <font>
      <sz val="12"/>
      <color theme="1"/>
      <name val="Times New Roman"/>
      <family val="1"/>
    </font>
  </fonts>
  <fills count="8">
    <fill>
      <patternFill patternType="none"/>
    </fill>
    <fill>
      <patternFill patternType="gray125"/>
    </fill>
    <fill>
      <patternFill patternType="solid">
        <fgColor rgb="FFCCFFCC"/>
        <bgColor indexed="64"/>
      </patternFill>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theme="4" tint="0.59999389629810485"/>
        <bgColor theme="4" tint="0.79998168889431442"/>
      </patternFill>
    </fill>
    <fill>
      <patternFill patternType="solid">
        <fgColor theme="0"/>
        <bgColor indexed="64"/>
      </patternFill>
    </fill>
    <fill>
      <patternFill patternType="solid">
        <fgColor rgb="FFBFBFB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1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244">
    <xf numFmtId="0" fontId="0" fillId="0" borderId="0" xfId="0"/>
    <xf numFmtId="0" fontId="3" fillId="0" borderId="0" xfId="4" applyProtection="1">
      <protection locked="0"/>
    </xf>
    <xf numFmtId="0" fontId="5" fillId="0" borderId="0" xfId="5" applyFont="1" applyAlignment="1" applyProtection="1">
      <alignment horizontal="left"/>
      <protection locked="0"/>
    </xf>
    <xf numFmtId="164" fontId="6" fillId="0" borderId="0" xfId="4" applyNumberFormat="1" applyFont="1" applyAlignment="1" applyProtection="1">
      <alignment horizontal="left" vertical="center"/>
      <protection locked="0"/>
    </xf>
    <xf numFmtId="0" fontId="7" fillId="0" borderId="0" xfId="4" applyFont="1" applyAlignment="1" applyProtection="1">
      <alignment horizontal="left" vertical="center"/>
      <protection locked="0"/>
    </xf>
    <xf numFmtId="0" fontId="7" fillId="0" borderId="0" xfId="4" applyFont="1" applyAlignment="1" applyProtection="1">
      <alignment horizontal="center" vertical="center"/>
      <protection locked="0"/>
    </xf>
    <xf numFmtId="0" fontId="5" fillId="0" borderId="0" xfId="4" applyFont="1" applyAlignment="1" applyProtection="1">
      <alignment horizontal="left"/>
      <protection locked="0"/>
    </xf>
    <xf numFmtId="0" fontId="4" fillId="0" borderId="0" xfId="4" applyFont="1" applyAlignment="1" applyProtection="1">
      <alignment horizontal="center" vertical="center"/>
      <protection locked="0"/>
    </xf>
    <xf numFmtId="0" fontId="4" fillId="0" borderId="0" xfId="4" applyFont="1" applyAlignment="1" applyProtection="1">
      <alignment horizontal="left" vertical="center"/>
      <protection locked="0"/>
    </xf>
    <xf numFmtId="0" fontId="3" fillId="0" borderId="0" xfId="4" applyAlignment="1" applyProtection="1">
      <alignment horizontal="left"/>
      <protection locked="0"/>
    </xf>
    <xf numFmtId="0" fontId="5" fillId="0" borderId="0" xfId="4" applyFont="1" applyProtection="1">
      <protection locked="0"/>
    </xf>
    <xf numFmtId="0" fontId="6" fillId="0" borderId="0" xfId="4" applyFont="1" applyAlignment="1" applyProtection="1">
      <alignment horizontal="left" vertical="center"/>
      <protection locked="0"/>
    </xf>
    <xf numFmtId="0" fontId="8" fillId="0" borderId="0" xfId="4" applyFont="1" applyAlignment="1" applyProtection="1">
      <alignment horizontal="left" vertical="center"/>
      <protection locked="0"/>
    </xf>
    <xf numFmtId="0" fontId="8" fillId="0" borderId="0" xfId="4" applyFont="1" applyAlignment="1" applyProtection="1">
      <alignment horizontal="center" vertical="center"/>
      <protection locked="0"/>
    </xf>
    <xf numFmtId="0" fontId="9" fillId="0" borderId="0" xfId="4" applyFont="1" applyAlignment="1" applyProtection="1">
      <alignment horizontal="center" vertical="center" wrapText="1"/>
      <protection locked="0"/>
    </xf>
    <xf numFmtId="5" fontId="9" fillId="0" borderId="0" xfId="4" applyNumberFormat="1" applyFont="1" applyAlignment="1" applyProtection="1">
      <alignment horizontal="center"/>
      <protection locked="0"/>
    </xf>
    <xf numFmtId="0" fontId="5" fillId="0" borderId="0" xfId="4" applyFont="1" applyAlignment="1" applyProtection="1">
      <alignment horizontal="center"/>
      <protection locked="0"/>
    </xf>
    <xf numFmtId="0" fontId="6" fillId="0" borderId="0" xfId="4" applyFont="1" applyAlignment="1" applyProtection="1">
      <alignment horizontal="left"/>
      <protection locked="0"/>
    </xf>
    <xf numFmtId="0" fontId="10" fillId="0" borderId="0" xfId="4" applyFont="1" applyAlignment="1" applyProtection="1">
      <alignment horizontal="center" vertical="center" wrapText="1"/>
      <protection locked="0"/>
    </xf>
    <xf numFmtId="5" fontId="9" fillId="0" borderId="0" xfId="4" applyNumberFormat="1" applyFont="1" applyAlignment="1" applyProtection="1">
      <alignment horizontal="center" wrapText="1"/>
      <protection locked="0"/>
    </xf>
    <xf numFmtId="0" fontId="3" fillId="0" borderId="0" xfId="4" applyAlignment="1" applyProtection="1">
      <alignment horizontal="center"/>
      <protection locked="0"/>
    </xf>
    <xf numFmtId="0" fontId="3" fillId="0" borderId="0" xfId="4" applyAlignment="1" applyProtection="1">
      <alignment horizontal="left" wrapText="1"/>
      <protection locked="0"/>
    </xf>
    <xf numFmtId="0" fontId="3" fillId="2" borderId="0" xfId="4" applyFill="1" applyProtection="1">
      <protection locked="0"/>
    </xf>
    <xf numFmtId="0" fontId="3" fillId="2" borderId="0" xfId="4" applyFill="1" applyAlignment="1" applyProtection="1">
      <alignment horizontal="center" vertical="center"/>
      <protection locked="0"/>
    </xf>
    <xf numFmtId="0" fontId="3" fillId="2" borderId="0" xfId="4" applyFill="1" applyAlignment="1" applyProtection="1">
      <alignment horizontal="left"/>
      <protection locked="0"/>
    </xf>
    <xf numFmtId="0" fontId="3" fillId="0" borderId="0" xfId="4" applyAlignment="1" applyProtection="1">
      <alignment wrapText="1"/>
      <protection locked="0"/>
    </xf>
    <xf numFmtId="0" fontId="5" fillId="0" borderId="0" xfId="5" applyFont="1" applyAlignment="1" applyProtection="1">
      <alignment horizontal="left" wrapText="1"/>
      <protection locked="0"/>
    </xf>
    <xf numFmtId="164" fontId="6" fillId="0" borderId="0" xfId="4" applyNumberFormat="1" applyFont="1" applyAlignment="1" applyProtection="1">
      <alignment horizontal="left" vertical="center" wrapText="1"/>
      <protection locked="0"/>
    </xf>
    <xf numFmtId="0" fontId="7" fillId="0" borderId="0" xfId="4" applyFont="1" applyAlignment="1" applyProtection="1">
      <alignment horizontal="left" vertical="center" wrapText="1"/>
      <protection locked="0"/>
    </xf>
    <xf numFmtId="0" fontId="4" fillId="0" borderId="0" xfId="4" applyFont="1" applyAlignment="1" applyProtection="1">
      <alignment horizontal="left" vertical="center" wrapText="1"/>
      <protection locked="0"/>
    </xf>
    <xf numFmtId="0" fontId="8" fillId="0" borderId="0" xfId="4" applyFont="1" applyAlignment="1" applyProtection="1">
      <alignment horizontal="center" vertical="center" wrapText="1"/>
      <protection locked="0"/>
    </xf>
    <xf numFmtId="0" fontId="8" fillId="0" borderId="0" xfId="4" applyFont="1" applyAlignment="1" applyProtection="1">
      <alignment horizontal="left" vertical="center" wrapText="1"/>
      <protection locked="0"/>
    </xf>
    <xf numFmtId="0" fontId="4" fillId="0" borderId="0" xfId="4" applyFont="1" applyAlignment="1" applyProtection="1">
      <alignment horizontal="center" vertical="center" wrapText="1"/>
      <protection locked="0"/>
    </xf>
    <xf numFmtId="0" fontId="5" fillId="0" borderId="0" xfId="4" applyFont="1" applyAlignment="1" applyProtection="1">
      <alignment wrapText="1"/>
      <protection locked="0"/>
    </xf>
    <xf numFmtId="0" fontId="6" fillId="0" borderId="0" xfId="4" applyFont="1" applyAlignment="1" applyProtection="1">
      <alignment vertical="center" wrapText="1"/>
      <protection locked="0"/>
    </xf>
    <xf numFmtId="0" fontId="4" fillId="0" borderId="0" xfId="4" applyFont="1" applyAlignment="1" applyProtection="1">
      <alignment horizontal="left" wrapText="1"/>
      <protection locked="0"/>
    </xf>
    <xf numFmtId="0" fontId="8" fillId="0" borderId="0" xfId="4" applyFont="1" applyAlignment="1" applyProtection="1">
      <alignment horizontal="center" wrapText="1"/>
      <protection locked="0"/>
    </xf>
    <xf numFmtId="0" fontId="8" fillId="0" borderId="0" xfId="4" applyFont="1" applyAlignment="1" applyProtection="1">
      <alignment horizontal="left" wrapText="1"/>
      <protection locked="0"/>
    </xf>
    <xf numFmtId="0" fontId="9" fillId="0" borderId="0" xfId="4" applyFont="1" applyAlignment="1" applyProtection="1">
      <alignment horizontal="center" wrapText="1"/>
      <protection locked="0"/>
    </xf>
    <xf numFmtId="0" fontId="5" fillId="0" borderId="0" xfId="4" applyFont="1" applyAlignment="1" applyProtection="1">
      <alignment horizontal="center" wrapText="1"/>
      <protection locked="0"/>
    </xf>
    <xf numFmtId="0" fontId="6" fillId="0" borderId="0" xfId="4" applyFont="1" applyAlignment="1" applyProtection="1">
      <alignment horizontal="left" wrapText="1"/>
      <protection locked="0"/>
    </xf>
    <xf numFmtId="0" fontId="5" fillId="0" borderId="0" xfId="4" applyFont="1" applyAlignment="1" applyProtection="1">
      <alignment horizontal="left" wrapText="1"/>
      <protection locked="0"/>
    </xf>
    <xf numFmtId="0" fontId="3" fillId="0" borderId="0" xfId="4" applyAlignment="1" applyProtection="1">
      <alignment horizontal="center" vertical="center" wrapText="1"/>
      <protection locked="0"/>
    </xf>
    <xf numFmtId="1" fontId="4" fillId="0" borderId="0" xfId="4" applyNumberFormat="1" applyFont="1" applyAlignment="1" applyProtection="1">
      <alignment vertical="center"/>
      <protection locked="0"/>
    </xf>
    <xf numFmtId="0" fontId="4" fillId="0" borderId="0" xfId="4" applyFont="1" applyAlignment="1" applyProtection="1">
      <alignment vertical="center"/>
      <protection locked="0"/>
    </xf>
    <xf numFmtId="0" fontId="6" fillId="0" borderId="0" xfId="4" applyFont="1" applyAlignment="1" applyProtection="1">
      <alignment vertical="center"/>
      <protection locked="0"/>
    </xf>
    <xf numFmtId="0" fontId="4" fillId="0" borderId="0" xfId="4" applyFont="1" applyAlignment="1" applyProtection="1">
      <alignment horizontal="left"/>
      <protection locked="0"/>
    </xf>
    <xf numFmtId="0" fontId="3" fillId="0" borderId="0" xfId="4" applyAlignment="1" applyProtection="1">
      <alignment horizontal="center" vertical="center"/>
      <protection locked="0"/>
    </xf>
    <xf numFmtId="0" fontId="3" fillId="2" borderId="0" xfId="4" applyFill="1" applyAlignment="1" applyProtection="1">
      <alignment horizontal="center"/>
      <protection locked="0"/>
    </xf>
    <xf numFmtId="1" fontId="3" fillId="2" borderId="0" xfId="4" applyNumberFormat="1" applyFill="1" applyProtection="1">
      <protection locked="0"/>
    </xf>
    <xf numFmtId="0" fontId="4" fillId="0" borderId="0" xfId="5" applyFont="1" applyAlignment="1" applyProtection="1">
      <alignment vertical="center"/>
      <protection locked="0"/>
    </xf>
    <xf numFmtId="0" fontId="9" fillId="0" borderId="0" xfId="5" applyFont="1" applyAlignment="1" applyProtection="1">
      <alignment horizontal="right"/>
      <protection locked="0"/>
    </xf>
    <xf numFmtId="0" fontId="3" fillId="2" borderId="0" xfId="5" applyFill="1" applyProtection="1">
      <protection locked="0"/>
    </xf>
    <xf numFmtId="0" fontId="4" fillId="0" borderId="0" xfId="4"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wrapText="1"/>
      <protection locked="0"/>
    </xf>
    <xf numFmtId="0" fontId="16" fillId="0" borderId="0" xfId="4" applyFont="1" applyAlignment="1" applyProtection="1">
      <alignment horizontal="left"/>
      <protection locked="0"/>
    </xf>
    <xf numFmtId="0" fontId="16" fillId="0" borderId="0" xfId="4" applyFont="1" applyAlignment="1" applyProtection="1">
      <alignment wrapText="1"/>
      <protection locked="0"/>
    </xf>
    <xf numFmtId="0" fontId="3" fillId="2" borderId="0" xfId="4" applyFill="1" applyAlignment="1" applyProtection="1">
      <alignment horizontal="left" vertical="center"/>
      <protection locked="0"/>
    </xf>
    <xf numFmtId="0" fontId="3" fillId="2" borderId="0" xfId="4" applyFill="1" applyAlignment="1" applyProtection="1">
      <alignment vertical="center"/>
      <protection locked="0"/>
    </xf>
    <xf numFmtId="49" fontId="11" fillId="3" borderId="1" xfId="4" applyNumberFormat="1" applyFont="1" applyFill="1" applyBorder="1" applyAlignment="1" applyProtection="1">
      <alignment horizontal="center" vertical="center" wrapText="1"/>
      <protection locked="0"/>
    </xf>
    <xf numFmtId="165" fontId="11" fillId="3" borderId="1" xfId="3" applyNumberFormat="1" applyFont="1" applyFill="1" applyBorder="1" applyAlignment="1" applyProtection="1">
      <alignment horizontal="center" vertical="center" wrapText="1"/>
      <protection locked="0"/>
    </xf>
    <xf numFmtId="0" fontId="3" fillId="0" borderId="0" xfId="4" applyFill="1" applyProtection="1">
      <protection locked="0"/>
    </xf>
    <xf numFmtId="0" fontId="0" fillId="0" borderId="1" xfId="0" quotePrefix="1" applyFill="1" applyBorder="1" applyAlignment="1">
      <alignment horizontal="left" vertical="center" wrapText="1"/>
    </xf>
    <xf numFmtId="0" fontId="5" fillId="0" borderId="0" xfId="4" applyFont="1" applyFill="1" applyAlignment="1" applyProtection="1">
      <alignment horizontal="center" wrapText="1"/>
      <protection locked="0"/>
    </xf>
    <xf numFmtId="0" fontId="5" fillId="0" borderId="0" xfId="4" applyFont="1" applyFill="1" applyAlignment="1" applyProtection="1">
      <alignment horizontal="left" wrapText="1"/>
      <protection locked="0"/>
    </xf>
    <xf numFmtId="0" fontId="3" fillId="0" borderId="0" xfId="4" applyFill="1" applyAlignment="1" applyProtection="1">
      <alignment horizontal="left" wrapText="1"/>
      <protection locked="0"/>
    </xf>
    <xf numFmtId="0" fontId="3" fillId="0" borderId="0" xfId="4" applyFill="1" applyAlignment="1" applyProtection="1">
      <alignment horizontal="center" wrapText="1"/>
      <protection locked="0"/>
    </xf>
    <xf numFmtId="0" fontId="3" fillId="0" borderId="0" xfId="4" applyFill="1" applyAlignment="1" applyProtection="1">
      <alignment wrapText="1"/>
      <protection locked="0"/>
    </xf>
    <xf numFmtId="0" fontId="3" fillId="0" borderId="0" xfId="4" applyFont="1" applyFill="1" applyAlignment="1" applyProtection="1">
      <alignment wrapText="1"/>
      <protection locked="0"/>
    </xf>
    <xf numFmtId="5" fontId="3" fillId="0" borderId="0" xfId="4" applyNumberFormat="1" applyFont="1" applyFill="1" applyAlignment="1" applyProtection="1">
      <alignment horizontal="right" wrapText="1"/>
      <protection locked="0"/>
    </xf>
    <xf numFmtId="1" fontId="10" fillId="0" borderId="1" xfId="0" applyNumberFormat="1" applyFont="1" applyFill="1" applyBorder="1" applyAlignment="1">
      <alignment horizontal="left" vertical="center" wrapText="1"/>
    </xf>
    <xf numFmtId="1" fontId="10" fillId="0" borderId="1"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18" fillId="0" borderId="1" xfId="0" applyFont="1" applyFill="1" applyBorder="1" applyAlignment="1">
      <alignment horizontal="left" vertical="center" wrapText="1"/>
    </xf>
    <xf numFmtId="1" fontId="18" fillId="0" borderId="1" xfId="0" applyNumberFormat="1" applyFont="1" applyFill="1" applyBorder="1" applyAlignment="1">
      <alignment horizontal="left" vertical="center" wrapText="1"/>
    </xf>
    <xf numFmtId="0" fontId="3" fillId="0" borderId="0" xfId="10"/>
    <xf numFmtId="0" fontId="19" fillId="0" borderId="0" xfId="10" applyFont="1"/>
    <xf numFmtId="0" fontId="20" fillId="4" borderId="1" xfId="5" applyFont="1" applyFill="1" applyBorder="1" applyAlignment="1">
      <alignment horizontal="center" vertical="center" wrapText="1"/>
    </xf>
    <xf numFmtId="0" fontId="9" fillId="0" borderId="0" xfId="10" applyFont="1" applyAlignment="1">
      <alignment horizontal="center"/>
    </xf>
    <xf numFmtId="0" fontId="3" fillId="0" borderId="1" xfId="10" applyBorder="1"/>
    <xf numFmtId="5" fontId="3" fillId="0" borderId="1" xfId="10" applyNumberFormat="1" applyBorder="1"/>
    <xf numFmtId="166" fontId="3" fillId="0" borderId="0" xfId="1" applyNumberFormat="1" applyFont="1"/>
    <xf numFmtId="5" fontId="3" fillId="0" borderId="0" xfId="10" applyNumberFormat="1"/>
    <xf numFmtId="5" fontId="20" fillId="5" borderId="1" xfId="5" applyNumberFormat="1" applyFont="1" applyFill="1" applyBorder="1"/>
    <xf numFmtId="5" fontId="20" fillId="5" borderId="1" xfId="5" applyNumberFormat="1" applyFont="1" applyFill="1" applyBorder="1" applyAlignment="1">
      <alignment horizontal="right"/>
    </xf>
    <xf numFmtId="0" fontId="3" fillId="0" borderId="1" xfId="5" applyBorder="1" applyAlignment="1">
      <alignment horizontal="left" vertical="center" wrapText="1"/>
    </xf>
    <xf numFmtId="0" fontId="3" fillId="0" borderId="0" xfId="10" applyBorder="1"/>
    <xf numFmtId="166" fontId="3" fillId="0" borderId="0" xfId="10" applyNumberFormat="1"/>
    <xf numFmtId="0" fontId="20" fillId="4" borderId="1" xfId="5"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0" xfId="4" applyFont="1" applyFill="1" applyAlignment="1" applyProtection="1">
      <protection locked="0"/>
    </xf>
    <xf numFmtId="0" fontId="3" fillId="2" borderId="0" xfId="4" applyFill="1" applyProtection="1">
      <protection locked="0"/>
    </xf>
    <xf numFmtId="0" fontId="1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3" fillId="0" borderId="0" xfId="4" applyFont="1" applyFill="1" applyAlignment="1" applyProtection="1">
      <alignment wrapText="1"/>
      <protection locked="0"/>
    </xf>
    <xf numFmtId="0" fontId="10" fillId="0" borderId="1" xfId="0" applyFont="1" applyFill="1" applyBorder="1" applyAlignment="1">
      <alignment horizontal="left" vertical="center"/>
    </xf>
    <xf numFmtId="0" fontId="10" fillId="0" borderId="1" xfId="0" applyFont="1" applyFill="1" applyBorder="1" applyAlignment="1">
      <alignment horizontal="right" vertical="center"/>
    </xf>
    <xf numFmtId="0" fontId="5" fillId="0" borderId="0" xfId="4" applyFont="1" applyFill="1" applyAlignment="1" applyProtection="1">
      <alignment horizontal="center"/>
      <protection locked="0"/>
    </xf>
    <xf numFmtId="0" fontId="5" fillId="0" borderId="0" xfId="4" applyFont="1" applyFill="1" applyAlignment="1" applyProtection="1">
      <alignment horizontal="left"/>
      <protection locked="0"/>
    </xf>
    <xf numFmtId="0" fontId="3" fillId="0" borderId="0" xfId="4" applyFill="1" applyAlignment="1" applyProtection="1">
      <alignment horizontal="center" vertical="center"/>
      <protection locked="0"/>
    </xf>
    <xf numFmtId="5" fontId="3" fillId="0" borderId="0" xfId="4" applyNumberFormat="1" applyFill="1" applyAlignment="1" applyProtection="1">
      <alignment horizontal="center"/>
      <protection locked="0"/>
    </xf>
    <xf numFmtId="0" fontId="3" fillId="6" borderId="0" xfId="11" applyFill="1" applyAlignment="1">
      <alignment horizontal="left"/>
    </xf>
    <xf numFmtId="0" fontId="3" fillId="6" borderId="0" xfId="11" applyFill="1" applyAlignment="1">
      <alignment horizontal="center"/>
    </xf>
    <xf numFmtId="0" fontId="3" fillId="0" borderId="0" xfId="11" applyAlignment="1">
      <alignment horizontal="center"/>
    </xf>
    <xf numFmtId="0" fontId="3" fillId="0" borderId="0" xfId="11"/>
    <xf numFmtId="3" fontId="3" fillId="0" borderId="0" xfId="11" applyNumberFormat="1" applyAlignment="1">
      <alignment horizontal="center"/>
    </xf>
    <xf numFmtId="167" fontId="3" fillId="0" borderId="0" xfId="11" applyNumberFormat="1" applyAlignment="1">
      <alignment horizontal="center"/>
    </xf>
    <xf numFmtId="0" fontId="9" fillId="0" borderId="0" xfId="11" applyFont="1" applyAlignment="1">
      <alignment horizontal="right"/>
    </xf>
    <xf numFmtId="3" fontId="22" fillId="0" borderId="0" xfId="11" quotePrefix="1" applyNumberFormat="1" applyFont="1" applyAlignment="1">
      <alignment horizontal="center"/>
    </xf>
    <xf numFmtId="0" fontId="9" fillId="0" borderId="0" xfId="11" applyFont="1" applyAlignment="1">
      <alignment horizontal="center"/>
    </xf>
    <xf numFmtId="0" fontId="9" fillId="0" borderId="9" xfId="11" applyFont="1" applyBorder="1" applyAlignment="1">
      <alignment horizontal="center" vertical="center" wrapText="1"/>
    </xf>
    <xf numFmtId="0" fontId="9" fillId="0" borderId="10" xfId="11" applyFont="1" applyBorder="1" applyAlignment="1">
      <alignment horizontal="center" vertical="center" wrapText="1"/>
    </xf>
    <xf numFmtId="0" fontId="9" fillId="0" borderId="11" xfId="11" applyFont="1" applyBorder="1" applyAlignment="1">
      <alignment horizontal="center" vertical="center" wrapText="1"/>
    </xf>
    <xf numFmtId="0" fontId="9" fillId="0" borderId="12" xfId="11" applyFont="1" applyBorder="1" applyAlignment="1">
      <alignment horizontal="center" vertical="center" wrapText="1"/>
    </xf>
    <xf numFmtId="3" fontId="9" fillId="0" borderId="9" xfId="11" applyNumberFormat="1" applyFont="1" applyBorder="1" applyAlignment="1">
      <alignment horizontal="center" vertical="center" wrapText="1"/>
    </xf>
    <xf numFmtId="3" fontId="9" fillId="0" borderId="11" xfId="11" applyNumberFormat="1" applyFont="1" applyBorder="1" applyAlignment="1">
      <alignment horizontal="center" vertical="center" wrapText="1"/>
    </xf>
    <xf numFmtId="167" fontId="9" fillId="0" borderId="13" xfId="11" applyNumberFormat="1" applyFont="1" applyBorder="1" applyAlignment="1">
      <alignment horizontal="center" vertical="center" wrapText="1"/>
    </xf>
    <xf numFmtId="3" fontId="9" fillId="0" borderId="14" xfId="11" applyNumberFormat="1" applyFont="1" applyBorder="1" applyAlignment="1">
      <alignment horizontal="center" vertical="center" wrapText="1"/>
    </xf>
    <xf numFmtId="3" fontId="9" fillId="0" borderId="12" xfId="11" applyNumberFormat="1" applyFont="1" applyBorder="1" applyAlignment="1">
      <alignment horizontal="center" vertical="center" wrapText="1"/>
    </xf>
    <xf numFmtId="3" fontId="9" fillId="0" borderId="13" xfId="11" applyNumberFormat="1" applyFont="1" applyBorder="1" applyAlignment="1">
      <alignment horizontal="center" vertical="center" wrapText="1"/>
    </xf>
    <xf numFmtId="3" fontId="9" fillId="0" borderId="17" xfId="11" applyNumberFormat="1" applyFont="1" applyBorder="1" applyAlignment="1">
      <alignment horizontal="center" vertical="center" wrapText="1"/>
    </xf>
    <xf numFmtId="0" fontId="23" fillId="0" borderId="0" xfId="11" applyFont="1" applyAlignment="1">
      <alignment horizontal="center" vertical="center" wrapText="1"/>
    </xf>
    <xf numFmtId="0" fontId="9" fillId="0" borderId="2" xfId="11" applyFont="1" applyBorder="1" applyAlignment="1">
      <alignment horizontal="center" vertical="center" wrapText="1"/>
    </xf>
    <xf numFmtId="0" fontId="9" fillId="0" borderId="3" xfId="11" applyFont="1" applyBorder="1" applyAlignment="1">
      <alignment horizontal="center" vertical="center" wrapText="1"/>
    </xf>
    <xf numFmtId="0" fontId="9" fillId="0" borderId="4" xfId="11" applyFont="1" applyBorder="1" applyAlignment="1">
      <alignment horizontal="center" vertical="center" wrapText="1"/>
    </xf>
    <xf numFmtId="3" fontId="9" fillId="0" borderId="2" xfId="11" applyNumberFormat="1" applyFont="1" applyBorder="1" applyAlignment="1">
      <alignment horizontal="center" vertical="center" wrapText="1"/>
    </xf>
    <xf numFmtId="3" fontId="9" fillId="0" borderId="3" xfId="11" applyNumberFormat="1" applyFont="1" applyBorder="1" applyAlignment="1">
      <alignment horizontal="center" vertical="center" wrapText="1"/>
    </xf>
    <xf numFmtId="167" fontId="9" fillId="0" borderId="3" xfId="11" applyNumberFormat="1" applyFont="1" applyBorder="1" applyAlignment="1">
      <alignment horizontal="center" vertical="center" wrapText="1"/>
    </xf>
    <xf numFmtId="3" fontId="9" fillId="0" borderId="4" xfId="11" applyNumberFormat="1" applyFont="1" applyBorder="1" applyAlignment="1">
      <alignment horizontal="center" vertical="center" wrapText="1"/>
    </xf>
    <xf numFmtId="0" fontId="9" fillId="0" borderId="18" xfId="11" applyFont="1" applyBorder="1" applyAlignment="1">
      <alignment horizontal="center" vertical="center" wrapText="1"/>
    </xf>
    <xf numFmtId="0" fontId="9" fillId="0" borderId="19" xfId="11" applyFont="1" applyBorder="1" applyAlignment="1">
      <alignment horizontal="center" vertical="center" wrapText="1"/>
    </xf>
    <xf numFmtId="0" fontId="9" fillId="0" borderId="20" xfId="11" applyFont="1" applyBorder="1" applyAlignment="1">
      <alignment horizontal="center" vertical="center" wrapText="1"/>
    </xf>
    <xf numFmtId="0" fontId="9" fillId="0" borderId="21" xfId="11" applyFont="1" applyBorder="1" applyAlignment="1">
      <alignment horizontal="center" vertical="center" wrapText="1"/>
    </xf>
    <xf numFmtId="3" fontId="9" fillId="0" borderId="21" xfId="11" applyNumberFormat="1" applyFont="1" applyBorder="1" applyAlignment="1">
      <alignment horizontal="center" vertical="center" wrapText="1"/>
    </xf>
    <xf numFmtId="0" fontId="3" fillId="0" borderId="22" xfId="11" applyBorder="1" applyAlignment="1">
      <alignment horizontal="center" vertical="center"/>
    </xf>
    <xf numFmtId="0" fontId="3" fillId="0" borderId="23" xfId="11" applyBorder="1" applyAlignment="1">
      <alignment horizontal="center" vertical="center"/>
    </xf>
    <xf numFmtId="0" fontId="3" fillId="0" borderId="23" xfId="11" applyBorder="1" applyAlignment="1">
      <alignment horizontal="center"/>
    </xf>
    <xf numFmtId="0" fontId="3" fillId="0" borderId="24" xfId="11" applyBorder="1" applyAlignment="1">
      <alignment horizontal="center"/>
    </xf>
    <xf numFmtId="166" fontId="3" fillId="0" borderId="22" xfId="12" applyNumberFormat="1" applyFont="1" applyFill="1" applyBorder="1" applyAlignment="1" applyProtection="1">
      <alignment horizontal="center" vertical="center"/>
    </xf>
    <xf numFmtId="166" fontId="3" fillId="0" borderId="23" xfId="12" applyNumberFormat="1" applyFont="1" applyFill="1" applyBorder="1" applyAlignment="1" applyProtection="1">
      <alignment horizontal="center" vertical="center"/>
    </xf>
    <xf numFmtId="166" fontId="3" fillId="0" borderId="26" xfId="12" applyNumberFormat="1" applyFont="1" applyFill="1" applyBorder="1" applyAlignment="1" applyProtection="1">
      <alignment horizontal="center" vertical="center"/>
    </xf>
    <xf numFmtId="166" fontId="3" fillId="0" borderId="19" xfId="12" applyNumberFormat="1" applyFont="1" applyFill="1" applyBorder="1" applyAlignment="1" applyProtection="1">
      <alignment horizontal="center" vertical="center"/>
    </xf>
    <xf numFmtId="0" fontId="3" fillId="0" borderId="27" xfId="11" applyBorder="1" applyAlignment="1">
      <alignment horizontal="center" vertical="center"/>
    </xf>
    <xf numFmtId="0" fontId="3" fillId="0" borderId="5" xfId="11" applyBorder="1" applyAlignment="1">
      <alignment horizontal="center" vertical="center"/>
    </xf>
    <xf numFmtId="0" fontId="3" fillId="0" borderId="1" xfId="11" quotePrefix="1" applyBorder="1" applyAlignment="1">
      <alignment horizontal="center" vertical="center"/>
    </xf>
    <xf numFmtId="0" fontId="3" fillId="0" borderId="1" xfId="11" applyBorder="1" applyAlignment="1">
      <alignment horizontal="center"/>
    </xf>
    <xf numFmtId="0" fontId="3" fillId="0" borderId="28" xfId="11" applyBorder="1" applyAlignment="1">
      <alignment horizontal="center"/>
    </xf>
    <xf numFmtId="166" fontId="3" fillId="0" borderId="5" xfId="12" applyNumberFormat="1" applyFont="1" applyFill="1" applyBorder="1" applyAlignment="1" applyProtection="1">
      <alignment horizontal="center" vertical="center"/>
    </xf>
    <xf numFmtId="166" fontId="3" fillId="0" borderId="1" xfId="12" applyNumberFormat="1" applyFont="1" applyFill="1" applyBorder="1" applyAlignment="1" applyProtection="1">
      <alignment horizontal="center" vertical="center"/>
    </xf>
    <xf numFmtId="0" fontId="3" fillId="0" borderId="1" xfId="11" applyBorder="1" applyAlignment="1">
      <alignment horizontal="center" vertical="center"/>
    </xf>
    <xf numFmtId="166" fontId="3" fillId="0" borderId="29" xfId="12" applyNumberFormat="1" applyFont="1" applyFill="1" applyBorder="1" applyAlignment="1" applyProtection="1">
      <alignment horizontal="center" vertical="center"/>
    </xf>
    <xf numFmtId="0" fontId="3" fillId="0" borderId="5" xfId="11" quotePrefix="1" applyBorder="1" applyAlignment="1">
      <alignment horizontal="center" vertical="center"/>
    </xf>
    <xf numFmtId="0" fontId="23" fillId="0" borderId="0" xfId="11" applyFont="1"/>
    <xf numFmtId="0" fontId="9" fillId="0" borderId="0" xfId="11" applyFont="1"/>
    <xf numFmtId="0" fontId="9" fillId="0" borderId="6" xfId="11" applyFont="1" applyBorder="1" applyAlignment="1">
      <alignment horizontal="center"/>
    </xf>
    <xf numFmtId="37" fontId="9" fillId="0" borderId="9" xfId="12" applyNumberFormat="1" applyFont="1" applyFill="1" applyBorder="1" applyAlignment="1">
      <alignment horizontal="right"/>
    </xf>
    <xf numFmtId="0" fontId="9" fillId="0" borderId="7" xfId="11" applyFont="1" applyBorder="1" applyAlignment="1">
      <alignment horizontal="center" wrapText="1"/>
    </xf>
    <xf numFmtId="166" fontId="9" fillId="0" borderId="30" xfId="12" applyNumberFormat="1" applyFont="1" applyFill="1" applyBorder="1" applyAlignment="1">
      <alignment horizontal="center"/>
    </xf>
    <xf numFmtId="166" fontId="9" fillId="0" borderId="9" xfId="12" applyNumberFormat="1" applyFont="1" applyFill="1" applyBorder="1" applyAlignment="1">
      <alignment horizontal="center"/>
    </xf>
    <xf numFmtId="43" fontId="0" fillId="0" borderId="0" xfId="12" applyFont="1" applyAlignment="1">
      <alignment horizontal="center"/>
    </xf>
    <xf numFmtId="166" fontId="3" fillId="0" borderId="0" xfId="11" applyNumberFormat="1"/>
    <xf numFmtId="0" fontId="16" fillId="0" borderId="0" xfId="11" applyFont="1" applyAlignment="1">
      <alignment horizontal="left"/>
    </xf>
    <xf numFmtId="0" fontId="16" fillId="0" borderId="0" xfId="11" applyFont="1" applyAlignment="1">
      <alignment horizontal="left" indent="2"/>
    </xf>
    <xf numFmtId="44" fontId="3" fillId="0" borderId="0" xfId="13" applyAlignment="1">
      <alignment horizontal="center"/>
    </xf>
    <xf numFmtId="0" fontId="25" fillId="0" borderId="0" xfId="11" applyFont="1" applyAlignment="1">
      <alignment horizontal="center"/>
    </xf>
    <xf numFmtId="0" fontId="25" fillId="0" borderId="0" xfId="11" applyFont="1" applyAlignment="1">
      <alignment horizontal="left"/>
    </xf>
    <xf numFmtId="168" fontId="3" fillId="0" borderId="0" xfId="2" applyNumberFormat="1" applyFont="1"/>
    <xf numFmtId="0" fontId="10" fillId="0" borderId="1" xfId="0" applyFont="1" applyFill="1" applyBorder="1" applyAlignment="1">
      <alignment horizontal="center" vertical="center" wrapText="1"/>
    </xf>
    <xf numFmtId="0" fontId="0" fillId="0" borderId="1" xfId="0" quotePrefix="1" applyFill="1" applyBorder="1" applyAlignment="1">
      <alignment horizontal="center" vertical="center" wrapText="1"/>
    </xf>
    <xf numFmtId="0" fontId="0" fillId="0" borderId="1" xfId="0" applyFill="1" applyBorder="1" applyAlignment="1">
      <alignment horizontal="center" vertical="center" wrapText="1"/>
    </xf>
    <xf numFmtId="0" fontId="10" fillId="0" borderId="1" xfId="0" quotePrefix="1" applyFont="1" applyFill="1" applyBorder="1" applyAlignment="1">
      <alignment horizontal="left" vertical="center" wrapText="1"/>
    </xf>
    <xf numFmtId="0" fontId="10" fillId="0" borderId="1" xfId="0" quotePrefix="1" applyFont="1" applyFill="1" applyBorder="1" applyAlignment="1">
      <alignment horizontal="center" vertical="center" wrapText="1"/>
    </xf>
    <xf numFmtId="0" fontId="17" fillId="0" borderId="1" xfId="0" applyFont="1" applyFill="1" applyBorder="1" applyAlignment="1">
      <alignment horizontal="left" wrapText="1"/>
    </xf>
    <xf numFmtId="0" fontId="0" fillId="0" borderId="8" xfId="0" applyFill="1" applyBorder="1" applyAlignment="1">
      <alignment horizontal="left" vertical="center" wrapText="1"/>
    </xf>
    <xf numFmtId="0" fontId="0" fillId="0" borderId="1" xfId="0" applyFill="1" applyBorder="1" applyAlignment="1">
      <alignment vertical="top" wrapText="1"/>
    </xf>
    <xf numFmtId="0" fontId="10" fillId="0" borderId="0" xfId="0" applyFont="1" applyFill="1" applyBorder="1" applyAlignment="1">
      <alignment horizontal="left" vertical="center" wrapText="1"/>
    </xf>
    <xf numFmtId="0" fontId="0" fillId="0" borderId="1" xfId="0" applyFill="1" applyBorder="1" applyAlignment="1">
      <alignment horizontal="left" wrapText="1"/>
    </xf>
    <xf numFmtId="169" fontId="27" fillId="0" borderId="0" xfId="2" applyNumberFormat="1" applyFont="1"/>
    <xf numFmtId="0" fontId="11" fillId="0" borderId="0" xfId="0" applyFont="1" applyBorder="1" applyAlignment="1">
      <alignment vertical="center"/>
    </xf>
    <xf numFmtId="0" fontId="30" fillId="0" borderId="0" xfId="0" applyFont="1" applyBorder="1" applyAlignment="1">
      <alignment horizontal="center" vertical="center" wrapText="1"/>
    </xf>
    <xf numFmtId="0" fontId="5" fillId="0" borderId="0" xfId="0" applyFont="1" applyBorder="1" applyAlignment="1">
      <alignment vertical="center"/>
    </xf>
    <xf numFmtId="8" fontId="5" fillId="0" borderId="0" xfId="0" applyNumberFormat="1" applyFont="1" applyBorder="1" applyAlignment="1">
      <alignment horizontal="center" vertical="center"/>
    </xf>
    <xf numFmtId="0" fontId="31" fillId="0" borderId="0" xfId="0" applyFont="1" applyBorder="1" applyAlignment="1">
      <alignment vertical="center"/>
    </xf>
    <xf numFmtId="165" fontId="9" fillId="0" borderId="9" xfId="13" applyNumberFormat="1" applyFont="1" applyFill="1" applyBorder="1" applyAlignment="1">
      <alignment horizontal="center"/>
    </xf>
    <xf numFmtId="165" fontId="10" fillId="7" borderId="1" xfId="2" applyNumberFormat="1" applyFont="1" applyFill="1" applyBorder="1" applyAlignment="1">
      <alignment horizontal="center" vertical="center" wrapText="1"/>
    </xf>
    <xf numFmtId="165" fontId="0" fillId="7" borderId="1" xfId="2" applyNumberFormat="1" applyFont="1" applyFill="1" applyBorder="1" applyAlignment="1">
      <alignment horizontal="center" vertical="center" wrapText="1"/>
    </xf>
    <xf numFmtId="165" fontId="10" fillId="7" borderId="1" xfId="3" applyNumberFormat="1" applyFont="1" applyFill="1" applyBorder="1" applyAlignment="1">
      <alignment horizontal="center" vertical="center" wrapText="1"/>
    </xf>
    <xf numFmtId="165" fontId="10" fillId="7" borderId="1" xfId="2" applyNumberFormat="1" applyFont="1" applyFill="1" applyBorder="1" applyAlignment="1">
      <alignment horizontal="right" vertical="center"/>
    </xf>
    <xf numFmtId="0" fontId="16" fillId="0" borderId="0" xfId="4" applyFont="1" applyFill="1" applyAlignment="1" applyProtection="1">
      <alignment horizontal="left"/>
      <protection locked="0"/>
    </xf>
    <xf numFmtId="5" fontId="3" fillId="0" borderId="0" xfId="4" applyNumberFormat="1" applyFill="1" applyAlignment="1" applyProtection="1">
      <alignment wrapText="1"/>
      <protection locked="0"/>
    </xf>
    <xf numFmtId="0" fontId="12" fillId="0" borderId="0" xfId="4" applyFont="1" applyFill="1" applyAlignment="1" applyProtection="1">
      <alignment wrapText="1"/>
      <protection locked="0"/>
    </xf>
    <xf numFmtId="9" fontId="12" fillId="0" borderId="0" xfId="4" applyNumberFormat="1" applyFont="1" applyFill="1" applyAlignment="1" applyProtection="1">
      <alignment wrapText="1"/>
      <protection locked="0"/>
    </xf>
    <xf numFmtId="5" fontId="3" fillId="0" borderId="0" xfId="4" applyNumberFormat="1" applyFill="1" applyProtection="1">
      <protection locked="0"/>
    </xf>
    <xf numFmtId="0" fontId="10" fillId="0" borderId="1" xfId="0" applyFont="1" applyBorder="1" applyAlignment="1">
      <alignment horizontal="left" vertical="center" wrapText="1"/>
    </xf>
    <xf numFmtId="165" fontId="3" fillId="7" borderId="25" xfId="13" applyNumberFormat="1" applyFont="1" applyFill="1" applyBorder="1" applyAlignment="1" applyProtection="1">
      <alignment horizontal="center" vertical="center" wrapText="1"/>
    </xf>
    <xf numFmtId="165" fontId="3" fillId="7" borderId="28" xfId="13" applyNumberFormat="1" applyFont="1" applyFill="1" applyBorder="1" applyAlignment="1" applyProtection="1">
      <alignment horizontal="center" vertical="center" wrapText="1"/>
    </xf>
    <xf numFmtId="0" fontId="3" fillId="0" borderId="0" xfId="5" applyFill="1" applyProtection="1">
      <protection locked="0"/>
    </xf>
    <xf numFmtId="0" fontId="5" fillId="0" borderId="0" xfId="5" applyFont="1" applyFill="1" applyAlignment="1" applyProtection="1">
      <alignment horizontal="left"/>
      <protection locked="0"/>
    </xf>
    <xf numFmtId="164" fontId="6" fillId="0" borderId="0" xfId="4" applyNumberFormat="1" applyFont="1" applyFill="1" applyAlignment="1" applyProtection="1">
      <alignment horizontal="left" vertical="center"/>
      <protection locked="0"/>
    </xf>
    <xf numFmtId="0" fontId="4" fillId="0" borderId="0" xfId="4" applyFont="1" applyFill="1" applyAlignment="1" applyProtection="1">
      <alignment horizontal="left" vertical="center" wrapText="1"/>
      <protection locked="0"/>
    </xf>
    <xf numFmtId="0" fontId="4" fillId="0" borderId="0" xfId="4" applyFont="1" applyFill="1" applyAlignment="1" applyProtection="1">
      <alignment horizontal="center" vertical="center"/>
      <protection locked="0"/>
    </xf>
    <xf numFmtId="0" fontId="4" fillId="0" borderId="0" xfId="4" applyFont="1" applyFill="1" applyAlignment="1" applyProtection="1">
      <alignment horizontal="left" vertical="center"/>
      <protection locked="0"/>
    </xf>
    <xf numFmtId="0" fontId="4" fillId="0" borderId="0" xfId="5" applyFont="1" applyFill="1" applyAlignment="1" applyProtection="1">
      <alignment horizontal="left" vertical="center"/>
      <protection locked="0"/>
    </xf>
    <xf numFmtId="0" fontId="4" fillId="0" borderId="0" xfId="5" applyFont="1" applyFill="1" applyAlignment="1" applyProtection="1">
      <alignment horizontal="left" vertical="center" wrapText="1"/>
      <protection locked="0"/>
    </xf>
    <xf numFmtId="0" fontId="4" fillId="0" borderId="0" xfId="5" applyFont="1" applyFill="1" applyAlignment="1" applyProtection="1">
      <alignment vertical="center"/>
      <protection locked="0"/>
    </xf>
    <xf numFmtId="5" fontId="4" fillId="0" borderId="0" xfId="5" applyNumberFormat="1" applyFont="1" applyFill="1" applyAlignment="1" applyProtection="1">
      <alignment horizontal="right" vertical="center"/>
      <protection locked="0"/>
    </xf>
    <xf numFmtId="0" fontId="5" fillId="0" borderId="0" xfId="4" applyFont="1" applyFill="1" applyProtection="1">
      <protection locked="0"/>
    </xf>
    <xf numFmtId="0" fontId="6" fillId="0" borderId="0" xfId="4" applyFont="1" applyFill="1" applyAlignment="1" applyProtection="1">
      <alignment vertical="center"/>
      <protection locked="0"/>
    </xf>
    <xf numFmtId="0" fontId="3" fillId="0" borderId="0" xfId="4" applyFill="1" applyAlignment="1" applyProtection="1">
      <alignment horizontal="left"/>
      <protection locked="0"/>
    </xf>
    <xf numFmtId="0" fontId="4" fillId="0" borderId="0" xfId="5" applyFont="1" applyFill="1" applyAlignment="1" applyProtection="1">
      <alignment horizontal="left"/>
      <protection locked="0"/>
    </xf>
    <xf numFmtId="0" fontId="4" fillId="0" borderId="0" xfId="5" applyFont="1" applyFill="1" applyAlignment="1" applyProtection="1">
      <alignment horizontal="left" wrapText="1"/>
      <protection locked="0"/>
    </xf>
    <xf numFmtId="0" fontId="9" fillId="0" borderId="0" xfId="5" applyFont="1" applyFill="1" applyAlignment="1" applyProtection="1">
      <alignment horizontal="right"/>
      <protection locked="0"/>
    </xf>
    <xf numFmtId="5" fontId="4" fillId="0" borderId="0" xfId="5" applyNumberFormat="1" applyFont="1" applyFill="1" applyAlignment="1" applyProtection="1">
      <alignment horizontal="right"/>
      <protection locked="0"/>
    </xf>
    <xf numFmtId="0" fontId="6" fillId="0" borderId="0" xfId="4" applyFont="1" applyFill="1" applyAlignment="1" applyProtection="1">
      <alignment horizontal="left"/>
      <protection locked="0"/>
    </xf>
    <xf numFmtId="0" fontId="14" fillId="0" borderId="0" xfId="4" applyFont="1" applyFill="1" applyAlignment="1" applyProtection="1">
      <alignment horizontal="left" wrapText="1"/>
      <protection locked="0"/>
    </xf>
    <xf numFmtId="0" fontId="3" fillId="0" borderId="0" xfId="5" applyFill="1" applyAlignment="1" applyProtection="1">
      <alignment horizontal="center"/>
      <protection locked="0"/>
    </xf>
    <xf numFmtId="0" fontId="3" fillId="0" borderId="0" xfId="5" applyFill="1" applyAlignment="1" applyProtection="1">
      <alignment horizontal="left"/>
      <protection locked="0"/>
    </xf>
    <xf numFmtId="0" fontId="3" fillId="0" borderId="0" xfId="5" applyFill="1" applyAlignment="1" applyProtection="1">
      <alignment horizontal="left" wrapText="1"/>
      <protection locked="0"/>
    </xf>
    <xf numFmtId="5" fontId="15" fillId="0" borderId="0" xfId="5" applyNumberFormat="1" applyFont="1" applyFill="1" applyAlignment="1" applyProtection="1">
      <alignment horizontal="right"/>
      <protection locked="0"/>
    </xf>
    <xf numFmtId="164" fontId="5" fillId="0" borderId="0" xfId="5" applyNumberFormat="1" applyFont="1" applyFill="1" applyAlignment="1" applyProtection="1">
      <alignment horizontal="left" wrapText="1"/>
      <protection locked="0"/>
    </xf>
    <xf numFmtId="166" fontId="3" fillId="0" borderId="0" xfId="1" applyNumberFormat="1" applyFont="1" applyFill="1" applyProtection="1">
      <protection locked="0"/>
    </xf>
    <xf numFmtId="5" fontId="3" fillId="0" borderId="0" xfId="5" applyNumberFormat="1" applyFill="1" applyAlignment="1" applyProtection="1">
      <alignment horizontal="right"/>
      <protection locked="0"/>
    </xf>
    <xf numFmtId="165" fontId="24" fillId="7" borderId="23" xfId="13" applyNumberFormat="1" applyFont="1" applyFill="1" applyBorder="1" applyAlignment="1" applyProtection="1">
      <alignment horizontal="center" vertical="center" wrapText="1"/>
    </xf>
    <xf numFmtId="165" fontId="24" fillId="7" borderId="1" xfId="13" applyNumberFormat="1" applyFont="1" applyFill="1" applyBorder="1" applyAlignment="1" applyProtection="1">
      <alignment horizontal="center" vertical="center" wrapText="1"/>
    </xf>
    <xf numFmtId="166" fontId="3" fillId="7" borderId="1" xfId="12" applyNumberFormat="1" applyFont="1" applyFill="1" applyBorder="1" applyAlignment="1" applyProtection="1">
      <alignment horizontal="center" vertical="center"/>
    </xf>
    <xf numFmtId="165" fontId="2" fillId="7" borderId="1" xfId="2" applyNumberFormat="1" applyFont="1" applyFill="1" applyBorder="1" applyAlignment="1">
      <alignment horizontal="center" vertical="center" wrapText="1"/>
    </xf>
    <xf numFmtId="8" fontId="11" fillId="0" borderId="0" xfId="0" applyNumberFormat="1" applyFont="1" applyBorder="1" applyAlignment="1">
      <alignment horizontal="right" vertical="center"/>
    </xf>
    <xf numFmtId="0" fontId="4" fillId="0" borderId="0" xfId="4" applyFont="1" applyAlignment="1" applyProtection="1">
      <alignment horizontal="center"/>
      <protection locked="0"/>
    </xf>
    <xf numFmtId="0" fontId="4" fillId="0" borderId="0" xfId="5" applyFont="1" applyFill="1" applyAlignment="1" applyProtection="1">
      <alignment horizontal="center"/>
      <protection locked="0"/>
    </xf>
    <xf numFmtId="0" fontId="28" fillId="0" borderId="0" xfId="0" applyFont="1" applyBorder="1" applyAlignment="1"/>
    <xf numFmtId="8" fontId="11" fillId="0" borderId="0" xfId="0" applyNumberFormat="1" applyFont="1" applyBorder="1" applyAlignment="1">
      <alignment horizontal="right" vertical="center"/>
    </xf>
    <xf numFmtId="0" fontId="4" fillId="0" borderId="0" xfId="10" applyFont="1" applyAlignment="1">
      <alignment horizontal="center"/>
    </xf>
    <xf numFmtId="0" fontId="28" fillId="0" borderId="0" xfId="0" applyFont="1" applyBorder="1" applyAlignment="1">
      <alignment vertical="top"/>
    </xf>
    <xf numFmtId="0" fontId="29" fillId="0" borderId="0" xfId="0" applyFont="1" applyBorder="1" applyAlignment="1">
      <alignment horizontal="center" vertical="center" wrapText="1"/>
    </xf>
    <xf numFmtId="0" fontId="4" fillId="0" borderId="0" xfId="4" applyFont="1" applyAlignment="1" applyProtection="1">
      <alignment horizontal="center"/>
      <protection locked="0"/>
    </xf>
    <xf numFmtId="0" fontId="4" fillId="0" borderId="0" xfId="4" applyFont="1" applyAlignment="1" applyProtection="1">
      <alignment horizontal="center" wrapText="1"/>
      <protection locked="0"/>
    </xf>
    <xf numFmtId="0" fontId="21" fillId="0" borderId="0" xfId="11" applyFont="1" applyAlignment="1">
      <alignment horizontal="center" vertical="center"/>
    </xf>
    <xf numFmtId="167" fontId="9" fillId="0" borderId="14" xfId="11" applyNumberFormat="1" applyFont="1" applyBorder="1" applyAlignment="1">
      <alignment horizontal="center" vertical="center" wrapText="1"/>
    </xf>
    <xf numFmtId="167" fontId="9" fillId="0" borderId="15" xfId="11" applyNumberFormat="1" applyFont="1" applyBorder="1" applyAlignment="1">
      <alignment horizontal="center" vertical="center" wrapText="1"/>
    </xf>
    <xf numFmtId="167" fontId="9" fillId="0" borderId="16" xfId="11" applyNumberFormat="1" applyFont="1" applyBorder="1" applyAlignment="1">
      <alignment horizontal="center" vertical="center" wrapText="1"/>
    </xf>
    <xf numFmtId="0" fontId="4" fillId="0" borderId="0" xfId="5" applyFont="1" applyFill="1" applyAlignment="1" applyProtection="1">
      <alignment horizontal="center" wrapText="1"/>
      <protection locked="0"/>
    </xf>
    <xf numFmtId="0" fontId="4" fillId="0" borderId="0" xfId="5" applyFont="1" applyFill="1" applyAlignment="1" applyProtection="1">
      <alignment horizontal="center"/>
      <protection locked="0"/>
    </xf>
    <xf numFmtId="0" fontId="33" fillId="0" borderId="0" xfId="0" applyFont="1" applyAlignment="1">
      <alignment vertical="center"/>
    </xf>
  </cellXfs>
  <cellStyles count="14">
    <cellStyle name="Comma" xfId="1" builtinId="3"/>
    <cellStyle name="Comma  - Style1 7" xfId="7" xr:uid="{07434B4C-72D2-40F8-A515-3AAF7CED05DF}"/>
    <cellStyle name="Comma 10 2 3" xfId="12" xr:uid="{DD6D724D-1913-4DDB-9F19-46E60891D8B0}"/>
    <cellStyle name="Currency" xfId="2" builtinId="4"/>
    <cellStyle name="Currency [0]" xfId="3" builtinId="7"/>
    <cellStyle name="Currency 10" xfId="13" xr:uid="{299B82FF-BC09-46FE-BCB7-3B4D990B941F}"/>
    <cellStyle name="Currency 117" xfId="6" xr:uid="{EE89332D-F64F-439C-9BD4-E590471788FE}"/>
    <cellStyle name="Normal" xfId="0" builtinId="0"/>
    <cellStyle name="Normal - Style1 4" xfId="11" xr:uid="{8FA056DE-CEB2-4CE7-9E5D-B9C51890E409}"/>
    <cellStyle name="Normal 10 2 2 2 3 2" xfId="5" xr:uid="{925DD7D5-29AC-4CBF-9E99-1DB86FE02BF5}"/>
    <cellStyle name="Normal 10 2 3 6" xfId="4" xr:uid="{333CE4BE-0761-45AC-BBB0-23C33A12F85B}"/>
    <cellStyle name="Normal 2" xfId="9" xr:uid="{75D15EC8-729A-4921-ABD5-34375ACE645A}"/>
    <cellStyle name="Normal 2 16" xfId="10" xr:uid="{4017F078-5844-48D1-A14E-8C3474470464}"/>
    <cellStyle name="Normal 302" xfId="8" xr:uid="{D5231E33-43E0-4196-9930-1A88E90833CA}"/>
  </cellStyles>
  <dxfs count="2">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295275</xdr:colOff>
      <xdr:row>7</xdr:row>
      <xdr:rowOff>171450</xdr:rowOff>
    </xdr:from>
    <xdr:to>
      <xdr:col>4</xdr:col>
      <xdr:colOff>123825</xdr:colOff>
      <xdr:row>12</xdr:row>
      <xdr:rowOff>104775</xdr:rowOff>
    </xdr:to>
    <xdr:sp macro="" textlink="">
      <xdr:nvSpPr>
        <xdr:cNvPr id="1025" name="Rectangle 1">
          <a:extLst>
            <a:ext uri="{FF2B5EF4-FFF2-40B4-BE49-F238E27FC236}">
              <a16:creationId xmlns:a16="http://schemas.microsoft.com/office/drawing/2014/main" id="{5D8CE1DE-3480-4723-8EE7-537122BC1816}"/>
            </a:ext>
          </a:extLst>
        </xdr:cNvPr>
        <xdr:cNvSpPr>
          <a:spLocks noChangeArrowheads="1"/>
        </xdr:cNvSpPr>
      </xdr:nvSpPr>
      <xdr:spPr bwMode="auto">
        <a:xfrm>
          <a:off x="295275" y="1504950"/>
          <a:ext cx="2266950" cy="895350"/>
        </a:xfrm>
        <a:prstGeom prst="rect">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en-US" sz="1400" b="0" i="0" u="none" strike="noStrike" baseline="0">
              <a:solidFill>
                <a:srgbClr val="FF0000"/>
              </a:solidFill>
              <a:latin typeface="Times New Roman"/>
              <a:cs typeface="Times New Roman"/>
            </a:rPr>
            <a:t>FILED</a:t>
          </a: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FF0000"/>
              </a:solidFill>
              <a:latin typeface="Times New Roman"/>
              <a:cs typeface="Times New Roman"/>
            </a:rPr>
            <a:t>September 10, 2021</a:t>
          </a: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FF0000"/>
              </a:solidFill>
              <a:latin typeface="Times New Roman"/>
              <a:cs typeface="Times New Roman"/>
            </a:rPr>
            <a:t>INDIANA UTILITY </a:t>
          </a: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FF0000"/>
              </a:solidFill>
              <a:latin typeface="Times New Roman"/>
              <a:cs typeface="Times New Roman"/>
            </a:rPr>
            <a:t>REGULATORY COMMISSION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port%20Data\Energy%20Report%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miner\Local%20Settings\Temporary%20Internet%20Files\OLK12\Documents%20and%20Settings\sminer\My%20Documents\GCA%2050\New%20WEEKLY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rporate\Planning\MCR%20FRST\2008%20Forecast\2%20Fall\Inputs\Dispatch%2008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vansville\Vedo%20Gas%20Rate%20Case03\CINERGY%20MSFR%20MPP\Copy%20of%20PUCO%20GAS%20SFRs%20%203%20Mos%20Actual%209%20Mos%20Bdgt%20Revis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rmsmith\Local%20Settings\Temporary%20Internet%20Files\OLK5573\Summary%20Misc%20Proformas-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vvfil1a\nkessler$\2003%20Rate%20Cases\TXU%20Lone%20Star%20Pipeline\E\E-08%20Relied%20Upons\VLSG%20O&amp;M%202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igenet\global\Users\lplummer\AppData\Local\Microsoft\Windows\Temporary%20Internet%20Files\Content.Outlook\CY2OO1XE\GAIM%202017%20Hyperion%20Trans%20cap%20budget%20-%20Jun%2017%202016%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lplummer\AppData\Local\Microsoft\Windows\Temporary%20Internet%20Files\Content.Outlook\CY2OO1XE\GAIM%202017%20Hyperion%20Trans%20cap%20budget%20-%20Jun%2017%202016%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igenet\Users\lplummer\AppData\Local\Microsoft\Windows\Temporary%20Internet%20Files\Content.Outlook\CY2OO1XE\GAIM%202017%20Hyperion%20Trans%20cap%20budget%20-%20Jun%2017%202016%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vvfil04\user07$\Evansville\Management%20Accounting\2006%20Budget\2006%20Budget%20Uploads\Version%202\Income%20taxes%20Uploa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Evansville\Management%20Accounting\David%20Requests\2009%20Budget\2009%20Budget%20-%20Labor%20Information%20-%2011062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orporate\Planning\MCR%20FRST\2012%20Forecast\1%20Spring\VUHI%20FRST%2006-01-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prdshp13/EnergyDelivery/EAM/GAM/2%20AIM/A%20TIMP/IM%20Process%20Documents/2%20GAIM%20Project%20Log/2015-2016%20Project%20Submittal%20to%20GTE%20(4-15-2014)/DO%20NOT%20EDIT%20-%202014-04-15%202-year%20Modernization%20Project%20Log-2015-201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igenet\EnergyDelivery\EAM\GAM\2%20AIM\A%20TIMP\IM%20Process%20Documents\2%20GAIM%20Project%20Log\2015-2016%20Project%20Submittal%20to%20GTE%20(4-15-2014)\DO%20NOT%20EDIT%20-%202014-04-15%202-year%20Modernization%20Project%20Log-2015-201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vvfil1a\nkessler$\2003%20Rate%20Cases\TXU%20Lone%20Star%20Pipeline\E\E-08%20Relied%20Upons\RU_WP%20C\FIT%20Suppor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prdshp13/GLOBAL/EnergyDelivery/EAM/InvestmentMgmt/CSIA/2015%20Fall%20filing/Fall%202014%20information/OUCC%20(Jul%2022%202014)/Transmission%202-year%20capital%20plan%20gas%20(Active%20New%20Project%20Log-With%20Risk).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IGENET\GLOBAL\EnergyDelivery\EAM\InvestmentMgmt\CSIA\2015%20Fall%20filing\Fall%202014%20information\OUCC%20(Jul%2022%202014)\Transmission%202-year%20capital%20plan%20gas%20(Active%20New%20Project%20Log-With%20Risk).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Corporate\Accounting\RegulatoryAccounting\Rate%20Case%20-%20VEDO%202006\Revenue%20Requirements\VEDO%20RR%20Model%20-%20FINAL%20-%201120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vvfil04\user07$\Evansville\SPCCRESULTS\TPPM\FBC3%20calcs%2006082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evvfil1a\pbanet$\dispatch\dispatch_advisor_v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GO\Corporate%20Planning\Yr2005\Board%20Forecast%20Inputs\Power%20Supply%20Data%205yr%209-1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MY%20DOCUMENTS\HEID%20REGULATORY\IGC\2004%20Rate%20Case\Superseded%20Files\IGC%20COS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MY%20DOCUMENTS\HEID%20REGULATORY\Indiana%20Natural%20Gas%20Corporation\Final\MY%20DOCUMENTS\HEID%20REGULATORY%20(June%2017)\Community%20Natural%20Gas\COS%20Study\Community%20COS10%20(Matches%20Prime%20Grou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prdshp13/Corporate/Accounting/PlantAccounting/BS-CI/VEDN-IGC/2012/Q4%202012/December/IGC%20BS-CI%20-%201212%20FINAL%20-%20Tie%20to%20P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igenet\global\Corporate\Accounting\PlantAccounting\BS-CI\VEDN-IGC\2012\Q4%202012\December\IGC%20BS-CI%20-%201212%20FINAL%20-%20Tie%20to%20P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igenet\Corporate\Accounting\PlantAccounting\BS-CI\VEDN-IGC\2012\Q4%202012\December\IGC%20BS-CI%20-%201212%20FINAL%20-%20Tie%20to%20P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prdshp13/Corporate/Accounting/PlantAccounting/BS-CI/VEDS-SIG/2014/March/SIG%20BS-CI%20-%200314%20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igenet\Corporate\Accounting\PlantAccounting\BS-CI\VEDS-SIG\2014\March\SIG%20BS-CI%20-%200314%20FINA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igenet\global\global\Corporate\Accounting\FinancialAccounting\COMMON\IGC\GCA\GCA_83Data05-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igenet\global\global\Corporate\Accounting\RegulatoryAccounting\Regulatory%20Filings\GCA\Vectren%20North%20Gas_Exhibit%203%20and%204\GCA%20100\GCA%20100%20Exhibits%2008-0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igenet\global\global\Corporate\Accounting\FinancialAccounting\COMMON\FAC\ESTIMATE\2007\0407%20FAC%20Estimate.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MY%20DOCUMENTS\HEID%20REGULATORY\Indiana%20Natural%20Gas%20Corporation\Final\MY%20DOCUMENTS\HEID%20REGULATORY%20(June%2017)\SIGECO-Gas\2003%20Gas%20Rate%20Case%20(New)\Final%20COS\Working%20Copy%20GTBRevenue%20Jan%202002%20thru%20Dec.%202002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igenet\global\EnergyDelivery\EAM\InvestmentMgmt\CSIA\TDSIC-5%202016%20Fall%20filing\D-Mod\D-Mod%20project%20plan%20updates%20for%20TDSIC-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igenet\EnergyDelivery\EAM\InvestmentMgmt\CSIA\TDSIC-5%202016%20Fall%20filing\D-Mod\D-Mod%20project%20plan%20updates%20for%20TDSIC-5.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evvfil1a\pbanet$\dispatch\dispatch_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Corporate\Accounting\FinancialAccounting\COMMON\Monthly%20Financial%20Analysis%20Package\2007\0907%20September\0907%20SIG%20I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evvfil1a\pbanet$\dispatch\pricing_model_v3_SQ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03"/>
      <sheetName val="FEB 03"/>
      <sheetName val="MARCH 03"/>
      <sheetName val="APRIL 03"/>
      <sheetName val="MAY 03"/>
      <sheetName val="JUNE 03"/>
      <sheetName val="JULY 03"/>
      <sheetName val="AUG 03"/>
      <sheetName val="SEPT 03"/>
      <sheetName val="OCT 03"/>
      <sheetName val="NOV 03"/>
      <sheetName val="DEC 03"/>
      <sheetName val="2003"/>
      <sheetName val="Net Income Summary (VUHI)"/>
      <sheetName val="VE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NDD"/>
      <sheetName val="COMBINED"/>
      <sheetName val="JAN98"/>
      <sheetName val="FEB98"/>
      <sheetName val="Nov01"/>
      <sheetName val="Jan02"/>
      <sheetName val="Dec01"/>
      <sheetName val="Feb02"/>
      <sheetName val="Mar02"/>
      <sheetName val="Apr02"/>
      <sheetName val="May02"/>
      <sheetName val="chgs"/>
      <sheetName val="June02"/>
      <sheetName val="July02"/>
      <sheetName val="August02"/>
      <sheetName val="September02"/>
      <sheetName val="October02"/>
      <sheetName val="Graphs"/>
      <sheetName val="wint graf"/>
      <sheetName val="summ graf"/>
      <sheetName val="CityGate"/>
      <sheetName val="SAD"/>
      <sheetName val="Jan00 Chart"/>
      <sheetName val="stor"/>
      <sheetName val="Storage OBA"/>
      <sheetName val="Sheet1"/>
      <sheetName val="dmdeqn"/>
      <sheetName val="Coal Inven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4">
          <cell r="D4">
            <v>0.36247751322751326</v>
          </cell>
          <cell r="E4">
            <v>0.36247751322751326</v>
          </cell>
          <cell r="F4">
            <v>0.36247751322751326</v>
          </cell>
          <cell r="G4">
            <v>0.36247751322751326</v>
          </cell>
          <cell r="H4">
            <v>0.36247751322751326</v>
          </cell>
          <cell r="I4">
            <v>0.36247751322751326</v>
          </cell>
          <cell r="J4">
            <v>0.36247751322751326</v>
          </cell>
          <cell r="K4">
            <v>0.36247751322751326</v>
          </cell>
          <cell r="L4">
            <v>0.36247751322751326</v>
          </cell>
          <cell r="M4">
            <v>0.36247751322751326</v>
          </cell>
          <cell r="N4">
            <v>0.36247751322751326</v>
          </cell>
          <cell r="O4">
            <v>0.36247751322751326</v>
          </cell>
          <cell r="P4">
            <v>0.36247751322751326</v>
          </cell>
          <cell r="Q4">
            <v>0.36247751322751326</v>
          </cell>
          <cell r="R4">
            <v>0.36247751322751326</v>
          </cell>
          <cell r="S4">
            <v>0.36247751322751326</v>
          </cell>
          <cell r="T4">
            <v>0.36247751322751326</v>
          </cell>
          <cell r="U4">
            <v>0.36247751322751326</v>
          </cell>
          <cell r="V4">
            <v>0.36247751322751326</v>
          </cell>
          <cell r="W4">
            <v>0.36247751322751326</v>
          </cell>
          <cell r="X4">
            <v>0.36247751322751326</v>
          </cell>
          <cell r="Y4">
            <v>0.36247751322751326</v>
          </cell>
          <cell r="Z4">
            <v>0.36247751322751326</v>
          </cell>
          <cell r="AA4">
            <v>0.36247751322751326</v>
          </cell>
          <cell r="AB4">
            <v>0.36247751322751326</v>
          </cell>
          <cell r="AC4">
            <v>0.36247751322751326</v>
          </cell>
          <cell r="AD4">
            <v>0.36247751322751326</v>
          </cell>
          <cell r="AE4">
            <v>0.36247751322751326</v>
          </cell>
          <cell r="AF4">
            <v>0.36247751322751326</v>
          </cell>
          <cell r="AG4">
            <v>0.36247751322751326</v>
          </cell>
          <cell r="AH4">
            <v>0.36247751322751326</v>
          </cell>
          <cell r="AI4" t="e">
            <v>#REF!</v>
          </cell>
          <cell r="AJ4" t="e">
            <v>#REF!</v>
          </cell>
          <cell r="AK4" t="e">
            <v>#REF!</v>
          </cell>
          <cell r="AL4" t="e">
            <v>#REF!</v>
          </cell>
          <cell r="AM4" t="e">
            <v>#REF!</v>
          </cell>
          <cell r="AN4" t="e">
            <v>#REF!</v>
          </cell>
          <cell r="AO4" t="e">
            <v>#REF!</v>
          </cell>
          <cell r="AP4" t="e">
            <v>#REF!</v>
          </cell>
          <cell r="AQ4" t="e">
            <v>#REF!</v>
          </cell>
          <cell r="AR4" t="e">
            <v>#REF!</v>
          </cell>
          <cell r="AS4" t="e">
            <v>#REF!</v>
          </cell>
          <cell r="AT4" t="e">
            <v>#REF!</v>
          </cell>
          <cell r="AU4" t="e">
            <v>#REF!</v>
          </cell>
          <cell r="AV4" t="e">
            <v>#REF!</v>
          </cell>
          <cell r="AW4" t="e">
            <v>#REF!</v>
          </cell>
          <cell r="AX4" t="e">
            <v>#REF!</v>
          </cell>
          <cell r="AY4" t="e">
            <v>#REF!</v>
          </cell>
          <cell r="AZ4" t="e">
            <v>#REF!</v>
          </cell>
          <cell r="BA4" t="e">
            <v>#REF!</v>
          </cell>
          <cell r="BB4" t="e">
            <v>#REF!</v>
          </cell>
          <cell r="BC4" t="e">
            <v>#REF!</v>
          </cell>
          <cell r="BD4" t="e">
            <v>#REF!</v>
          </cell>
          <cell r="BE4" t="e">
            <v>#REF!</v>
          </cell>
          <cell r="BF4" t="e">
            <v>#REF!</v>
          </cell>
          <cell r="BG4" t="e">
            <v>#REF!</v>
          </cell>
          <cell r="BH4" t="e">
            <v>#REF!</v>
          </cell>
          <cell r="BI4" t="e">
            <v>#REF!</v>
          </cell>
          <cell r="BJ4" t="e">
            <v>#REF!</v>
          </cell>
          <cell r="BK4" t="e">
            <v>#REF!</v>
          </cell>
          <cell r="BL4" t="e">
            <v>#REF!</v>
          </cell>
          <cell r="BM4" t="e">
            <v>#REF!</v>
          </cell>
          <cell r="BN4" t="e">
            <v>#REF!</v>
          </cell>
          <cell r="BO4" t="e">
            <v>#REF!</v>
          </cell>
          <cell r="BP4" t="e">
            <v>#REF!</v>
          </cell>
          <cell r="BQ4" t="e">
            <v>#REF!</v>
          </cell>
          <cell r="BR4" t="e">
            <v>#REF!</v>
          </cell>
          <cell r="BS4" t="e">
            <v>#REF!</v>
          </cell>
          <cell r="BT4" t="e">
            <v>#REF!</v>
          </cell>
          <cell r="BU4" t="e">
            <v>#REF!</v>
          </cell>
          <cell r="BV4" t="e">
            <v>#REF!</v>
          </cell>
          <cell r="BW4" t="e">
            <v>#REF!</v>
          </cell>
          <cell r="BX4" t="e">
            <v>#REF!</v>
          </cell>
          <cell r="BY4" t="e">
            <v>#REF!</v>
          </cell>
          <cell r="BZ4" t="e">
            <v>#REF!</v>
          </cell>
          <cell r="CA4" t="e">
            <v>#REF!</v>
          </cell>
          <cell r="CB4" t="e">
            <v>#REF!</v>
          </cell>
          <cell r="CC4" t="e">
            <v>#REF!</v>
          </cell>
          <cell r="CD4" t="e">
            <v>#REF!</v>
          </cell>
          <cell r="CE4" t="e">
            <v>#REF!</v>
          </cell>
          <cell r="CF4" t="e">
            <v>#REF!</v>
          </cell>
          <cell r="CG4" t="e">
            <v>#REF!</v>
          </cell>
          <cell r="CH4" t="e">
            <v>#REF!</v>
          </cell>
          <cell r="CI4" t="e">
            <v>#REF!</v>
          </cell>
          <cell r="CJ4" t="e">
            <v>#REF!</v>
          </cell>
          <cell r="CK4" t="e">
            <v>#REF!</v>
          </cell>
          <cell r="CL4" t="e">
            <v>#REF!</v>
          </cell>
          <cell r="CM4" t="e">
            <v>#REF!</v>
          </cell>
          <cell r="CN4" t="e">
            <v>#REF!</v>
          </cell>
          <cell r="CO4" t="e">
            <v>#REF!</v>
          </cell>
          <cell r="CP4" t="e">
            <v>#REF!</v>
          </cell>
          <cell r="CQ4" t="e">
            <v>#REF!</v>
          </cell>
          <cell r="CR4" t="e">
            <v>#REF!</v>
          </cell>
          <cell r="CS4" t="e">
            <v>#REF!</v>
          </cell>
          <cell r="CT4" t="e">
            <v>#REF!</v>
          </cell>
          <cell r="CU4" t="e">
            <v>#REF!</v>
          </cell>
          <cell r="CV4" t="e">
            <v>#REF!</v>
          </cell>
          <cell r="CW4" t="e">
            <v>#REF!</v>
          </cell>
          <cell r="CX4" t="e">
            <v>#REF!</v>
          </cell>
          <cell r="CY4" t="e">
            <v>#REF!</v>
          </cell>
          <cell r="CZ4" t="e">
            <v>#REF!</v>
          </cell>
          <cell r="DA4" t="e">
            <v>#REF!</v>
          </cell>
          <cell r="DB4" t="e">
            <v>#REF!</v>
          </cell>
          <cell r="DC4" t="e">
            <v>#REF!</v>
          </cell>
          <cell r="DD4" t="e">
            <v>#REF!</v>
          </cell>
          <cell r="DE4" t="e">
            <v>#REF!</v>
          </cell>
          <cell r="DF4" t="e">
            <v>#REF!</v>
          </cell>
          <cell r="DG4" t="e">
            <v>#REF!</v>
          </cell>
          <cell r="DH4" t="e">
            <v>#REF!</v>
          </cell>
          <cell r="DI4" t="e">
            <v>#REF!</v>
          </cell>
          <cell r="DJ4" t="e">
            <v>#REF!</v>
          </cell>
          <cell r="DK4" t="e">
            <v>#REF!</v>
          </cell>
          <cell r="DL4" t="e">
            <v>#REF!</v>
          </cell>
          <cell r="DM4" t="e">
            <v>#REF!</v>
          </cell>
          <cell r="DN4" t="e">
            <v>#REF!</v>
          </cell>
          <cell r="DO4" t="e">
            <v>#REF!</v>
          </cell>
          <cell r="DP4" t="e">
            <v>#REF!</v>
          </cell>
          <cell r="DQ4" t="e">
            <v>#REF!</v>
          </cell>
          <cell r="DR4" t="e">
            <v>#REF!</v>
          </cell>
          <cell r="DS4" t="e">
            <v>#REF!</v>
          </cell>
          <cell r="DT4" t="e">
            <v>#REF!</v>
          </cell>
          <cell r="DU4" t="e">
            <v>#REF!</v>
          </cell>
          <cell r="DV4" t="e">
            <v>#REF!</v>
          </cell>
          <cell r="DW4" t="e">
            <v>#REF!</v>
          </cell>
          <cell r="DX4" t="e">
            <v>#REF!</v>
          </cell>
          <cell r="DY4" t="e">
            <v>#REF!</v>
          </cell>
          <cell r="DZ4" t="e">
            <v>#REF!</v>
          </cell>
          <cell r="EA4" t="e">
            <v>#REF!</v>
          </cell>
          <cell r="EB4" t="e">
            <v>#REF!</v>
          </cell>
          <cell r="EC4" t="e">
            <v>#REF!</v>
          </cell>
          <cell r="ED4" t="e">
            <v>#REF!</v>
          </cell>
          <cell r="EE4" t="e">
            <v>#REF!</v>
          </cell>
          <cell r="EF4" t="e">
            <v>#REF!</v>
          </cell>
          <cell r="EG4" t="e">
            <v>#REF!</v>
          </cell>
          <cell r="EH4" t="e">
            <v>#REF!</v>
          </cell>
          <cell r="EI4" t="e">
            <v>#REF!</v>
          </cell>
          <cell r="EJ4" t="e">
            <v>#REF!</v>
          </cell>
          <cell r="EK4" t="e">
            <v>#REF!</v>
          </cell>
          <cell r="EL4" t="e">
            <v>#REF!</v>
          </cell>
          <cell r="EM4" t="e">
            <v>#REF!</v>
          </cell>
          <cell r="EN4" t="e">
            <v>#REF!</v>
          </cell>
          <cell r="EO4" t="e">
            <v>#REF!</v>
          </cell>
          <cell r="EP4" t="e">
            <v>#REF!</v>
          </cell>
          <cell r="EQ4" t="e">
            <v>#REF!</v>
          </cell>
          <cell r="ER4" t="e">
            <v>#REF!</v>
          </cell>
          <cell r="ES4" t="e">
            <v>#REF!</v>
          </cell>
          <cell r="ET4" t="e">
            <v>#REF!</v>
          </cell>
          <cell r="EU4" t="e">
            <v>#REF!</v>
          </cell>
          <cell r="EV4" t="e">
            <v>#REF!</v>
          </cell>
          <cell r="EW4" t="e">
            <v>#REF!</v>
          </cell>
          <cell r="EX4" t="e">
            <v>#REF!</v>
          </cell>
          <cell r="EY4" t="e">
            <v>#REF!</v>
          </cell>
          <cell r="EZ4" t="e">
            <v>#REF!</v>
          </cell>
          <cell r="FA4" t="e">
            <v>#REF!</v>
          </cell>
          <cell r="FB4" t="e">
            <v>#REF!</v>
          </cell>
          <cell r="FC4" t="e">
            <v>#REF!</v>
          </cell>
          <cell r="FD4" t="e">
            <v>#REF!</v>
          </cell>
          <cell r="FE4" t="e">
            <v>#REF!</v>
          </cell>
          <cell r="FF4" t="e">
            <v>#REF!</v>
          </cell>
          <cell r="FG4" t="e">
            <v>#REF!</v>
          </cell>
          <cell r="FH4" t="e">
            <v>#REF!</v>
          </cell>
          <cell r="FI4" t="e">
            <v>#REF!</v>
          </cell>
          <cell r="FJ4" t="e">
            <v>#REF!</v>
          </cell>
          <cell r="FK4" t="e">
            <v>#REF!</v>
          </cell>
          <cell r="FL4" t="e">
            <v>#REF!</v>
          </cell>
          <cell r="FM4" t="e">
            <v>#REF!</v>
          </cell>
          <cell r="FN4" t="e">
            <v>#REF!</v>
          </cell>
          <cell r="FO4" t="e">
            <v>#REF!</v>
          </cell>
          <cell r="FP4" t="e">
            <v>#REF!</v>
          </cell>
          <cell r="FQ4" t="e">
            <v>#REF!</v>
          </cell>
          <cell r="FR4" t="e">
            <v>#REF!</v>
          </cell>
          <cell r="FS4" t="e">
            <v>#REF!</v>
          </cell>
          <cell r="FT4" t="e">
            <v>#REF!</v>
          </cell>
          <cell r="FU4" t="e">
            <v>#REF!</v>
          </cell>
          <cell r="FV4" t="e">
            <v>#REF!</v>
          </cell>
          <cell r="FW4" t="e">
            <v>#REF!</v>
          </cell>
          <cell r="FX4" t="e">
            <v>#REF!</v>
          </cell>
          <cell r="FY4" t="e">
            <v>#REF!</v>
          </cell>
          <cell r="FZ4" t="e">
            <v>#REF!</v>
          </cell>
          <cell r="GA4" t="e">
            <v>#REF!</v>
          </cell>
          <cell r="GB4" t="e">
            <v>#REF!</v>
          </cell>
          <cell r="GC4" t="e">
            <v>#REF!</v>
          </cell>
          <cell r="GD4" t="e">
            <v>#REF!</v>
          </cell>
          <cell r="GE4" t="e">
            <v>#REF!</v>
          </cell>
          <cell r="GF4" t="e">
            <v>#REF!</v>
          </cell>
          <cell r="GG4" t="e">
            <v>#REF!</v>
          </cell>
          <cell r="GH4" t="e">
            <v>#REF!</v>
          </cell>
          <cell r="GI4" t="e">
            <v>#REF!</v>
          </cell>
          <cell r="GJ4" t="e">
            <v>#REF!</v>
          </cell>
          <cell r="GK4" t="e">
            <v>#REF!</v>
          </cell>
          <cell r="GL4" t="e">
            <v>#REF!</v>
          </cell>
          <cell r="GM4" t="e">
            <v>#REF!</v>
          </cell>
          <cell r="GN4" t="e">
            <v>#REF!</v>
          </cell>
          <cell r="GO4" t="e">
            <v>#REF!</v>
          </cell>
          <cell r="GP4" t="e">
            <v>#REF!</v>
          </cell>
          <cell r="GQ4" t="e">
            <v>#REF!</v>
          </cell>
          <cell r="GR4" t="e">
            <v>#REF!</v>
          </cell>
          <cell r="GS4" t="e">
            <v>#REF!</v>
          </cell>
          <cell r="GT4" t="e">
            <v>#REF!</v>
          </cell>
          <cell r="GU4" t="e">
            <v>#REF!</v>
          </cell>
          <cell r="GV4" t="e">
            <v>#REF!</v>
          </cell>
          <cell r="GW4" t="e">
            <v>#REF!</v>
          </cell>
          <cell r="GX4" t="e">
            <v>#REF!</v>
          </cell>
          <cell r="GY4" t="e">
            <v>#REF!</v>
          </cell>
          <cell r="GZ4" t="e">
            <v>#REF!</v>
          </cell>
          <cell r="HA4" t="e">
            <v>#REF!</v>
          </cell>
          <cell r="HB4" t="e">
            <v>#REF!</v>
          </cell>
          <cell r="HC4" t="e">
            <v>#REF!</v>
          </cell>
          <cell r="HD4" t="e">
            <v>#REF!</v>
          </cell>
          <cell r="HE4" t="e">
            <v>#REF!</v>
          </cell>
          <cell r="HF4" t="e">
            <v>#REF!</v>
          </cell>
          <cell r="HG4" t="e">
            <v>#REF!</v>
          </cell>
          <cell r="HH4" t="e">
            <v>#REF!</v>
          </cell>
          <cell r="HI4" t="e">
            <v>#REF!</v>
          </cell>
          <cell r="HJ4" t="e">
            <v>#REF!</v>
          </cell>
          <cell r="HK4" t="e">
            <v>#REF!</v>
          </cell>
        </row>
        <row r="6">
          <cell r="D6" t="e">
            <v>#REF!</v>
          </cell>
          <cell r="E6" t="e">
            <v>#REF!</v>
          </cell>
          <cell r="F6" t="e">
            <v>#REF!</v>
          </cell>
          <cell r="G6" t="e">
            <v>#REF!</v>
          </cell>
          <cell r="H6" t="e">
            <v>#REF!</v>
          </cell>
          <cell r="I6" t="e">
            <v>#REF!</v>
          </cell>
          <cell r="J6" t="e">
            <v>#REF!</v>
          </cell>
          <cell r="K6" t="e">
            <v>#REF!</v>
          </cell>
          <cell r="L6" t="e">
            <v>#REF!</v>
          </cell>
          <cell r="M6" t="e">
            <v>#REF!</v>
          </cell>
          <cell r="N6" t="e">
            <v>#REF!</v>
          </cell>
          <cell r="O6" t="e">
            <v>#REF!</v>
          </cell>
          <cell r="P6" t="e">
            <v>#REF!</v>
          </cell>
          <cell r="Q6" t="e">
            <v>#REF!</v>
          </cell>
          <cell r="R6" t="e">
            <v>#REF!</v>
          </cell>
          <cell r="S6" t="e">
            <v>#REF!</v>
          </cell>
          <cell r="T6" t="e">
            <v>#REF!</v>
          </cell>
          <cell r="U6" t="e">
            <v>#REF!</v>
          </cell>
          <cell r="V6" t="e">
            <v>#REF!</v>
          </cell>
          <cell r="W6" t="e">
            <v>#REF!</v>
          </cell>
          <cell r="X6" t="e">
            <v>#REF!</v>
          </cell>
          <cell r="Y6" t="e">
            <v>#REF!</v>
          </cell>
          <cell r="Z6" t="e">
            <v>#REF!</v>
          </cell>
          <cell r="AA6" t="e">
            <v>#REF!</v>
          </cell>
          <cell r="AB6" t="e">
            <v>#REF!</v>
          </cell>
          <cell r="AC6" t="e">
            <v>#REF!</v>
          </cell>
          <cell r="AD6" t="e">
            <v>#REF!</v>
          </cell>
          <cell r="AE6" t="e">
            <v>#REF!</v>
          </cell>
          <cell r="AF6" t="e">
            <v>#REF!</v>
          </cell>
          <cell r="AG6" t="e">
            <v>#REF!</v>
          </cell>
          <cell r="AH6" t="e">
            <v>#REF!</v>
          </cell>
          <cell r="AI6" t="e">
            <v>#REF!</v>
          </cell>
          <cell r="AJ6" t="e">
            <v>#REF!</v>
          </cell>
          <cell r="AK6" t="e">
            <v>#REF!</v>
          </cell>
          <cell r="AL6" t="e">
            <v>#REF!</v>
          </cell>
          <cell r="AM6" t="e">
            <v>#REF!</v>
          </cell>
          <cell r="AN6" t="e">
            <v>#REF!</v>
          </cell>
          <cell r="AO6" t="e">
            <v>#REF!</v>
          </cell>
          <cell r="AP6" t="e">
            <v>#REF!</v>
          </cell>
          <cell r="AQ6" t="e">
            <v>#REF!</v>
          </cell>
          <cell r="AR6" t="e">
            <v>#REF!</v>
          </cell>
          <cell r="AS6" t="e">
            <v>#REF!</v>
          </cell>
          <cell r="AT6" t="e">
            <v>#REF!</v>
          </cell>
          <cell r="AU6" t="e">
            <v>#REF!</v>
          </cell>
          <cell r="AV6" t="e">
            <v>#REF!</v>
          </cell>
          <cell r="AW6" t="e">
            <v>#REF!</v>
          </cell>
          <cell r="AX6" t="e">
            <v>#REF!</v>
          </cell>
          <cell r="AY6" t="e">
            <v>#REF!</v>
          </cell>
          <cell r="AZ6" t="e">
            <v>#REF!</v>
          </cell>
          <cell r="BA6" t="e">
            <v>#REF!</v>
          </cell>
          <cell r="BB6" t="e">
            <v>#REF!</v>
          </cell>
          <cell r="BC6" t="e">
            <v>#REF!</v>
          </cell>
          <cell r="BD6" t="e">
            <v>#REF!</v>
          </cell>
          <cell r="BE6" t="e">
            <v>#REF!</v>
          </cell>
          <cell r="BF6" t="e">
            <v>#REF!</v>
          </cell>
          <cell r="BG6" t="e">
            <v>#REF!</v>
          </cell>
          <cell r="BH6" t="e">
            <v>#REF!</v>
          </cell>
          <cell r="BI6" t="e">
            <v>#REF!</v>
          </cell>
          <cell r="BJ6" t="e">
            <v>#REF!</v>
          </cell>
          <cell r="BK6" t="e">
            <v>#REF!</v>
          </cell>
          <cell r="BL6" t="e">
            <v>#REF!</v>
          </cell>
          <cell r="BM6" t="e">
            <v>#REF!</v>
          </cell>
          <cell r="BN6" t="e">
            <v>#REF!</v>
          </cell>
          <cell r="BO6" t="e">
            <v>#REF!</v>
          </cell>
          <cell r="BP6" t="e">
            <v>#REF!</v>
          </cell>
          <cell r="BQ6" t="e">
            <v>#REF!</v>
          </cell>
          <cell r="BR6" t="e">
            <v>#REF!</v>
          </cell>
          <cell r="BS6" t="e">
            <v>#REF!</v>
          </cell>
          <cell r="BT6" t="e">
            <v>#REF!</v>
          </cell>
          <cell r="BU6" t="e">
            <v>#REF!</v>
          </cell>
          <cell r="BV6" t="e">
            <v>#REF!</v>
          </cell>
          <cell r="BW6" t="e">
            <v>#REF!</v>
          </cell>
          <cell r="BX6" t="e">
            <v>#REF!</v>
          </cell>
          <cell r="BY6" t="e">
            <v>#REF!</v>
          </cell>
          <cell r="BZ6" t="e">
            <v>#REF!</v>
          </cell>
          <cell r="CA6" t="e">
            <v>#REF!</v>
          </cell>
          <cell r="CB6" t="e">
            <v>#REF!</v>
          </cell>
          <cell r="CC6" t="e">
            <v>#REF!</v>
          </cell>
          <cell r="CD6" t="e">
            <v>#REF!</v>
          </cell>
          <cell r="CE6" t="e">
            <v>#REF!</v>
          </cell>
          <cell r="CF6" t="e">
            <v>#REF!</v>
          </cell>
          <cell r="CG6" t="e">
            <v>#REF!</v>
          </cell>
          <cell r="CH6" t="e">
            <v>#REF!</v>
          </cell>
          <cell r="CI6" t="e">
            <v>#REF!</v>
          </cell>
          <cell r="CJ6" t="e">
            <v>#REF!</v>
          </cell>
          <cell r="CK6" t="e">
            <v>#REF!</v>
          </cell>
          <cell r="CL6" t="e">
            <v>#REF!</v>
          </cell>
          <cell r="CM6" t="e">
            <v>#REF!</v>
          </cell>
          <cell r="CN6" t="e">
            <v>#REF!</v>
          </cell>
          <cell r="CO6" t="e">
            <v>#REF!</v>
          </cell>
          <cell r="CP6" t="e">
            <v>#REF!</v>
          </cell>
          <cell r="CQ6" t="e">
            <v>#REF!</v>
          </cell>
          <cell r="CR6" t="e">
            <v>#REF!</v>
          </cell>
          <cell r="CS6" t="e">
            <v>#REF!</v>
          </cell>
          <cell r="CT6" t="e">
            <v>#REF!</v>
          </cell>
          <cell r="CU6" t="e">
            <v>#REF!</v>
          </cell>
          <cell r="CV6" t="e">
            <v>#REF!</v>
          </cell>
          <cell r="CW6" t="e">
            <v>#REF!</v>
          </cell>
          <cell r="CX6" t="e">
            <v>#REF!</v>
          </cell>
          <cell r="CY6" t="e">
            <v>#REF!</v>
          </cell>
          <cell r="CZ6" t="e">
            <v>#REF!</v>
          </cell>
          <cell r="DA6" t="e">
            <v>#REF!</v>
          </cell>
          <cell r="DB6" t="e">
            <v>#REF!</v>
          </cell>
          <cell r="DC6" t="e">
            <v>#REF!</v>
          </cell>
          <cell r="DD6" t="e">
            <v>#REF!</v>
          </cell>
          <cell r="DE6" t="e">
            <v>#REF!</v>
          </cell>
          <cell r="DF6" t="e">
            <v>#REF!</v>
          </cell>
          <cell r="DG6" t="e">
            <v>#REF!</v>
          </cell>
          <cell r="DH6" t="e">
            <v>#REF!</v>
          </cell>
          <cell r="DI6" t="e">
            <v>#REF!</v>
          </cell>
          <cell r="DJ6" t="e">
            <v>#REF!</v>
          </cell>
          <cell r="DK6" t="e">
            <v>#REF!</v>
          </cell>
          <cell r="DL6" t="e">
            <v>#REF!</v>
          </cell>
          <cell r="DM6" t="e">
            <v>#REF!</v>
          </cell>
          <cell r="DN6" t="e">
            <v>#REF!</v>
          </cell>
          <cell r="DO6" t="e">
            <v>#REF!</v>
          </cell>
          <cell r="DP6" t="e">
            <v>#REF!</v>
          </cell>
          <cell r="DQ6" t="e">
            <v>#REF!</v>
          </cell>
          <cell r="DR6" t="e">
            <v>#REF!</v>
          </cell>
          <cell r="DS6" t="e">
            <v>#REF!</v>
          </cell>
          <cell r="DT6" t="e">
            <v>#REF!</v>
          </cell>
          <cell r="DU6" t="e">
            <v>#REF!</v>
          </cell>
          <cell r="DV6" t="e">
            <v>#REF!</v>
          </cell>
          <cell r="DW6" t="e">
            <v>#REF!</v>
          </cell>
          <cell r="DX6" t="e">
            <v>#REF!</v>
          </cell>
          <cell r="DY6" t="e">
            <v>#REF!</v>
          </cell>
          <cell r="DZ6" t="e">
            <v>#REF!</v>
          </cell>
          <cell r="EA6" t="e">
            <v>#REF!</v>
          </cell>
          <cell r="EB6" t="e">
            <v>#REF!</v>
          </cell>
          <cell r="EC6" t="e">
            <v>#REF!</v>
          </cell>
          <cell r="ED6" t="e">
            <v>#REF!</v>
          </cell>
          <cell r="EE6" t="e">
            <v>#REF!</v>
          </cell>
          <cell r="EF6" t="e">
            <v>#REF!</v>
          </cell>
          <cell r="EG6" t="e">
            <v>#REF!</v>
          </cell>
          <cell r="EH6" t="e">
            <v>#REF!</v>
          </cell>
          <cell r="EI6" t="e">
            <v>#REF!</v>
          </cell>
          <cell r="EJ6" t="e">
            <v>#REF!</v>
          </cell>
          <cell r="EK6" t="e">
            <v>#REF!</v>
          </cell>
          <cell r="EL6" t="e">
            <v>#REF!</v>
          </cell>
          <cell r="EM6" t="e">
            <v>#REF!</v>
          </cell>
          <cell r="EN6" t="e">
            <v>#REF!</v>
          </cell>
          <cell r="EO6" t="e">
            <v>#REF!</v>
          </cell>
          <cell r="EP6" t="e">
            <v>#REF!</v>
          </cell>
          <cell r="EQ6" t="e">
            <v>#REF!</v>
          </cell>
          <cell r="ER6" t="e">
            <v>#REF!</v>
          </cell>
          <cell r="ES6" t="e">
            <v>#REF!</v>
          </cell>
          <cell r="ET6" t="e">
            <v>#REF!</v>
          </cell>
          <cell r="EU6" t="e">
            <v>#REF!</v>
          </cell>
          <cell r="EV6" t="e">
            <v>#REF!</v>
          </cell>
          <cell r="EW6" t="e">
            <v>#REF!</v>
          </cell>
          <cell r="EX6" t="e">
            <v>#REF!</v>
          </cell>
          <cell r="EY6" t="e">
            <v>#REF!</v>
          </cell>
          <cell r="EZ6" t="e">
            <v>#REF!</v>
          </cell>
          <cell r="FA6" t="e">
            <v>#REF!</v>
          </cell>
          <cell r="FB6" t="e">
            <v>#REF!</v>
          </cell>
          <cell r="FC6" t="e">
            <v>#REF!</v>
          </cell>
          <cell r="FD6" t="e">
            <v>#REF!</v>
          </cell>
          <cell r="FE6" t="e">
            <v>#REF!</v>
          </cell>
          <cell r="FF6" t="e">
            <v>#REF!</v>
          </cell>
          <cell r="FG6" t="e">
            <v>#REF!</v>
          </cell>
          <cell r="FH6" t="e">
            <v>#REF!</v>
          </cell>
          <cell r="FI6" t="e">
            <v>#REF!</v>
          </cell>
          <cell r="FJ6" t="e">
            <v>#REF!</v>
          </cell>
          <cell r="FK6" t="e">
            <v>#REF!</v>
          </cell>
          <cell r="FL6" t="e">
            <v>#REF!</v>
          </cell>
          <cell r="FM6" t="e">
            <v>#REF!</v>
          </cell>
          <cell r="FN6" t="e">
            <v>#REF!</v>
          </cell>
          <cell r="FO6" t="e">
            <v>#REF!</v>
          </cell>
          <cell r="FP6" t="e">
            <v>#REF!</v>
          </cell>
          <cell r="FQ6" t="e">
            <v>#REF!</v>
          </cell>
          <cell r="FR6" t="e">
            <v>#REF!</v>
          </cell>
          <cell r="FS6" t="e">
            <v>#REF!</v>
          </cell>
          <cell r="FT6" t="e">
            <v>#REF!</v>
          </cell>
          <cell r="FU6" t="e">
            <v>#REF!</v>
          </cell>
          <cell r="FV6" t="e">
            <v>#REF!</v>
          </cell>
          <cell r="FW6" t="e">
            <v>#REF!</v>
          </cell>
          <cell r="FX6" t="e">
            <v>#REF!</v>
          </cell>
          <cell r="FY6" t="e">
            <v>#REF!</v>
          </cell>
          <cell r="FZ6" t="e">
            <v>#REF!</v>
          </cell>
          <cell r="GA6" t="e">
            <v>#REF!</v>
          </cell>
          <cell r="GB6" t="e">
            <v>#REF!</v>
          </cell>
          <cell r="GC6" t="e">
            <v>#REF!</v>
          </cell>
          <cell r="GD6" t="e">
            <v>#REF!</v>
          </cell>
          <cell r="GE6" t="e">
            <v>#REF!</v>
          </cell>
          <cell r="GF6" t="e">
            <v>#REF!</v>
          </cell>
          <cell r="GG6" t="e">
            <v>#REF!</v>
          </cell>
          <cell r="GH6" t="e">
            <v>#REF!</v>
          </cell>
          <cell r="GI6" t="e">
            <v>#REF!</v>
          </cell>
          <cell r="GJ6" t="e">
            <v>#REF!</v>
          </cell>
          <cell r="GK6" t="e">
            <v>#REF!</v>
          </cell>
          <cell r="GL6" t="e">
            <v>#REF!</v>
          </cell>
          <cell r="GM6" t="e">
            <v>#REF!</v>
          </cell>
          <cell r="GN6" t="e">
            <v>#REF!</v>
          </cell>
          <cell r="GO6" t="e">
            <v>#REF!</v>
          </cell>
          <cell r="GP6" t="e">
            <v>#REF!</v>
          </cell>
          <cell r="GQ6" t="e">
            <v>#REF!</v>
          </cell>
          <cell r="GR6" t="e">
            <v>#REF!</v>
          </cell>
          <cell r="GS6" t="e">
            <v>#REF!</v>
          </cell>
          <cell r="GT6" t="e">
            <v>#REF!</v>
          </cell>
          <cell r="GU6" t="e">
            <v>#REF!</v>
          </cell>
          <cell r="GV6" t="e">
            <v>#REF!</v>
          </cell>
          <cell r="GW6" t="e">
            <v>#REF!</v>
          </cell>
          <cell r="GX6" t="e">
            <v>#REF!</v>
          </cell>
          <cell r="GY6" t="e">
            <v>#REF!</v>
          </cell>
          <cell r="GZ6" t="e">
            <v>#REF!</v>
          </cell>
          <cell r="HA6" t="e">
            <v>#REF!</v>
          </cell>
          <cell r="HB6" t="e">
            <v>#REF!</v>
          </cell>
          <cell r="HC6" t="e">
            <v>#REF!</v>
          </cell>
          <cell r="HD6" t="e">
            <v>#REF!</v>
          </cell>
          <cell r="HE6" t="e">
            <v>#REF!</v>
          </cell>
          <cell r="HF6" t="e">
            <v>#REF!</v>
          </cell>
          <cell r="HG6" t="e">
            <v>#REF!</v>
          </cell>
          <cell r="HH6" t="e">
            <v>#REF!</v>
          </cell>
          <cell r="HI6" t="e">
            <v>#REF!</v>
          </cell>
          <cell r="HJ6" t="e">
            <v>#REF!</v>
          </cell>
          <cell r="HK6" t="e">
            <v>#REF!</v>
          </cell>
        </row>
        <row r="9">
          <cell r="D9">
            <v>0.10783166285218215</v>
          </cell>
          <cell r="E9">
            <v>0.10783166285218215</v>
          </cell>
          <cell r="F9">
            <v>0.10783166285218215</v>
          </cell>
          <cell r="G9">
            <v>0.10783166285218215</v>
          </cell>
          <cell r="H9">
            <v>0.10783166285218215</v>
          </cell>
          <cell r="I9">
            <v>0.10783166285218215</v>
          </cell>
          <cell r="J9">
            <v>0.10783166285218215</v>
          </cell>
          <cell r="K9">
            <v>0.10783166285218215</v>
          </cell>
          <cell r="L9">
            <v>0.10783166285218215</v>
          </cell>
          <cell r="M9">
            <v>0.10783166285218215</v>
          </cell>
          <cell r="N9">
            <v>0.10783166285218215</v>
          </cell>
          <cell r="O9">
            <v>0.10783166285218215</v>
          </cell>
          <cell r="P9">
            <v>0.10783166285218215</v>
          </cell>
          <cell r="Q9">
            <v>0.10783166285218215</v>
          </cell>
          <cell r="R9">
            <v>0.10783166285218215</v>
          </cell>
          <cell r="S9">
            <v>0.10783166285218215</v>
          </cell>
          <cell r="T9">
            <v>0.10783166285218215</v>
          </cell>
          <cell r="U9">
            <v>0.10783166285218215</v>
          </cell>
          <cell r="V9">
            <v>0.10783166285218215</v>
          </cell>
          <cell r="W9">
            <v>0.10783166285218215</v>
          </cell>
          <cell r="X9">
            <v>0.10783166285218215</v>
          </cell>
          <cell r="Y9">
            <v>0.10783166285218215</v>
          </cell>
          <cell r="Z9">
            <v>0.10783166285218215</v>
          </cell>
          <cell r="AA9">
            <v>0.10783166285218215</v>
          </cell>
          <cell r="AB9">
            <v>0.10783166285218215</v>
          </cell>
          <cell r="AC9">
            <v>0.10783166285218215</v>
          </cell>
          <cell r="AD9">
            <v>0.10783166285218215</v>
          </cell>
          <cell r="AE9">
            <v>0.10783166285218215</v>
          </cell>
          <cell r="AF9">
            <v>0.10783166285218215</v>
          </cell>
          <cell r="AG9">
            <v>0.10783166285218215</v>
          </cell>
          <cell r="AH9">
            <v>0.10783166285218215</v>
          </cell>
          <cell r="AI9" t="e">
            <v>#REF!</v>
          </cell>
          <cell r="AJ9" t="e">
            <v>#REF!</v>
          </cell>
          <cell r="AK9" t="e">
            <v>#REF!</v>
          </cell>
          <cell r="AL9" t="e">
            <v>#REF!</v>
          </cell>
          <cell r="AM9" t="e">
            <v>#REF!</v>
          </cell>
          <cell r="AN9" t="e">
            <v>#REF!</v>
          </cell>
          <cell r="AO9" t="e">
            <v>#REF!</v>
          </cell>
          <cell r="AP9" t="e">
            <v>#REF!</v>
          </cell>
          <cell r="AQ9" t="e">
            <v>#REF!</v>
          </cell>
          <cell r="AR9" t="e">
            <v>#REF!</v>
          </cell>
          <cell r="AS9" t="e">
            <v>#REF!</v>
          </cell>
          <cell r="AT9" t="e">
            <v>#REF!</v>
          </cell>
          <cell r="AU9" t="e">
            <v>#REF!</v>
          </cell>
          <cell r="AV9" t="e">
            <v>#REF!</v>
          </cell>
          <cell r="AW9" t="e">
            <v>#REF!</v>
          </cell>
          <cell r="AX9" t="e">
            <v>#REF!</v>
          </cell>
          <cell r="AY9" t="e">
            <v>#REF!</v>
          </cell>
          <cell r="AZ9" t="e">
            <v>#REF!</v>
          </cell>
          <cell r="BA9" t="e">
            <v>#REF!</v>
          </cell>
          <cell r="BB9" t="e">
            <v>#REF!</v>
          </cell>
          <cell r="BC9" t="e">
            <v>#REF!</v>
          </cell>
          <cell r="BD9" t="e">
            <v>#REF!</v>
          </cell>
          <cell r="BE9" t="e">
            <v>#REF!</v>
          </cell>
          <cell r="BF9" t="e">
            <v>#REF!</v>
          </cell>
          <cell r="BG9" t="e">
            <v>#REF!</v>
          </cell>
          <cell r="BH9" t="e">
            <v>#REF!</v>
          </cell>
          <cell r="BI9" t="e">
            <v>#REF!</v>
          </cell>
          <cell r="BJ9" t="e">
            <v>#REF!</v>
          </cell>
          <cell r="BK9" t="e">
            <v>#REF!</v>
          </cell>
          <cell r="BL9" t="e">
            <v>#REF!</v>
          </cell>
          <cell r="BM9" t="e">
            <v>#REF!</v>
          </cell>
          <cell r="BN9" t="e">
            <v>#REF!</v>
          </cell>
          <cell r="BO9" t="e">
            <v>#REF!</v>
          </cell>
          <cell r="BP9" t="e">
            <v>#REF!</v>
          </cell>
          <cell r="BQ9" t="e">
            <v>#REF!</v>
          </cell>
          <cell r="BR9" t="e">
            <v>#REF!</v>
          </cell>
          <cell r="BS9" t="e">
            <v>#REF!</v>
          </cell>
          <cell r="BT9" t="e">
            <v>#REF!</v>
          </cell>
          <cell r="BU9" t="e">
            <v>#REF!</v>
          </cell>
          <cell r="BV9" t="e">
            <v>#REF!</v>
          </cell>
          <cell r="BW9" t="e">
            <v>#REF!</v>
          </cell>
          <cell r="BX9" t="e">
            <v>#REF!</v>
          </cell>
          <cell r="BY9" t="e">
            <v>#REF!</v>
          </cell>
          <cell r="BZ9" t="e">
            <v>#REF!</v>
          </cell>
          <cell r="CA9" t="e">
            <v>#REF!</v>
          </cell>
          <cell r="CB9" t="e">
            <v>#REF!</v>
          </cell>
          <cell r="CC9" t="e">
            <v>#REF!</v>
          </cell>
          <cell r="CD9" t="e">
            <v>#REF!</v>
          </cell>
          <cell r="CE9" t="e">
            <v>#REF!</v>
          </cell>
          <cell r="CF9" t="e">
            <v>#REF!</v>
          </cell>
          <cell r="CG9" t="e">
            <v>#REF!</v>
          </cell>
          <cell r="CH9" t="e">
            <v>#REF!</v>
          </cell>
          <cell r="CI9" t="e">
            <v>#REF!</v>
          </cell>
          <cell r="CJ9" t="e">
            <v>#REF!</v>
          </cell>
          <cell r="CK9" t="e">
            <v>#REF!</v>
          </cell>
          <cell r="CL9" t="e">
            <v>#REF!</v>
          </cell>
          <cell r="CM9" t="e">
            <v>#REF!</v>
          </cell>
          <cell r="CN9" t="e">
            <v>#REF!</v>
          </cell>
          <cell r="CO9" t="e">
            <v>#REF!</v>
          </cell>
          <cell r="CP9" t="e">
            <v>#REF!</v>
          </cell>
          <cell r="CQ9" t="e">
            <v>#REF!</v>
          </cell>
          <cell r="CR9" t="e">
            <v>#REF!</v>
          </cell>
          <cell r="CS9" t="e">
            <v>#REF!</v>
          </cell>
          <cell r="CT9" t="e">
            <v>#REF!</v>
          </cell>
          <cell r="CU9" t="e">
            <v>#REF!</v>
          </cell>
          <cell r="CV9" t="e">
            <v>#REF!</v>
          </cell>
          <cell r="CW9" t="e">
            <v>#REF!</v>
          </cell>
          <cell r="CX9" t="e">
            <v>#REF!</v>
          </cell>
          <cell r="CY9" t="e">
            <v>#REF!</v>
          </cell>
          <cell r="CZ9" t="e">
            <v>#REF!</v>
          </cell>
          <cell r="DA9" t="e">
            <v>#REF!</v>
          </cell>
          <cell r="DB9" t="e">
            <v>#REF!</v>
          </cell>
          <cell r="DC9" t="e">
            <v>#REF!</v>
          </cell>
          <cell r="DD9" t="e">
            <v>#REF!</v>
          </cell>
          <cell r="DE9" t="e">
            <v>#REF!</v>
          </cell>
          <cell r="DF9" t="e">
            <v>#REF!</v>
          </cell>
          <cell r="DG9" t="e">
            <v>#REF!</v>
          </cell>
          <cell r="DH9" t="e">
            <v>#REF!</v>
          </cell>
          <cell r="DI9" t="e">
            <v>#REF!</v>
          </cell>
          <cell r="DJ9" t="e">
            <v>#REF!</v>
          </cell>
          <cell r="DK9" t="e">
            <v>#REF!</v>
          </cell>
          <cell r="DL9" t="e">
            <v>#REF!</v>
          </cell>
          <cell r="DM9" t="e">
            <v>#REF!</v>
          </cell>
          <cell r="DN9" t="e">
            <v>#REF!</v>
          </cell>
          <cell r="DO9" t="e">
            <v>#REF!</v>
          </cell>
          <cell r="DP9" t="e">
            <v>#REF!</v>
          </cell>
          <cell r="DQ9" t="e">
            <v>#REF!</v>
          </cell>
          <cell r="DR9" t="e">
            <v>#REF!</v>
          </cell>
          <cell r="DS9" t="e">
            <v>#REF!</v>
          </cell>
          <cell r="DT9" t="e">
            <v>#REF!</v>
          </cell>
          <cell r="DU9" t="e">
            <v>#REF!</v>
          </cell>
          <cell r="DV9" t="e">
            <v>#REF!</v>
          </cell>
          <cell r="DW9" t="e">
            <v>#REF!</v>
          </cell>
          <cell r="DX9" t="e">
            <v>#REF!</v>
          </cell>
          <cell r="DY9" t="e">
            <v>#REF!</v>
          </cell>
          <cell r="DZ9" t="e">
            <v>#REF!</v>
          </cell>
          <cell r="EA9" t="e">
            <v>#REF!</v>
          </cell>
          <cell r="EB9" t="e">
            <v>#REF!</v>
          </cell>
          <cell r="EC9" t="e">
            <v>#REF!</v>
          </cell>
          <cell r="ED9" t="e">
            <v>#REF!</v>
          </cell>
          <cell r="EE9" t="e">
            <v>#REF!</v>
          </cell>
          <cell r="EF9" t="e">
            <v>#REF!</v>
          </cell>
          <cell r="EG9" t="e">
            <v>#REF!</v>
          </cell>
          <cell r="EH9" t="e">
            <v>#REF!</v>
          </cell>
          <cell r="EI9" t="e">
            <v>#REF!</v>
          </cell>
          <cell r="EJ9" t="e">
            <v>#REF!</v>
          </cell>
          <cell r="EK9" t="e">
            <v>#REF!</v>
          </cell>
          <cell r="EL9" t="e">
            <v>#REF!</v>
          </cell>
          <cell r="EM9" t="e">
            <v>#REF!</v>
          </cell>
          <cell r="EN9" t="e">
            <v>#REF!</v>
          </cell>
          <cell r="EO9" t="e">
            <v>#REF!</v>
          </cell>
          <cell r="EP9" t="e">
            <v>#REF!</v>
          </cell>
          <cell r="EQ9" t="e">
            <v>#REF!</v>
          </cell>
          <cell r="ER9" t="e">
            <v>#REF!</v>
          </cell>
          <cell r="ES9" t="e">
            <v>#REF!</v>
          </cell>
          <cell r="ET9" t="e">
            <v>#REF!</v>
          </cell>
          <cell r="EU9" t="e">
            <v>#REF!</v>
          </cell>
          <cell r="EV9" t="e">
            <v>#REF!</v>
          </cell>
          <cell r="EW9" t="e">
            <v>#REF!</v>
          </cell>
          <cell r="EX9" t="e">
            <v>#REF!</v>
          </cell>
          <cell r="EY9" t="e">
            <v>#REF!</v>
          </cell>
          <cell r="EZ9" t="e">
            <v>#REF!</v>
          </cell>
          <cell r="FA9" t="e">
            <v>#REF!</v>
          </cell>
          <cell r="FB9" t="e">
            <v>#REF!</v>
          </cell>
          <cell r="FC9" t="e">
            <v>#REF!</v>
          </cell>
          <cell r="FD9" t="e">
            <v>#REF!</v>
          </cell>
          <cell r="FE9" t="e">
            <v>#REF!</v>
          </cell>
          <cell r="FF9" t="e">
            <v>#REF!</v>
          </cell>
          <cell r="FG9" t="e">
            <v>#REF!</v>
          </cell>
          <cell r="FH9" t="e">
            <v>#REF!</v>
          </cell>
          <cell r="FI9" t="e">
            <v>#REF!</v>
          </cell>
          <cell r="FJ9" t="e">
            <v>#REF!</v>
          </cell>
          <cell r="FK9" t="e">
            <v>#REF!</v>
          </cell>
          <cell r="FL9" t="e">
            <v>#REF!</v>
          </cell>
          <cell r="FM9" t="e">
            <v>#REF!</v>
          </cell>
          <cell r="FN9" t="e">
            <v>#REF!</v>
          </cell>
          <cell r="FO9" t="e">
            <v>#REF!</v>
          </cell>
          <cell r="FP9" t="e">
            <v>#REF!</v>
          </cell>
          <cell r="FQ9" t="e">
            <v>#REF!</v>
          </cell>
          <cell r="FR9" t="e">
            <v>#REF!</v>
          </cell>
          <cell r="FS9" t="e">
            <v>#REF!</v>
          </cell>
          <cell r="FT9" t="e">
            <v>#REF!</v>
          </cell>
          <cell r="FU9" t="e">
            <v>#REF!</v>
          </cell>
          <cell r="FV9" t="e">
            <v>#REF!</v>
          </cell>
          <cell r="FW9" t="e">
            <v>#REF!</v>
          </cell>
          <cell r="FX9" t="e">
            <v>#REF!</v>
          </cell>
          <cell r="FY9" t="e">
            <v>#REF!</v>
          </cell>
          <cell r="FZ9" t="e">
            <v>#REF!</v>
          </cell>
          <cell r="GA9" t="e">
            <v>#REF!</v>
          </cell>
          <cell r="GB9" t="e">
            <v>#REF!</v>
          </cell>
          <cell r="GC9" t="e">
            <v>#REF!</v>
          </cell>
          <cell r="GD9" t="e">
            <v>#REF!</v>
          </cell>
          <cell r="GE9" t="e">
            <v>#REF!</v>
          </cell>
          <cell r="GF9" t="e">
            <v>#REF!</v>
          </cell>
          <cell r="GG9" t="e">
            <v>#REF!</v>
          </cell>
          <cell r="GH9" t="e">
            <v>#REF!</v>
          </cell>
          <cell r="GI9" t="e">
            <v>#REF!</v>
          </cell>
          <cell r="GJ9" t="e">
            <v>#REF!</v>
          </cell>
          <cell r="GK9" t="e">
            <v>#REF!</v>
          </cell>
          <cell r="GL9" t="e">
            <v>#REF!</v>
          </cell>
          <cell r="GM9" t="e">
            <v>#REF!</v>
          </cell>
          <cell r="GN9" t="e">
            <v>#REF!</v>
          </cell>
          <cell r="GO9" t="e">
            <v>#REF!</v>
          </cell>
          <cell r="GP9" t="e">
            <v>#REF!</v>
          </cell>
          <cell r="GQ9" t="e">
            <v>#REF!</v>
          </cell>
          <cell r="GR9" t="e">
            <v>#REF!</v>
          </cell>
          <cell r="GS9" t="e">
            <v>#REF!</v>
          </cell>
          <cell r="GT9" t="e">
            <v>#REF!</v>
          </cell>
          <cell r="GU9" t="e">
            <v>#REF!</v>
          </cell>
          <cell r="GV9" t="e">
            <v>#REF!</v>
          </cell>
          <cell r="GW9" t="e">
            <v>#REF!</v>
          </cell>
          <cell r="GX9" t="e">
            <v>#REF!</v>
          </cell>
          <cell r="GY9" t="e">
            <v>#REF!</v>
          </cell>
          <cell r="GZ9" t="e">
            <v>#REF!</v>
          </cell>
          <cell r="HA9" t="e">
            <v>#REF!</v>
          </cell>
          <cell r="HB9" t="e">
            <v>#REF!</v>
          </cell>
          <cell r="HC9" t="e">
            <v>#REF!</v>
          </cell>
          <cell r="HD9" t="e">
            <v>#REF!</v>
          </cell>
          <cell r="HE9" t="e">
            <v>#REF!</v>
          </cell>
          <cell r="HF9" t="e">
            <v>#REF!</v>
          </cell>
          <cell r="HG9" t="e">
            <v>#REF!</v>
          </cell>
          <cell r="HH9" t="e">
            <v>#REF!</v>
          </cell>
          <cell r="HI9" t="e">
            <v>#REF!</v>
          </cell>
          <cell r="HJ9" t="e">
            <v>#REF!</v>
          </cell>
          <cell r="HK9" t="e">
            <v>#REF!</v>
          </cell>
        </row>
        <row r="11">
          <cell r="D11">
            <v>1535.6979000000033</v>
          </cell>
          <cell r="E11">
            <v>1510.4778000000033</v>
          </cell>
          <cell r="F11">
            <v>1519.0705000000032</v>
          </cell>
          <cell r="G11">
            <v>1527.6632000000031</v>
          </cell>
          <cell r="H11">
            <v>1536.2559000000031</v>
          </cell>
          <cell r="I11">
            <v>1544.848600000003</v>
          </cell>
          <cell r="J11">
            <v>1553.4413000000029</v>
          </cell>
          <cell r="K11">
            <v>1562.0340000000028</v>
          </cell>
          <cell r="L11">
            <v>1570.6267000000028</v>
          </cell>
          <cell r="M11">
            <v>1579.2194000000027</v>
          </cell>
          <cell r="N11">
            <v>1587.8121000000026</v>
          </cell>
          <cell r="O11">
            <v>1596.4048000000025</v>
          </cell>
          <cell r="P11">
            <v>1604.9975000000024</v>
          </cell>
          <cell r="Q11">
            <v>1613.5902000000024</v>
          </cell>
          <cell r="R11">
            <v>1622.1829000000023</v>
          </cell>
          <cell r="S11">
            <v>1630.7756000000022</v>
          </cell>
          <cell r="T11">
            <v>1639.3683000000021</v>
          </cell>
          <cell r="U11">
            <v>1647.9610000000021</v>
          </cell>
          <cell r="V11">
            <v>1656.553700000002</v>
          </cell>
          <cell r="W11">
            <v>1665.1464000000019</v>
          </cell>
          <cell r="X11">
            <v>1673.7391000000018</v>
          </cell>
          <cell r="Y11">
            <v>1682.3318000000017</v>
          </cell>
          <cell r="Z11">
            <v>1690.9245000000017</v>
          </cell>
          <cell r="AA11">
            <v>1699.5172000000016</v>
          </cell>
          <cell r="AB11">
            <v>1708.1099000000015</v>
          </cell>
          <cell r="AC11">
            <v>1716.7026000000014</v>
          </cell>
          <cell r="AD11">
            <v>1725.2953000000014</v>
          </cell>
          <cell r="AE11">
            <v>1733.8880000000013</v>
          </cell>
          <cell r="AF11">
            <v>1742.4807000000012</v>
          </cell>
          <cell r="AG11">
            <v>804.31500000000005</v>
          </cell>
          <cell r="AH11">
            <v>804.31500000000005</v>
          </cell>
          <cell r="AI11">
            <v>858.13179493087569</v>
          </cell>
          <cell r="AJ11">
            <v>911.94858986175132</v>
          </cell>
          <cell r="AK11">
            <v>965.76538479262695</v>
          </cell>
          <cell r="AL11">
            <v>1019.5821797235026</v>
          </cell>
          <cell r="AM11">
            <v>1073.3989746543782</v>
          </cell>
          <cell r="AN11">
            <v>1127.2157695852538</v>
          </cell>
          <cell r="AO11">
            <v>1181.0325645161295</v>
          </cell>
          <cell r="AP11">
            <v>1234.8493594470051</v>
          </cell>
          <cell r="AQ11">
            <v>1288.6661543778807</v>
          </cell>
          <cell r="AR11">
            <v>1342.4829493087564</v>
          </cell>
          <cell r="AS11">
            <v>1396.299744239632</v>
          </cell>
          <cell r="AT11">
            <v>1450.1165391705076</v>
          </cell>
          <cell r="AU11">
            <v>1503.9333341013833</v>
          </cell>
          <cell r="AV11">
            <v>1557.7501290322589</v>
          </cell>
          <cell r="AW11">
            <v>1611.5669239631345</v>
          </cell>
          <cell r="AX11">
            <v>1665.3837188940101</v>
          </cell>
          <cell r="AY11">
            <v>1719.2005138248858</v>
          </cell>
          <cell r="AZ11">
            <v>1773.0173087557614</v>
          </cell>
          <cell r="BA11">
            <v>1826.834103686637</v>
          </cell>
          <cell r="BB11">
            <v>1880.6508986175127</v>
          </cell>
          <cell r="BC11">
            <v>1934.4676935483883</v>
          </cell>
          <cell r="BD11">
            <v>1988.2844884792639</v>
          </cell>
          <cell r="BE11">
            <v>2042.1012834101396</v>
          </cell>
          <cell r="BF11">
            <v>2095.9180783410152</v>
          </cell>
          <cell r="BG11">
            <v>2149.734873271891</v>
          </cell>
          <cell r="BH11">
            <v>2203.5516682027669</v>
          </cell>
          <cell r="BI11">
            <v>2257.3684631336428</v>
          </cell>
          <cell r="BJ11">
            <v>2311.1852580645186</v>
          </cell>
          <cell r="BK11">
            <v>2365.0020529953945</v>
          </cell>
          <cell r="BL11">
            <v>2418.8188479262703</v>
          </cell>
          <cell r="BM11">
            <v>2472.6356428571453</v>
          </cell>
          <cell r="BN11">
            <v>2472.6356428571453</v>
          </cell>
          <cell r="BO11">
            <v>2526.4524377880211</v>
          </cell>
          <cell r="BP11">
            <v>2580.269232718897</v>
          </cell>
          <cell r="BQ11">
            <v>2634.0860276497729</v>
          </cell>
          <cell r="BR11">
            <v>2687.9028225806487</v>
          </cell>
          <cell r="BS11">
            <v>2741.7196175115246</v>
          </cell>
          <cell r="BT11">
            <v>2795.5364124424004</v>
          </cell>
          <cell r="BU11">
            <v>2849.3532073732763</v>
          </cell>
          <cell r="BV11">
            <v>2903.1700023041521</v>
          </cell>
          <cell r="BW11">
            <v>2956.986797235028</v>
          </cell>
          <cell r="BX11">
            <v>3010.8035921659039</v>
          </cell>
          <cell r="BY11">
            <v>3064.6203870967797</v>
          </cell>
          <cell r="BZ11">
            <v>3118.4371820276556</v>
          </cell>
          <cell r="CA11">
            <v>3172.2539769585314</v>
          </cell>
          <cell r="CB11">
            <v>3226.0707718894073</v>
          </cell>
          <cell r="CC11">
            <v>3279.8875668202832</v>
          </cell>
          <cell r="CD11">
            <v>3333.704361751159</v>
          </cell>
          <cell r="CE11">
            <v>3387.5211566820349</v>
          </cell>
          <cell r="CF11">
            <v>3441.3379516129107</v>
          </cell>
          <cell r="CG11">
            <v>3495.1547465437866</v>
          </cell>
          <cell r="CH11">
            <v>3548.9715414746624</v>
          </cell>
          <cell r="CI11">
            <v>3602.7883364055383</v>
          </cell>
          <cell r="CJ11">
            <v>3656.6051313364142</v>
          </cell>
          <cell r="CK11">
            <v>3710.42192626729</v>
          </cell>
          <cell r="CL11">
            <v>3764.2387211981659</v>
          </cell>
          <cell r="CM11">
            <v>3818.0555161290417</v>
          </cell>
          <cell r="CN11">
            <v>3871.8723110599176</v>
          </cell>
          <cell r="CO11">
            <v>3925.6891059907935</v>
          </cell>
          <cell r="CP11">
            <v>3979.5059009216693</v>
          </cell>
          <cell r="CQ11">
            <v>4033.3226958525452</v>
          </cell>
          <cell r="CR11">
            <v>4087.139490783421</v>
          </cell>
          <cell r="CS11">
            <v>4140.9562857142964</v>
          </cell>
          <cell r="CT11">
            <v>4194.7730806451718</v>
          </cell>
          <cell r="CU11">
            <v>4248.5898755760472</v>
          </cell>
          <cell r="CV11">
            <v>4302.4066705069226</v>
          </cell>
          <cell r="CW11">
            <v>4356.223465437798</v>
          </cell>
          <cell r="CX11">
            <v>4410.0402603686734</v>
          </cell>
          <cell r="CY11">
            <v>4463.8570552995488</v>
          </cell>
          <cell r="CZ11">
            <v>4517.6738502304243</v>
          </cell>
          <cell r="DA11">
            <v>4571.4906451612997</v>
          </cell>
          <cell r="DB11">
            <v>4625.3074400921751</v>
          </cell>
          <cell r="DC11">
            <v>4679.1242350230505</v>
          </cell>
          <cell r="DD11">
            <v>4732.9410299539259</v>
          </cell>
          <cell r="DE11">
            <v>4786.7578248848013</v>
          </cell>
          <cell r="DF11">
            <v>4840.5746198156767</v>
          </cell>
          <cell r="DG11">
            <v>4894.3914147465521</v>
          </cell>
          <cell r="DH11">
            <v>4948.2082096774275</v>
          </cell>
          <cell r="DI11">
            <v>5002.0250046083029</v>
          </cell>
          <cell r="DJ11">
            <v>5055.8417995391783</v>
          </cell>
          <cell r="DK11">
            <v>5109.6585944700537</v>
          </cell>
          <cell r="DL11">
            <v>5163.4753894009291</v>
          </cell>
          <cell r="DM11">
            <v>5217.2921843318045</v>
          </cell>
          <cell r="DN11">
            <v>5271.1089792626799</v>
          </cell>
          <cell r="DO11">
            <v>5324.9257741935553</v>
          </cell>
          <cell r="DP11">
            <v>5378.7425691244307</v>
          </cell>
          <cell r="DQ11">
            <v>5432.5593640553061</v>
          </cell>
          <cell r="DR11">
            <v>5486.3761589861815</v>
          </cell>
          <cell r="DS11">
            <v>5540.1929539170569</v>
          </cell>
          <cell r="DT11">
            <v>5594.0097488479323</v>
          </cell>
          <cell r="DU11">
            <v>5647.8265437788077</v>
          </cell>
          <cell r="DV11">
            <v>5701.6433387096831</v>
          </cell>
          <cell r="DW11">
            <v>5755.4601336405585</v>
          </cell>
          <cell r="DX11">
            <v>5694.8982666567617</v>
          </cell>
          <cell r="DY11">
            <v>5634.3363996729649</v>
          </cell>
          <cell r="DZ11">
            <v>5573.7745326891682</v>
          </cell>
          <cell r="EA11">
            <v>5513.2126657053714</v>
          </cell>
          <cell r="EB11">
            <v>5452.6507987215746</v>
          </cell>
          <cell r="EC11">
            <v>5392.0889317377778</v>
          </cell>
          <cell r="ED11">
            <v>5331.527064753981</v>
          </cell>
          <cell r="EE11">
            <v>5270.9651977701842</v>
          </cell>
          <cell r="EF11">
            <v>5210.4033307863874</v>
          </cell>
          <cell r="EG11">
            <v>5149.8414638025906</v>
          </cell>
          <cell r="EH11">
            <v>5089.2795968187938</v>
          </cell>
          <cell r="EI11">
            <v>5028.717729834997</v>
          </cell>
          <cell r="EJ11">
            <v>4968.1558628512003</v>
          </cell>
          <cell r="EK11">
            <v>4907.5939958674035</v>
          </cell>
          <cell r="EL11">
            <v>4847.0321288836067</v>
          </cell>
          <cell r="EM11">
            <v>4786.4702618998099</v>
          </cell>
          <cell r="EN11">
            <v>4725.9083949160131</v>
          </cell>
          <cell r="EO11">
            <v>4665.3465279322163</v>
          </cell>
          <cell r="EP11">
            <v>4604.7846609484195</v>
          </cell>
          <cell r="EQ11">
            <v>4544.2227939646227</v>
          </cell>
          <cell r="ER11">
            <v>4483.6609269808259</v>
          </cell>
          <cell r="ES11">
            <v>4423.0990599970291</v>
          </cell>
          <cell r="ET11">
            <v>4362.5371930132324</v>
          </cell>
          <cell r="EU11">
            <v>4301.9753260294356</v>
          </cell>
          <cell r="EV11">
            <v>4241.4134590456388</v>
          </cell>
          <cell r="EW11">
            <v>4180.851592061842</v>
          </cell>
          <cell r="EX11">
            <v>4120.2897250780452</v>
          </cell>
          <cell r="EY11">
            <v>4059.7278580942484</v>
          </cell>
          <cell r="EZ11">
            <v>3999.1659911104516</v>
          </cell>
          <cell r="FA11">
            <v>3938.6041241266548</v>
          </cell>
          <cell r="FB11">
            <v>3878.0422571428576</v>
          </cell>
          <cell r="FC11">
            <v>3817.4803901590608</v>
          </cell>
          <cell r="FD11">
            <v>3756.918523175264</v>
          </cell>
          <cell r="FE11">
            <v>3696.3566561914672</v>
          </cell>
          <cell r="FF11">
            <v>3635.7947892076704</v>
          </cell>
          <cell r="FG11">
            <v>3575.2329222238736</v>
          </cell>
          <cell r="FH11">
            <v>3514.6710552400768</v>
          </cell>
          <cell r="FI11">
            <v>3454.10918825628</v>
          </cell>
          <cell r="FJ11">
            <v>3393.5473212724833</v>
          </cell>
          <cell r="FK11">
            <v>3332.9854542886865</v>
          </cell>
          <cell r="FL11">
            <v>3272.4235873048897</v>
          </cell>
          <cell r="FM11">
            <v>3211.8617203210929</v>
          </cell>
          <cell r="FN11">
            <v>3151.2998533372961</v>
          </cell>
          <cell r="FO11">
            <v>3090.7379863534993</v>
          </cell>
          <cell r="FP11">
            <v>3030.1761193697025</v>
          </cell>
          <cell r="FQ11">
            <v>2969.6142523859057</v>
          </cell>
          <cell r="FR11">
            <v>2909.0523854021089</v>
          </cell>
          <cell r="FS11">
            <v>2848.4905184183121</v>
          </cell>
          <cell r="FT11">
            <v>2787.9286514345154</v>
          </cell>
          <cell r="FU11">
            <v>2727.3667844507186</v>
          </cell>
          <cell r="FV11">
            <v>2666.8049174669218</v>
          </cell>
          <cell r="FW11">
            <v>2606.243050483125</v>
          </cell>
          <cell r="FX11">
            <v>2545.6811834993282</v>
          </cell>
          <cell r="FY11">
            <v>2485.1193165155314</v>
          </cell>
          <cell r="FZ11">
            <v>2424.5574495317346</v>
          </cell>
          <cell r="GA11">
            <v>2363.9955825479378</v>
          </cell>
          <cell r="GB11">
            <v>2303.433715564141</v>
          </cell>
          <cell r="GC11">
            <v>2242.8718485803442</v>
          </cell>
          <cell r="GD11">
            <v>2182.3099815965475</v>
          </cell>
          <cell r="GE11">
            <v>2121.7481146127507</v>
          </cell>
          <cell r="GF11">
            <v>4346.5111285714283</v>
          </cell>
          <cell r="GG11">
            <v>4285.9492615876316</v>
          </cell>
          <cell r="GH11">
            <v>4225.3873946038348</v>
          </cell>
          <cell r="GI11">
            <v>4164.825527620038</v>
          </cell>
          <cell r="GJ11">
            <v>4104.2636606362412</v>
          </cell>
          <cell r="GK11">
            <v>4043.7017936524444</v>
          </cell>
          <cell r="GL11">
            <v>3983.1399266686476</v>
          </cell>
          <cell r="GM11">
            <v>3922.5780596848508</v>
          </cell>
          <cell r="GN11">
            <v>3862.016192701054</v>
          </cell>
          <cell r="GO11">
            <v>3801.4543257172572</v>
          </cell>
          <cell r="GP11">
            <v>3740.8924587334604</v>
          </cell>
          <cell r="GQ11">
            <v>3680.3305917496637</v>
          </cell>
          <cell r="GR11">
            <v>3619.7687247658669</v>
          </cell>
          <cell r="GS11">
            <v>3559.2068577820701</v>
          </cell>
          <cell r="GT11">
            <v>3498.6449907982733</v>
          </cell>
          <cell r="GU11">
            <v>3438.0831238144765</v>
          </cell>
          <cell r="GV11">
            <v>3377.5212568306797</v>
          </cell>
          <cell r="GW11">
            <v>3316.9593898468829</v>
          </cell>
          <cell r="GX11">
            <v>3256.3975228630861</v>
          </cell>
          <cell r="GY11">
            <v>3195.8356558792893</v>
          </cell>
          <cell r="GZ11">
            <v>3135.2737888954925</v>
          </cell>
          <cell r="HA11">
            <v>3074.7119219116958</v>
          </cell>
          <cell r="HB11">
            <v>3014.150054927899</v>
          </cell>
          <cell r="HC11">
            <v>2953.5881879441022</v>
          </cell>
          <cell r="HD11">
            <v>2893.0263209603054</v>
          </cell>
          <cell r="HE11">
            <v>2832.4644539765086</v>
          </cell>
          <cell r="HF11">
            <v>2771.9025869927118</v>
          </cell>
          <cell r="HG11">
            <v>2711.340720008915</v>
          </cell>
          <cell r="HH11">
            <v>2650.7788530251182</v>
          </cell>
          <cell r="HI11">
            <v>2590.2169860413214</v>
          </cell>
          <cell r="HJ11">
            <v>2529.6551190575246</v>
          </cell>
          <cell r="HK11">
            <v>4814.9799999999996</v>
          </cell>
        </row>
        <row r="14">
          <cell r="D14" t="e">
            <v>#REF!</v>
          </cell>
          <cell r="E14" t="e">
            <v>#REF!</v>
          </cell>
          <cell r="F14" t="e">
            <v>#REF!</v>
          </cell>
          <cell r="G14" t="e">
            <v>#REF!</v>
          </cell>
          <cell r="H14" t="e">
            <v>#REF!</v>
          </cell>
          <cell r="I14" t="e">
            <v>#REF!</v>
          </cell>
          <cell r="J14" t="e">
            <v>#REF!</v>
          </cell>
          <cell r="K14" t="e">
            <v>#REF!</v>
          </cell>
          <cell r="L14" t="e">
            <v>#REF!</v>
          </cell>
          <cell r="M14" t="e">
            <v>#REF!</v>
          </cell>
          <cell r="N14" t="e">
            <v>#REF!</v>
          </cell>
          <cell r="O14" t="e">
            <v>#REF!</v>
          </cell>
          <cell r="P14" t="e">
            <v>#REF!</v>
          </cell>
          <cell r="Q14" t="e">
            <v>#REF!</v>
          </cell>
          <cell r="R14" t="e">
            <v>#REF!</v>
          </cell>
          <cell r="S14" t="e">
            <v>#REF!</v>
          </cell>
          <cell r="T14" t="e">
            <v>#REF!</v>
          </cell>
          <cell r="U14" t="e">
            <v>#REF!</v>
          </cell>
          <cell r="V14" t="e">
            <v>#REF!</v>
          </cell>
          <cell r="W14" t="e">
            <v>#REF!</v>
          </cell>
          <cell r="X14" t="e">
            <v>#REF!</v>
          </cell>
          <cell r="Y14" t="e">
            <v>#REF!</v>
          </cell>
          <cell r="Z14" t="e">
            <v>#REF!</v>
          </cell>
          <cell r="AA14" t="e">
            <v>#REF!</v>
          </cell>
          <cell r="AB14" t="e">
            <v>#REF!</v>
          </cell>
          <cell r="AC14" t="e">
            <v>#REF!</v>
          </cell>
          <cell r="AD14" t="e">
            <v>#REF!</v>
          </cell>
          <cell r="AE14" t="e">
            <v>#REF!</v>
          </cell>
          <cell r="AF14" t="e">
            <v>#REF!</v>
          </cell>
          <cell r="AG14" t="e">
            <v>#REF!</v>
          </cell>
          <cell r="AH14" t="e">
            <v>#REF!</v>
          </cell>
          <cell r="AI14" t="e">
            <v>#REF!</v>
          </cell>
          <cell r="AJ14" t="e">
            <v>#REF!</v>
          </cell>
          <cell r="AK14" t="e">
            <v>#REF!</v>
          </cell>
          <cell r="AL14" t="e">
            <v>#REF!</v>
          </cell>
          <cell r="AM14" t="e">
            <v>#REF!</v>
          </cell>
          <cell r="AN14" t="e">
            <v>#REF!</v>
          </cell>
          <cell r="AO14" t="e">
            <v>#REF!</v>
          </cell>
          <cell r="AP14" t="e">
            <v>#REF!</v>
          </cell>
          <cell r="AQ14" t="e">
            <v>#REF!</v>
          </cell>
          <cell r="AR14" t="e">
            <v>#REF!</v>
          </cell>
          <cell r="AS14" t="e">
            <v>#REF!</v>
          </cell>
          <cell r="AT14" t="e">
            <v>#REF!</v>
          </cell>
          <cell r="AU14" t="e">
            <v>#REF!</v>
          </cell>
          <cell r="AV14" t="e">
            <v>#REF!</v>
          </cell>
          <cell r="AW14" t="e">
            <v>#REF!</v>
          </cell>
          <cell r="AX14" t="e">
            <v>#REF!</v>
          </cell>
          <cell r="AY14" t="e">
            <v>#REF!</v>
          </cell>
          <cell r="AZ14" t="e">
            <v>#REF!</v>
          </cell>
          <cell r="BA14" t="e">
            <v>#REF!</v>
          </cell>
          <cell r="BB14" t="e">
            <v>#REF!</v>
          </cell>
          <cell r="BC14" t="e">
            <v>#REF!</v>
          </cell>
          <cell r="BD14" t="e">
            <v>#REF!</v>
          </cell>
          <cell r="BE14" t="e">
            <v>#REF!</v>
          </cell>
          <cell r="BF14" t="e">
            <v>#REF!</v>
          </cell>
          <cell r="BG14" t="e">
            <v>#REF!</v>
          </cell>
          <cell r="BH14" t="e">
            <v>#REF!</v>
          </cell>
          <cell r="BI14" t="e">
            <v>#REF!</v>
          </cell>
          <cell r="BJ14" t="e">
            <v>#REF!</v>
          </cell>
          <cell r="BK14" t="e">
            <v>#REF!</v>
          </cell>
          <cell r="BL14" t="e">
            <v>#REF!</v>
          </cell>
          <cell r="BM14" t="e">
            <v>#REF!</v>
          </cell>
          <cell r="BN14" t="e">
            <v>#REF!</v>
          </cell>
          <cell r="BO14" t="e">
            <v>#REF!</v>
          </cell>
          <cell r="BP14" t="e">
            <v>#REF!</v>
          </cell>
          <cell r="BQ14" t="e">
            <v>#REF!</v>
          </cell>
          <cell r="BR14" t="e">
            <v>#REF!</v>
          </cell>
          <cell r="BS14" t="e">
            <v>#REF!</v>
          </cell>
          <cell r="BT14" t="e">
            <v>#REF!</v>
          </cell>
          <cell r="BU14" t="e">
            <v>#REF!</v>
          </cell>
          <cell r="BV14" t="e">
            <v>#REF!</v>
          </cell>
          <cell r="BW14" t="e">
            <v>#REF!</v>
          </cell>
          <cell r="BX14" t="e">
            <v>#REF!</v>
          </cell>
          <cell r="BY14" t="e">
            <v>#REF!</v>
          </cell>
          <cell r="BZ14" t="e">
            <v>#REF!</v>
          </cell>
          <cell r="CA14" t="e">
            <v>#REF!</v>
          </cell>
          <cell r="CB14" t="e">
            <v>#REF!</v>
          </cell>
          <cell r="CC14" t="e">
            <v>#REF!</v>
          </cell>
          <cell r="CD14" t="e">
            <v>#REF!</v>
          </cell>
          <cell r="CE14" t="e">
            <v>#REF!</v>
          </cell>
          <cell r="CF14" t="e">
            <v>#REF!</v>
          </cell>
          <cell r="CG14" t="e">
            <v>#REF!</v>
          </cell>
          <cell r="CH14" t="e">
            <v>#REF!</v>
          </cell>
          <cell r="CI14" t="e">
            <v>#REF!</v>
          </cell>
          <cell r="CJ14" t="e">
            <v>#REF!</v>
          </cell>
          <cell r="CK14" t="e">
            <v>#REF!</v>
          </cell>
          <cell r="CL14" t="e">
            <v>#REF!</v>
          </cell>
          <cell r="CM14" t="e">
            <v>#REF!</v>
          </cell>
          <cell r="CN14" t="e">
            <v>#REF!</v>
          </cell>
          <cell r="CO14" t="e">
            <v>#REF!</v>
          </cell>
          <cell r="CP14" t="e">
            <v>#REF!</v>
          </cell>
          <cell r="CQ14" t="e">
            <v>#REF!</v>
          </cell>
          <cell r="CR14" t="e">
            <v>#REF!</v>
          </cell>
          <cell r="CS14" t="e">
            <v>#REF!</v>
          </cell>
          <cell r="CT14" t="e">
            <v>#REF!</v>
          </cell>
          <cell r="CU14" t="e">
            <v>#REF!</v>
          </cell>
          <cell r="CV14" t="e">
            <v>#REF!</v>
          </cell>
          <cell r="CW14" t="e">
            <v>#REF!</v>
          </cell>
          <cell r="CX14" t="e">
            <v>#REF!</v>
          </cell>
          <cell r="CY14" t="e">
            <v>#REF!</v>
          </cell>
          <cell r="CZ14" t="e">
            <v>#REF!</v>
          </cell>
          <cell r="DA14" t="e">
            <v>#REF!</v>
          </cell>
          <cell r="DB14" t="e">
            <v>#REF!</v>
          </cell>
          <cell r="DC14" t="e">
            <v>#REF!</v>
          </cell>
          <cell r="DD14" t="e">
            <v>#REF!</v>
          </cell>
          <cell r="DE14" t="e">
            <v>#REF!</v>
          </cell>
          <cell r="DF14" t="e">
            <v>#REF!</v>
          </cell>
          <cell r="DG14" t="e">
            <v>#REF!</v>
          </cell>
          <cell r="DH14" t="e">
            <v>#REF!</v>
          </cell>
          <cell r="DI14" t="e">
            <v>#REF!</v>
          </cell>
          <cell r="DJ14" t="e">
            <v>#REF!</v>
          </cell>
          <cell r="DK14" t="e">
            <v>#REF!</v>
          </cell>
          <cell r="DL14" t="e">
            <v>#REF!</v>
          </cell>
          <cell r="DM14" t="e">
            <v>#REF!</v>
          </cell>
          <cell r="DN14" t="e">
            <v>#REF!</v>
          </cell>
          <cell r="DO14" t="e">
            <v>#REF!</v>
          </cell>
          <cell r="DP14" t="e">
            <v>#REF!</v>
          </cell>
          <cell r="DQ14" t="e">
            <v>#REF!</v>
          </cell>
          <cell r="DR14" t="e">
            <v>#REF!</v>
          </cell>
          <cell r="DS14" t="e">
            <v>#REF!</v>
          </cell>
          <cell r="DT14" t="e">
            <v>#REF!</v>
          </cell>
          <cell r="DU14" t="e">
            <v>#REF!</v>
          </cell>
          <cell r="DV14" t="e">
            <v>#REF!</v>
          </cell>
          <cell r="DW14" t="e">
            <v>#REF!</v>
          </cell>
          <cell r="DX14" t="e">
            <v>#REF!</v>
          </cell>
          <cell r="DY14" t="e">
            <v>#REF!</v>
          </cell>
          <cell r="DZ14" t="e">
            <v>#REF!</v>
          </cell>
          <cell r="EA14" t="e">
            <v>#REF!</v>
          </cell>
          <cell r="EB14" t="e">
            <v>#REF!</v>
          </cell>
          <cell r="EC14" t="e">
            <v>#REF!</v>
          </cell>
          <cell r="ED14" t="e">
            <v>#REF!</v>
          </cell>
          <cell r="EE14" t="e">
            <v>#REF!</v>
          </cell>
          <cell r="EF14" t="e">
            <v>#REF!</v>
          </cell>
          <cell r="EG14" t="e">
            <v>#REF!</v>
          </cell>
          <cell r="EH14" t="e">
            <v>#REF!</v>
          </cell>
          <cell r="EI14" t="e">
            <v>#REF!</v>
          </cell>
          <cell r="EJ14" t="e">
            <v>#REF!</v>
          </cell>
          <cell r="EK14" t="e">
            <v>#REF!</v>
          </cell>
          <cell r="EL14" t="e">
            <v>#REF!</v>
          </cell>
          <cell r="EM14" t="e">
            <v>#REF!</v>
          </cell>
          <cell r="EN14" t="e">
            <v>#REF!</v>
          </cell>
          <cell r="EO14" t="e">
            <v>#REF!</v>
          </cell>
          <cell r="EP14" t="e">
            <v>#REF!</v>
          </cell>
          <cell r="EQ14" t="e">
            <v>#REF!</v>
          </cell>
          <cell r="ER14" t="e">
            <v>#REF!</v>
          </cell>
          <cell r="ES14" t="e">
            <v>#REF!</v>
          </cell>
          <cell r="ET14" t="e">
            <v>#REF!</v>
          </cell>
          <cell r="EU14" t="e">
            <v>#REF!</v>
          </cell>
          <cell r="EV14" t="e">
            <v>#REF!</v>
          </cell>
          <cell r="EW14" t="e">
            <v>#REF!</v>
          </cell>
          <cell r="EX14" t="e">
            <v>#REF!</v>
          </cell>
          <cell r="EY14" t="e">
            <v>#REF!</v>
          </cell>
          <cell r="EZ14" t="e">
            <v>#REF!</v>
          </cell>
          <cell r="FA14" t="e">
            <v>#REF!</v>
          </cell>
          <cell r="FB14" t="e">
            <v>#REF!</v>
          </cell>
          <cell r="FC14" t="e">
            <v>#REF!</v>
          </cell>
          <cell r="FD14" t="e">
            <v>#REF!</v>
          </cell>
          <cell r="FE14" t="e">
            <v>#REF!</v>
          </cell>
          <cell r="FF14" t="e">
            <v>#REF!</v>
          </cell>
          <cell r="FG14" t="e">
            <v>#REF!</v>
          </cell>
          <cell r="FH14" t="e">
            <v>#REF!</v>
          </cell>
          <cell r="FI14" t="e">
            <v>#REF!</v>
          </cell>
          <cell r="FJ14" t="e">
            <v>#REF!</v>
          </cell>
          <cell r="FK14" t="e">
            <v>#REF!</v>
          </cell>
          <cell r="FL14" t="e">
            <v>#REF!</v>
          </cell>
          <cell r="FM14" t="e">
            <v>#REF!</v>
          </cell>
          <cell r="FN14" t="e">
            <v>#REF!</v>
          </cell>
          <cell r="FO14" t="e">
            <v>#REF!</v>
          </cell>
          <cell r="FP14" t="e">
            <v>#REF!</v>
          </cell>
          <cell r="FQ14" t="e">
            <v>#REF!</v>
          </cell>
          <cell r="FR14" t="e">
            <v>#REF!</v>
          </cell>
          <cell r="FS14" t="e">
            <v>#REF!</v>
          </cell>
          <cell r="FT14" t="e">
            <v>#REF!</v>
          </cell>
          <cell r="FU14" t="e">
            <v>#REF!</v>
          </cell>
          <cell r="FV14" t="e">
            <v>#REF!</v>
          </cell>
          <cell r="FW14" t="e">
            <v>#REF!</v>
          </cell>
          <cell r="FX14" t="e">
            <v>#REF!</v>
          </cell>
          <cell r="FY14" t="e">
            <v>#REF!</v>
          </cell>
          <cell r="FZ14" t="e">
            <v>#REF!</v>
          </cell>
          <cell r="GA14" t="e">
            <v>#REF!</v>
          </cell>
          <cell r="GB14" t="e">
            <v>#REF!</v>
          </cell>
          <cell r="GC14" t="e">
            <v>#REF!</v>
          </cell>
          <cell r="GD14" t="e">
            <v>#REF!</v>
          </cell>
          <cell r="GE14" t="e">
            <v>#REF!</v>
          </cell>
          <cell r="GF14" t="e">
            <v>#REF!</v>
          </cell>
          <cell r="GG14" t="e">
            <v>#REF!</v>
          </cell>
          <cell r="GH14" t="e">
            <v>#REF!</v>
          </cell>
          <cell r="GI14" t="e">
            <v>#REF!</v>
          </cell>
          <cell r="GJ14" t="e">
            <v>#REF!</v>
          </cell>
          <cell r="GK14" t="e">
            <v>#REF!</v>
          </cell>
          <cell r="GL14" t="e">
            <v>#REF!</v>
          </cell>
          <cell r="GM14" t="e">
            <v>#REF!</v>
          </cell>
          <cell r="GN14" t="e">
            <v>#REF!</v>
          </cell>
          <cell r="GO14" t="e">
            <v>#REF!</v>
          </cell>
          <cell r="GP14" t="e">
            <v>#REF!</v>
          </cell>
          <cell r="GQ14" t="e">
            <v>#REF!</v>
          </cell>
          <cell r="GR14" t="e">
            <v>#REF!</v>
          </cell>
          <cell r="GS14" t="e">
            <v>#REF!</v>
          </cell>
          <cell r="GT14" t="e">
            <v>#REF!</v>
          </cell>
          <cell r="GU14" t="e">
            <v>#REF!</v>
          </cell>
          <cell r="GV14" t="e">
            <v>#REF!</v>
          </cell>
          <cell r="GW14" t="e">
            <v>#REF!</v>
          </cell>
          <cell r="GX14" t="e">
            <v>#REF!</v>
          </cell>
          <cell r="GY14" t="e">
            <v>#REF!</v>
          </cell>
          <cell r="GZ14" t="e">
            <v>#REF!</v>
          </cell>
          <cell r="HA14" t="e">
            <v>#REF!</v>
          </cell>
          <cell r="HB14" t="e">
            <v>#REF!</v>
          </cell>
          <cell r="HC14" t="e">
            <v>#REF!</v>
          </cell>
          <cell r="HD14" t="e">
            <v>#REF!</v>
          </cell>
          <cell r="HE14" t="e">
            <v>#REF!</v>
          </cell>
          <cell r="HF14" t="e">
            <v>#REF!</v>
          </cell>
          <cell r="HG14" t="e">
            <v>#REF!</v>
          </cell>
          <cell r="HH14" t="e">
            <v>#REF!</v>
          </cell>
          <cell r="HI14" t="e">
            <v>#REF!</v>
          </cell>
          <cell r="HJ14" t="e">
            <v>#REF!</v>
          </cell>
          <cell r="HK14" t="e">
            <v>#REF!</v>
          </cell>
        </row>
        <row r="16">
          <cell r="D16" t="e">
            <v>#REF!</v>
          </cell>
          <cell r="E16" t="e">
            <v>#REF!</v>
          </cell>
          <cell r="F16" t="e">
            <v>#REF!</v>
          </cell>
          <cell r="G16" t="e">
            <v>#REF!</v>
          </cell>
          <cell r="H16" t="e">
            <v>#REF!</v>
          </cell>
          <cell r="I16" t="e">
            <v>#REF!</v>
          </cell>
          <cell r="J16" t="e">
            <v>#REF!</v>
          </cell>
          <cell r="K16" t="e">
            <v>#REF!</v>
          </cell>
          <cell r="L16" t="e">
            <v>#REF!</v>
          </cell>
          <cell r="M16" t="e">
            <v>#REF!</v>
          </cell>
          <cell r="N16" t="e">
            <v>#REF!</v>
          </cell>
          <cell r="O16" t="e">
            <v>#REF!</v>
          </cell>
          <cell r="P16" t="e">
            <v>#REF!</v>
          </cell>
          <cell r="Q16" t="e">
            <v>#REF!</v>
          </cell>
          <cell r="R16" t="e">
            <v>#REF!</v>
          </cell>
          <cell r="S16" t="e">
            <v>#REF!</v>
          </cell>
          <cell r="T16" t="e">
            <v>#REF!</v>
          </cell>
          <cell r="U16" t="e">
            <v>#REF!</v>
          </cell>
          <cell r="V16" t="e">
            <v>#REF!</v>
          </cell>
          <cell r="W16" t="e">
            <v>#REF!</v>
          </cell>
          <cell r="X16" t="e">
            <v>#REF!</v>
          </cell>
          <cell r="Y16" t="e">
            <v>#REF!</v>
          </cell>
          <cell r="Z16" t="e">
            <v>#REF!</v>
          </cell>
          <cell r="AA16" t="e">
            <v>#REF!</v>
          </cell>
          <cell r="AB16" t="e">
            <v>#REF!</v>
          </cell>
          <cell r="AC16" t="e">
            <v>#REF!</v>
          </cell>
          <cell r="AD16" t="e">
            <v>#REF!</v>
          </cell>
          <cell r="AE16" t="e">
            <v>#REF!</v>
          </cell>
          <cell r="AF16" t="e">
            <v>#REF!</v>
          </cell>
          <cell r="AG16" t="e">
            <v>#REF!</v>
          </cell>
          <cell r="AH16" t="e">
            <v>#REF!</v>
          </cell>
          <cell r="AI16" t="e">
            <v>#REF!</v>
          </cell>
          <cell r="AJ16" t="e">
            <v>#REF!</v>
          </cell>
          <cell r="AK16" t="e">
            <v>#REF!</v>
          </cell>
          <cell r="AL16" t="e">
            <v>#REF!</v>
          </cell>
          <cell r="AM16" t="e">
            <v>#REF!</v>
          </cell>
          <cell r="AN16" t="e">
            <v>#REF!</v>
          </cell>
          <cell r="AO16" t="e">
            <v>#REF!</v>
          </cell>
          <cell r="AP16" t="e">
            <v>#REF!</v>
          </cell>
          <cell r="AQ16" t="e">
            <v>#REF!</v>
          </cell>
          <cell r="AR16" t="e">
            <v>#REF!</v>
          </cell>
          <cell r="AS16" t="e">
            <v>#REF!</v>
          </cell>
          <cell r="AT16" t="e">
            <v>#REF!</v>
          </cell>
          <cell r="AU16" t="e">
            <v>#REF!</v>
          </cell>
          <cell r="AV16" t="e">
            <v>#REF!</v>
          </cell>
          <cell r="AW16" t="e">
            <v>#REF!</v>
          </cell>
          <cell r="AX16" t="e">
            <v>#REF!</v>
          </cell>
          <cell r="AY16" t="e">
            <v>#REF!</v>
          </cell>
          <cell r="AZ16" t="e">
            <v>#REF!</v>
          </cell>
          <cell r="BA16" t="e">
            <v>#REF!</v>
          </cell>
          <cell r="BB16" t="e">
            <v>#REF!</v>
          </cell>
          <cell r="BC16" t="e">
            <v>#REF!</v>
          </cell>
          <cell r="BD16" t="e">
            <v>#REF!</v>
          </cell>
          <cell r="BE16" t="e">
            <v>#REF!</v>
          </cell>
          <cell r="BF16" t="e">
            <v>#REF!</v>
          </cell>
          <cell r="BG16" t="e">
            <v>#REF!</v>
          </cell>
          <cell r="BH16" t="e">
            <v>#REF!</v>
          </cell>
          <cell r="BI16" t="e">
            <v>#REF!</v>
          </cell>
          <cell r="BJ16" t="e">
            <v>#REF!</v>
          </cell>
          <cell r="BK16" t="e">
            <v>#REF!</v>
          </cell>
          <cell r="BL16" t="e">
            <v>#REF!</v>
          </cell>
          <cell r="BM16" t="e">
            <v>#REF!</v>
          </cell>
          <cell r="BN16" t="e">
            <v>#REF!</v>
          </cell>
          <cell r="BO16" t="e">
            <v>#REF!</v>
          </cell>
          <cell r="BP16" t="e">
            <v>#REF!</v>
          </cell>
          <cell r="BQ16" t="e">
            <v>#REF!</v>
          </cell>
          <cell r="BR16" t="e">
            <v>#REF!</v>
          </cell>
          <cell r="BS16" t="e">
            <v>#REF!</v>
          </cell>
          <cell r="BT16" t="e">
            <v>#REF!</v>
          </cell>
          <cell r="BU16" t="e">
            <v>#REF!</v>
          </cell>
          <cell r="BV16" t="e">
            <v>#REF!</v>
          </cell>
          <cell r="BW16" t="e">
            <v>#REF!</v>
          </cell>
          <cell r="BX16" t="e">
            <v>#REF!</v>
          </cell>
          <cell r="BY16" t="e">
            <v>#REF!</v>
          </cell>
          <cell r="BZ16" t="e">
            <v>#REF!</v>
          </cell>
          <cell r="CA16" t="e">
            <v>#REF!</v>
          </cell>
          <cell r="CB16" t="e">
            <v>#REF!</v>
          </cell>
          <cell r="CC16" t="e">
            <v>#REF!</v>
          </cell>
          <cell r="CD16" t="e">
            <v>#REF!</v>
          </cell>
          <cell r="CE16" t="e">
            <v>#REF!</v>
          </cell>
          <cell r="CF16" t="e">
            <v>#REF!</v>
          </cell>
          <cell r="CG16" t="e">
            <v>#REF!</v>
          </cell>
          <cell r="CH16" t="e">
            <v>#REF!</v>
          </cell>
          <cell r="CI16" t="e">
            <v>#REF!</v>
          </cell>
          <cell r="CJ16" t="e">
            <v>#REF!</v>
          </cell>
          <cell r="CK16" t="e">
            <v>#REF!</v>
          </cell>
          <cell r="CL16" t="e">
            <v>#REF!</v>
          </cell>
          <cell r="CM16" t="e">
            <v>#REF!</v>
          </cell>
          <cell r="CN16" t="e">
            <v>#REF!</v>
          </cell>
          <cell r="CO16" t="e">
            <v>#REF!</v>
          </cell>
          <cell r="CP16" t="e">
            <v>#REF!</v>
          </cell>
          <cell r="CQ16" t="e">
            <v>#REF!</v>
          </cell>
          <cell r="CR16" t="e">
            <v>#REF!</v>
          </cell>
          <cell r="CS16" t="e">
            <v>#REF!</v>
          </cell>
          <cell r="CT16" t="e">
            <v>#REF!</v>
          </cell>
          <cell r="CU16" t="e">
            <v>#REF!</v>
          </cell>
          <cell r="CV16" t="e">
            <v>#REF!</v>
          </cell>
          <cell r="CW16" t="e">
            <v>#REF!</v>
          </cell>
          <cell r="CX16" t="e">
            <v>#REF!</v>
          </cell>
          <cell r="CY16" t="e">
            <v>#REF!</v>
          </cell>
          <cell r="CZ16" t="e">
            <v>#REF!</v>
          </cell>
          <cell r="DA16" t="e">
            <v>#REF!</v>
          </cell>
          <cell r="DB16" t="e">
            <v>#REF!</v>
          </cell>
          <cell r="DC16" t="e">
            <v>#REF!</v>
          </cell>
          <cell r="DD16" t="e">
            <v>#REF!</v>
          </cell>
          <cell r="DE16" t="e">
            <v>#REF!</v>
          </cell>
          <cell r="DF16" t="e">
            <v>#REF!</v>
          </cell>
          <cell r="DG16" t="e">
            <v>#REF!</v>
          </cell>
          <cell r="DH16" t="e">
            <v>#REF!</v>
          </cell>
          <cell r="DI16" t="e">
            <v>#REF!</v>
          </cell>
          <cell r="DJ16" t="e">
            <v>#REF!</v>
          </cell>
          <cell r="DK16" t="e">
            <v>#REF!</v>
          </cell>
          <cell r="DL16" t="e">
            <v>#REF!</v>
          </cell>
          <cell r="DM16" t="e">
            <v>#REF!</v>
          </cell>
          <cell r="DN16" t="e">
            <v>#REF!</v>
          </cell>
          <cell r="DO16" t="e">
            <v>#REF!</v>
          </cell>
          <cell r="DP16" t="e">
            <v>#REF!</v>
          </cell>
          <cell r="DQ16" t="e">
            <v>#REF!</v>
          </cell>
          <cell r="DR16" t="e">
            <v>#REF!</v>
          </cell>
          <cell r="DS16" t="e">
            <v>#REF!</v>
          </cell>
          <cell r="DT16" t="e">
            <v>#REF!</v>
          </cell>
          <cell r="DU16" t="e">
            <v>#REF!</v>
          </cell>
          <cell r="DV16" t="e">
            <v>#REF!</v>
          </cell>
          <cell r="DW16" t="e">
            <v>#REF!</v>
          </cell>
          <cell r="DX16" t="e">
            <v>#REF!</v>
          </cell>
          <cell r="DY16" t="e">
            <v>#REF!</v>
          </cell>
          <cell r="DZ16" t="e">
            <v>#REF!</v>
          </cell>
          <cell r="EA16" t="e">
            <v>#REF!</v>
          </cell>
          <cell r="EB16" t="e">
            <v>#REF!</v>
          </cell>
          <cell r="EC16" t="e">
            <v>#REF!</v>
          </cell>
          <cell r="ED16" t="e">
            <v>#REF!</v>
          </cell>
          <cell r="EE16" t="e">
            <v>#REF!</v>
          </cell>
          <cell r="EF16" t="e">
            <v>#REF!</v>
          </cell>
          <cell r="EG16" t="e">
            <v>#REF!</v>
          </cell>
          <cell r="EH16" t="e">
            <v>#REF!</v>
          </cell>
          <cell r="EI16" t="e">
            <v>#REF!</v>
          </cell>
          <cell r="EJ16" t="e">
            <v>#REF!</v>
          </cell>
          <cell r="EK16" t="e">
            <v>#REF!</v>
          </cell>
          <cell r="EL16" t="e">
            <v>#REF!</v>
          </cell>
          <cell r="EM16" t="e">
            <v>#REF!</v>
          </cell>
          <cell r="EN16" t="e">
            <v>#REF!</v>
          </cell>
          <cell r="EO16" t="e">
            <v>#REF!</v>
          </cell>
          <cell r="EP16" t="e">
            <v>#REF!</v>
          </cell>
          <cell r="EQ16" t="e">
            <v>#REF!</v>
          </cell>
          <cell r="ER16" t="e">
            <v>#REF!</v>
          </cell>
          <cell r="ES16" t="e">
            <v>#REF!</v>
          </cell>
          <cell r="ET16" t="e">
            <v>#REF!</v>
          </cell>
          <cell r="EU16" t="e">
            <v>#REF!</v>
          </cell>
          <cell r="EV16" t="e">
            <v>#REF!</v>
          </cell>
          <cell r="EW16" t="e">
            <v>#REF!</v>
          </cell>
          <cell r="EX16" t="e">
            <v>#REF!</v>
          </cell>
          <cell r="EY16" t="e">
            <v>#REF!</v>
          </cell>
          <cell r="EZ16" t="e">
            <v>#REF!</v>
          </cell>
          <cell r="FA16" t="e">
            <v>#REF!</v>
          </cell>
          <cell r="FB16" t="e">
            <v>#REF!</v>
          </cell>
          <cell r="FC16" t="e">
            <v>#REF!</v>
          </cell>
          <cell r="FD16" t="e">
            <v>#REF!</v>
          </cell>
          <cell r="FE16" t="e">
            <v>#REF!</v>
          </cell>
          <cell r="FF16" t="e">
            <v>#REF!</v>
          </cell>
          <cell r="FG16" t="e">
            <v>#REF!</v>
          </cell>
          <cell r="FH16" t="e">
            <v>#REF!</v>
          </cell>
          <cell r="FI16" t="e">
            <v>#REF!</v>
          </cell>
          <cell r="FJ16" t="e">
            <v>#REF!</v>
          </cell>
          <cell r="FK16" t="e">
            <v>#REF!</v>
          </cell>
          <cell r="FL16" t="e">
            <v>#REF!</v>
          </cell>
          <cell r="FM16" t="e">
            <v>#REF!</v>
          </cell>
          <cell r="FN16" t="e">
            <v>#REF!</v>
          </cell>
          <cell r="FO16" t="e">
            <v>#REF!</v>
          </cell>
          <cell r="FP16" t="e">
            <v>#REF!</v>
          </cell>
          <cell r="FQ16" t="e">
            <v>#REF!</v>
          </cell>
          <cell r="FR16" t="e">
            <v>#REF!</v>
          </cell>
          <cell r="FS16" t="e">
            <v>#REF!</v>
          </cell>
          <cell r="FT16" t="e">
            <v>#REF!</v>
          </cell>
          <cell r="FU16" t="e">
            <v>#REF!</v>
          </cell>
          <cell r="FV16" t="e">
            <v>#REF!</v>
          </cell>
          <cell r="FW16" t="e">
            <v>#REF!</v>
          </cell>
          <cell r="FX16" t="e">
            <v>#REF!</v>
          </cell>
          <cell r="FY16" t="e">
            <v>#REF!</v>
          </cell>
          <cell r="FZ16" t="e">
            <v>#REF!</v>
          </cell>
          <cell r="GA16" t="e">
            <v>#REF!</v>
          </cell>
          <cell r="GB16" t="e">
            <v>#REF!</v>
          </cell>
          <cell r="GC16" t="e">
            <v>#REF!</v>
          </cell>
          <cell r="GD16" t="e">
            <v>#REF!</v>
          </cell>
          <cell r="GE16" t="e">
            <v>#REF!</v>
          </cell>
          <cell r="GF16" t="e">
            <v>#REF!</v>
          </cell>
          <cell r="GG16" t="e">
            <v>#REF!</v>
          </cell>
          <cell r="GH16" t="e">
            <v>#REF!</v>
          </cell>
          <cell r="GI16" t="e">
            <v>#REF!</v>
          </cell>
          <cell r="GJ16" t="e">
            <v>#REF!</v>
          </cell>
          <cell r="GK16" t="e">
            <v>#REF!</v>
          </cell>
          <cell r="GL16" t="e">
            <v>#REF!</v>
          </cell>
          <cell r="GM16" t="e">
            <v>#REF!</v>
          </cell>
          <cell r="GN16" t="e">
            <v>#REF!</v>
          </cell>
          <cell r="GO16" t="e">
            <v>#REF!</v>
          </cell>
          <cell r="GP16" t="e">
            <v>#REF!</v>
          </cell>
          <cell r="GQ16" t="e">
            <v>#REF!</v>
          </cell>
          <cell r="GR16" t="e">
            <v>#REF!</v>
          </cell>
          <cell r="GS16" t="e">
            <v>#REF!</v>
          </cell>
          <cell r="GT16" t="e">
            <v>#REF!</v>
          </cell>
          <cell r="GU16" t="e">
            <v>#REF!</v>
          </cell>
          <cell r="GV16" t="e">
            <v>#REF!</v>
          </cell>
          <cell r="GW16" t="e">
            <v>#REF!</v>
          </cell>
          <cell r="GX16" t="e">
            <v>#REF!</v>
          </cell>
          <cell r="GY16" t="e">
            <v>#REF!</v>
          </cell>
          <cell r="GZ16" t="e">
            <v>#REF!</v>
          </cell>
          <cell r="HA16" t="e">
            <v>#REF!</v>
          </cell>
          <cell r="HB16" t="e">
            <v>#REF!</v>
          </cell>
          <cell r="HC16" t="e">
            <v>#REF!</v>
          </cell>
          <cell r="HD16" t="e">
            <v>#REF!</v>
          </cell>
          <cell r="HE16" t="e">
            <v>#REF!</v>
          </cell>
          <cell r="HF16" t="e">
            <v>#REF!</v>
          </cell>
          <cell r="HG16" t="e">
            <v>#REF!</v>
          </cell>
          <cell r="HH16" t="e">
            <v>#REF!</v>
          </cell>
          <cell r="HI16" t="e">
            <v>#REF!</v>
          </cell>
          <cell r="HJ16" t="e">
            <v>#REF!</v>
          </cell>
          <cell r="HK16" t="e">
            <v>#REF!</v>
          </cell>
        </row>
        <row r="19">
          <cell r="D19">
            <v>0.12069674999999999</v>
          </cell>
          <cell r="E19">
            <v>0.12069674999999999</v>
          </cell>
          <cell r="F19">
            <v>0.12069674999999999</v>
          </cell>
          <cell r="G19">
            <v>0.12069674999999999</v>
          </cell>
          <cell r="H19">
            <v>0.12069674999999999</v>
          </cell>
          <cell r="I19">
            <v>0.12069674999999999</v>
          </cell>
          <cell r="J19">
            <v>0.12069674999999999</v>
          </cell>
          <cell r="K19">
            <v>0.12069674999999999</v>
          </cell>
          <cell r="L19">
            <v>0.12069674999999999</v>
          </cell>
          <cell r="M19">
            <v>0.12069674999999999</v>
          </cell>
          <cell r="N19">
            <v>0.12069674999999999</v>
          </cell>
          <cell r="O19">
            <v>0.12069674999999999</v>
          </cell>
          <cell r="P19">
            <v>0.12069674999999999</v>
          </cell>
          <cell r="Q19">
            <v>0.12069674999999999</v>
          </cell>
          <cell r="R19">
            <v>0.12069674999999999</v>
          </cell>
          <cell r="S19">
            <v>0.12069674999999999</v>
          </cell>
          <cell r="T19">
            <v>0.12069674999999999</v>
          </cell>
          <cell r="U19">
            <v>0.12069674999999999</v>
          </cell>
          <cell r="V19">
            <v>0.12069674999999999</v>
          </cell>
          <cell r="W19">
            <v>0.12069674999999999</v>
          </cell>
          <cell r="X19">
            <v>0.12069674999999999</v>
          </cell>
          <cell r="Y19">
            <v>0.12069674999999999</v>
          </cell>
          <cell r="Z19">
            <v>0.12069674999999999</v>
          </cell>
          <cell r="AA19">
            <v>0.12069674999999999</v>
          </cell>
          <cell r="AB19">
            <v>0.12069674999999999</v>
          </cell>
          <cell r="AC19">
            <v>0.12069674999999999</v>
          </cell>
          <cell r="AD19">
            <v>0.12069674999999999</v>
          </cell>
          <cell r="AE19">
            <v>0.12069674999999999</v>
          </cell>
          <cell r="AF19">
            <v>0.12069674999999999</v>
          </cell>
          <cell r="AG19">
            <v>0.12069674999999999</v>
          </cell>
          <cell r="AH19">
            <v>0.12069674999999999</v>
          </cell>
          <cell r="AI19">
            <v>0.36627974999999996</v>
          </cell>
          <cell r="AJ19">
            <v>0.36627974999999996</v>
          </cell>
          <cell r="AK19">
            <v>0.36627974999999996</v>
          </cell>
          <cell r="AL19">
            <v>0.36627974999999996</v>
          </cell>
          <cell r="AM19">
            <v>0.36627974999999996</v>
          </cell>
          <cell r="AN19">
            <v>0.36627974999999996</v>
          </cell>
          <cell r="AO19">
            <v>0.36627974999999996</v>
          </cell>
          <cell r="AP19">
            <v>0.36627974999999996</v>
          </cell>
          <cell r="AQ19">
            <v>0.36627974999999996</v>
          </cell>
          <cell r="AR19">
            <v>0.36627974999999996</v>
          </cell>
          <cell r="AS19">
            <v>0.36627974999999996</v>
          </cell>
          <cell r="AT19">
            <v>0.36627974999999996</v>
          </cell>
          <cell r="AU19">
            <v>0.36627974999999996</v>
          </cell>
          <cell r="AV19">
            <v>0.36627974999999996</v>
          </cell>
          <cell r="AW19">
            <v>0.36627974999999996</v>
          </cell>
          <cell r="AX19">
            <v>0.36627974999999996</v>
          </cell>
          <cell r="AY19">
            <v>0.36627974999999996</v>
          </cell>
          <cell r="AZ19">
            <v>0.36627974999999996</v>
          </cell>
          <cell r="BA19">
            <v>0.36627974999999996</v>
          </cell>
          <cell r="BB19">
            <v>0.36627974999999996</v>
          </cell>
          <cell r="BC19">
            <v>0.36627974999999996</v>
          </cell>
          <cell r="BD19">
            <v>0.36627974999999996</v>
          </cell>
          <cell r="BE19">
            <v>0.36627974999999996</v>
          </cell>
          <cell r="BF19">
            <v>0.36627974999999996</v>
          </cell>
          <cell r="BG19">
            <v>0.36627974999999996</v>
          </cell>
          <cell r="BH19">
            <v>0.36627974999999996</v>
          </cell>
          <cell r="BI19">
            <v>0.36627974999999996</v>
          </cell>
          <cell r="BJ19">
            <v>0.36627974999999996</v>
          </cell>
          <cell r="BK19">
            <v>0.36627974999999996</v>
          </cell>
          <cell r="BL19">
            <v>0.36627974999999996</v>
          </cell>
          <cell r="BM19">
            <v>0.36627974999999996</v>
          </cell>
        </row>
        <row r="20">
          <cell r="D20">
            <v>302</v>
          </cell>
          <cell r="E20">
            <v>302</v>
          </cell>
          <cell r="F20">
            <v>302</v>
          </cell>
          <cell r="G20">
            <v>302</v>
          </cell>
          <cell r="H20">
            <v>302</v>
          </cell>
          <cell r="I20">
            <v>302</v>
          </cell>
          <cell r="J20">
            <v>302</v>
          </cell>
          <cell r="K20">
            <v>302</v>
          </cell>
          <cell r="L20">
            <v>302</v>
          </cell>
          <cell r="M20">
            <v>302</v>
          </cell>
          <cell r="N20">
            <v>302</v>
          </cell>
          <cell r="O20">
            <v>302</v>
          </cell>
          <cell r="P20">
            <v>302</v>
          </cell>
          <cell r="Q20">
            <v>302</v>
          </cell>
          <cell r="R20">
            <v>302</v>
          </cell>
          <cell r="S20">
            <v>302</v>
          </cell>
          <cell r="T20">
            <v>302</v>
          </cell>
          <cell r="U20">
            <v>302</v>
          </cell>
          <cell r="V20">
            <v>302</v>
          </cell>
          <cell r="W20">
            <v>302</v>
          </cell>
          <cell r="X20">
            <v>302</v>
          </cell>
          <cell r="Y20">
            <v>302</v>
          </cell>
          <cell r="Z20">
            <v>302</v>
          </cell>
          <cell r="AA20">
            <v>302</v>
          </cell>
          <cell r="AB20">
            <v>302</v>
          </cell>
          <cell r="AC20">
            <v>302</v>
          </cell>
          <cell r="AD20">
            <v>302</v>
          </cell>
          <cell r="AE20">
            <v>302</v>
          </cell>
          <cell r="AF20">
            <v>302</v>
          </cell>
          <cell r="AG20">
            <v>302</v>
          </cell>
          <cell r="AH20">
            <v>302</v>
          </cell>
          <cell r="AI20">
            <v>302</v>
          </cell>
          <cell r="AJ20">
            <v>302</v>
          </cell>
          <cell r="AK20">
            <v>302</v>
          </cell>
          <cell r="AL20">
            <v>302</v>
          </cell>
          <cell r="AM20">
            <v>302</v>
          </cell>
          <cell r="AN20">
            <v>302</v>
          </cell>
          <cell r="AO20">
            <v>302</v>
          </cell>
          <cell r="AP20">
            <v>302</v>
          </cell>
          <cell r="AQ20">
            <v>302</v>
          </cell>
          <cell r="AR20">
            <v>302</v>
          </cell>
          <cell r="AS20">
            <v>302</v>
          </cell>
          <cell r="AT20">
            <v>302</v>
          </cell>
          <cell r="AU20">
            <v>302</v>
          </cell>
          <cell r="AV20">
            <v>302</v>
          </cell>
          <cell r="AW20">
            <v>302</v>
          </cell>
          <cell r="AX20">
            <v>302</v>
          </cell>
          <cell r="AY20">
            <v>302</v>
          </cell>
          <cell r="AZ20">
            <v>302</v>
          </cell>
          <cell r="BA20">
            <v>302</v>
          </cell>
          <cell r="BB20">
            <v>302</v>
          </cell>
          <cell r="BC20">
            <v>302</v>
          </cell>
          <cell r="BD20">
            <v>302</v>
          </cell>
          <cell r="BE20">
            <v>302</v>
          </cell>
          <cell r="BF20">
            <v>302</v>
          </cell>
          <cell r="BG20">
            <v>302</v>
          </cell>
          <cell r="BH20">
            <v>302</v>
          </cell>
          <cell r="BI20">
            <v>302</v>
          </cell>
          <cell r="BJ20">
            <v>302</v>
          </cell>
          <cell r="BK20">
            <v>302</v>
          </cell>
          <cell r="BL20">
            <v>302</v>
          </cell>
          <cell r="BM20">
            <v>302</v>
          </cell>
        </row>
        <row r="21">
          <cell r="D21">
            <v>70.033728571428583</v>
          </cell>
          <cell r="E21">
            <v>87.880457142857153</v>
          </cell>
          <cell r="F21">
            <v>105.72718571428572</v>
          </cell>
          <cell r="G21">
            <v>123.5739142857143</v>
          </cell>
          <cell r="H21">
            <v>141.42064285714287</v>
          </cell>
          <cell r="I21">
            <v>159.26737142857144</v>
          </cell>
          <cell r="J21">
            <v>177.11410000000001</v>
          </cell>
          <cell r="K21">
            <v>194.96082857142858</v>
          </cell>
          <cell r="L21">
            <v>212.80755714285715</v>
          </cell>
          <cell r="M21">
            <v>230.65428571428572</v>
          </cell>
          <cell r="N21">
            <v>248.50101428571429</v>
          </cell>
          <cell r="O21">
            <v>266.34774285714286</v>
          </cell>
          <cell r="P21">
            <v>284.19447142857143</v>
          </cell>
          <cell r="Q21">
            <v>302.0412</v>
          </cell>
          <cell r="R21">
            <v>319.88792857142857</v>
          </cell>
          <cell r="S21">
            <v>337.73465714285715</v>
          </cell>
          <cell r="T21">
            <v>355.58138571428572</v>
          </cell>
          <cell r="U21">
            <v>373.42811428571429</v>
          </cell>
          <cell r="V21">
            <v>391.27484285714286</v>
          </cell>
          <cell r="W21">
            <v>409.12157142857143</v>
          </cell>
          <cell r="X21">
            <v>426.9683</v>
          </cell>
          <cell r="Y21">
            <v>444.81502857142857</v>
          </cell>
          <cell r="Z21">
            <v>462.66175714285714</v>
          </cell>
          <cell r="AA21">
            <v>480.50848571428571</v>
          </cell>
          <cell r="AB21">
            <v>498.35521428571428</v>
          </cell>
          <cell r="AC21">
            <v>516.20194285714285</v>
          </cell>
          <cell r="AD21">
            <v>534.04867142857142</v>
          </cell>
          <cell r="AE21">
            <v>551.8954</v>
          </cell>
          <cell r="AF21">
            <v>569.74212857142857</v>
          </cell>
          <cell r="AG21">
            <v>587.58885714285714</v>
          </cell>
          <cell r="AH21">
            <v>587.58885714285714</v>
          </cell>
          <cell r="AI21">
            <v>604.85988479262676</v>
          </cell>
          <cell r="AJ21">
            <v>622.13091244239638</v>
          </cell>
          <cell r="AK21">
            <v>639.401940092166</v>
          </cell>
          <cell r="AL21">
            <v>656.67296774193562</v>
          </cell>
          <cell r="AM21">
            <v>673.94399539170524</v>
          </cell>
          <cell r="AN21">
            <v>691.21502304147486</v>
          </cell>
          <cell r="AO21">
            <v>708.48605069124449</v>
          </cell>
          <cell r="AP21">
            <v>725.75707834101411</v>
          </cell>
          <cell r="AQ21">
            <v>743.02810599078373</v>
          </cell>
          <cell r="AR21">
            <v>760.29913364055335</v>
          </cell>
          <cell r="AS21">
            <v>777.57016129032297</v>
          </cell>
          <cell r="AT21">
            <v>794.84118894009259</v>
          </cell>
          <cell r="AU21">
            <v>812.11221658986221</v>
          </cell>
          <cell r="AV21">
            <v>829.38324423963184</v>
          </cell>
          <cell r="AW21">
            <v>846.65427188940146</v>
          </cell>
          <cell r="AX21">
            <v>863.92529953917108</v>
          </cell>
          <cell r="AY21">
            <v>881.1963271889407</v>
          </cell>
          <cell r="AZ21">
            <v>898.46735483871032</v>
          </cell>
          <cell r="BA21">
            <v>915.73838248847994</v>
          </cell>
          <cell r="BB21">
            <v>933.00941013824956</v>
          </cell>
          <cell r="BC21">
            <v>950.28043778801919</v>
          </cell>
          <cell r="BD21">
            <v>967.55146543778881</v>
          </cell>
          <cell r="BE21">
            <v>984.82249308755843</v>
          </cell>
          <cell r="BF21">
            <v>1002.093520737328</v>
          </cell>
          <cell r="BG21">
            <v>1019.3645483870977</v>
          </cell>
          <cell r="BH21">
            <v>1036.6355760368672</v>
          </cell>
          <cell r="BI21">
            <v>1053.9066036866368</v>
          </cell>
          <cell r="BJ21">
            <v>1071.1776313364064</v>
          </cell>
          <cell r="BK21">
            <v>1088.448658986176</v>
          </cell>
          <cell r="BL21">
            <v>1105.7196866359457</v>
          </cell>
          <cell r="BM21">
            <v>1122.9907142857153</v>
          </cell>
          <cell r="BN21">
            <v>1140.8374428571437</v>
          </cell>
          <cell r="BO21">
            <v>1158.6841714285724</v>
          </cell>
          <cell r="BP21">
            <v>1176.5309000000011</v>
          </cell>
          <cell r="BQ21">
            <v>1194.3776285714298</v>
          </cell>
          <cell r="BR21">
            <v>1212.2243571428585</v>
          </cell>
          <cell r="BS21">
            <v>1230.0710857142872</v>
          </cell>
          <cell r="BT21">
            <v>1247.9178142857158</v>
          </cell>
          <cell r="BU21">
            <v>1265.7645428571445</v>
          </cell>
          <cell r="BV21">
            <v>1283.6112714285732</v>
          </cell>
          <cell r="BW21">
            <v>1301.4580000000019</v>
          </cell>
          <cell r="BX21">
            <v>1319.3047285714306</v>
          </cell>
          <cell r="BY21">
            <v>1337.1514571428593</v>
          </cell>
          <cell r="BZ21">
            <v>1354.998185714288</v>
          </cell>
          <cell r="CA21">
            <v>1372.8449142857166</v>
          </cell>
          <cell r="CB21">
            <v>1390.6916428571453</v>
          </cell>
          <cell r="CC21">
            <v>1408.538371428574</v>
          </cell>
          <cell r="CD21">
            <v>1426.3851000000027</v>
          </cell>
          <cell r="CE21">
            <v>1444.2318285714314</v>
          </cell>
          <cell r="CF21">
            <v>1462.0785571428601</v>
          </cell>
          <cell r="CG21">
            <v>1479.9252857142887</v>
          </cell>
          <cell r="CH21">
            <v>1497.7720142857174</v>
          </cell>
          <cell r="CI21">
            <v>1515.6187428571461</v>
          </cell>
          <cell r="CJ21">
            <v>1533.4654714285748</v>
          </cell>
          <cell r="CK21">
            <v>1551.3122000000035</v>
          </cell>
          <cell r="CL21">
            <v>1569.1589285714322</v>
          </cell>
          <cell r="CM21">
            <v>1587.0056571428609</v>
          </cell>
          <cell r="CN21">
            <v>1604.8523857142895</v>
          </cell>
          <cell r="CO21">
            <v>1622.6991142857182</v>
          </cell>
          <cell r="CP21">
            <v>1640.5458428571469</v>
          </cell>
          <cell r="CQ21">
            <v>1658.3925714285756</v>
          </cell>
          <cell r="CR21">
            <v>1658.3925714285756</v>
          </cell>
          <cell r="CS21">
            <v>1675.6635990783452</v>
          </cell>
          <cell r="CT21">
            <v>1692.9346267281148</v>
          </cell>
          <cell r="CU21">
            <v>1710.2056543778845</v>
          </cell>
          <cell r="CV21">
            <v>1727.4766820276541</v>
          </cell>
          <cell r="CW21">
            <v>1744.7477096774237</v>
          </cell>
          <cell r="CX21">
            <v>1762.0187373271933</v>
          </cell>
          <cell r="CY21">
            <v>1779.2897649769629</v>
          </cell>
          <cell r="CZ21">
            <v>1796.5607926267326</v>
          </cell>
          <cell r="DA21">
            <v>1813.8318202765022</v>
          </cell>
          <cell r="DB21">
            <v>1831.1028479262718</v>
          </cell>
          <cell r="DC21">
            <v>1848.3738755760414</v>
          </cell>
          <cell r="DD21">
            <v>1865.644903225811</v>
          </cell>
          <cell r="DE21">
            <v>1882.9159308755807</v>
          </cell>
          <cell r="DF21">
            <v>1900.1869585253503</v>
          </cell>
          <cell r="DG21">
            <v>1917.4579861751199</v>
          </cell>
          <cell r="DH21">
            <v>1934.7290138248895</v>
          </cell>
          <cell r="DI21">
            <v>1952.0000414746592</v>
          </cell>
          <cell r="DJ21">
            <v>1969.2710691244288</v>
          </cell>
          <cell r="DK21">
            <v>1986.5420967741984</v>
          </cell>
          <cell r="DL21">
            <v>2003.813124423968</v>
          </cell>
          <cell r="DM21">
            <v>2021.0841520737376</v>
          </cell>
          <cell r="DN21">
            <v>2038.3551797235073</v>
          </cell>
          <cell r="DO21">
            <v>2055.6262073732769</v>
          </cell>
          <cell r="DP21">
            <v>2072.8972350230465</v>
          </cell>
          <cell r="DQ21">
            <v>2090.1682626728161</v>
          </cell>
          <cell r="DR21">
            <v>2107.4392903225857</v>
          </cell>
          <cell r="DS21">
            <v>2124.7103179723554</v>
          </cell>
          <cell r="DT21">
            <v>2141.981345622125</v>
          </cell>
          <cell r="DU21">
            <v>2159.2523732718946</v>
          </cell>
          <cell r="DV21">
            <v>2176.5234009216642</v>
          </cell>
          <cell r="DW21">
            <v>2193.7944285714339</v>
          </cell>
          <cell r="DX21">
            <v>2211.0654562212035</v>
          </cell>
          <cell r="DY21">
            <v>2228.3364838709731</v>
          </cell>
          <cell r="DZ21">
            <v>2245.6075115207427</v>
          </cell>
          <cell r="EA21">
            <v>2262.8785391705123</v>
          </cell>
          <cell r="EB21">
            <v>2280.149566820282</v>
          </cell>
          <cell r="EC21">
            <v>2297.4205944700516</v>
          </cell>
          <cell r="ED21">
            <v>2314.6916221198212</v>
          </cell>
          <cell r="EE21">
            <v>2331.9626497695908</v>
          </cell>
          <cell r="EF21">
            <v>2349.2336774193604</v>
          </cell>
          <cell r="EG21">
            <v>2366.5047050691301</v>
          </cell>
          <cell r="EH21">
            <v>2383.7757327188997</v>
          </cell>
          <cell r="EI21">
            <v>2401.0467603686693</v>
          </cell>
          <cell r="EJ21">
            <v>2418.3177880184389</v>
          </cell>
          <cell r="EK21">
            <v>2435.5888156682086</v>
          </cell>
          <cell r="EL21">
            <v>2452.8598433179782</v>
          </cell>
          <cell r="EM21">
            <v>2470.1308709677478</v>
          </cell>
          <cell r="EN21">
            <v>2487.4018986175174</v>
          </cell>
          <cell r="EO21">
            <v>2504.672926267287</v>
          </cell>
          <cell r="EP21">
            <v>2521.9439539170567</v>
          </cell>
          <cell r="EQ21">
            <v>2539.2149815668263</v>
          </cell>
          <cell r="ER21">
            <v>2556.4860092165959</v>
          </cell>
          <cell r="ES21">
            <v>2573.7570368663655</v>
          </cell>
          <cell r="ET21">
            <v>2591.0280645161351</v>
          </cell>
          <cell r="EU21">
            <v>2608.2990921659048</v>
          </cell>
          <cell r="EV21">
            <v>2625.5701198156744</v>
          </cell>
          <cell r="EW21">
            <v>2642.841147465444</v>
          </cell>
          <cell r="EX21">
            <v>2660.1121751152136</v>
          </cell>
          <cell r="EY21">
            <v>2677.3832027649833</v>
          </cell>
          <cell r="EZ21">
            <v>2694.6542304147529</v>
          </cell>
          <cell r="FA21">
            <v>2711.9252580645225</v>
          </cell>
          <cell r="FB21">
            <v>2729.1962857142921</v>
          </cell>
          <cell r="FC21">
            <v>2747.0430142857208</v>
          </cell>
          <cell r="FD21">
            <v>2764.8897428571495</v>
          </cell>
          <cell r="FE21">
            <v>2782.7364714285782</v>
          </cell>
          <cell r="FF21">
            <v>2800.5832000000069</v>
          </cell>
          <cell r="FG21">
            <v>2818.4299285714355</v>
          </cell>
          <cell r="FH21">
            <v>2836.2766571428642</v>
          </cell>
          <cell r="FI21">
            <v>2854.1233857142929</v>
          </cell>
          <cell r="FJ21">
            <v>2871.9701142857216</v>
          </cell>
          <cell r="FK21">
            <v>2889.8168428571503</v>
          </cell>
          <cell r="FL21">
            <v>2907.663571428579</v>
          </cell>
          <cell r="FM21">
            <v>2925.5103000000076</v>
          </cell>
          <cell r="FN21">
            <v>2943.3570285714363</v>
          </cell>
          <cell r="FO21">
            <v>2961.203757142865</v>
          </cell>
          <cell r="FP21">
            <v>2979.0504857142937</v>
          </cell>
          <cell r="FQ21">
            <v>2996.8972142857224</v>
          </cell>
          <cell r="FR21">
            <v>3014.7439428571511</v>
          </cell>
          <cell r="FS21">
            <v>3032.5906714285798</v>
          </cell>
          <cell r="FT21">
            <v>3050.4374000000084</v>
          </cell>
          <cell r="FU21">
            <v>3068.2841285714371</v>
          </cell>
          <cell r="FV21">
            <v>3086.1308571428658</v>
          </cell>
          <cell r="FW21">
            <v>3103.9775857142945</v>
          </cell>
          <cell r="FX21">
            <v>3121.8243142857232</v>
          </cell>
          <cell r="FY21">
            <v>3139.6710428571519</v>
          </cell>
          <cell r="FZ21">
            <v>3157.5177714285805</v>
          </cell>
          <cell r="GA21">
            <v>3175.3645000000092</v>
          </cell>
          <cell r="GB21">
            <v>3193.2112285714379</v>
          </cell>
          <cell r="GC21">
            <v>3211.0579571428666</v>
          </cell>
          <cell r="GD21">
            <v>3228.9046857142953</v>
          </cell>
          <cell r="GE21">
            <v>3246.751414285724</v>
          </cell>
          <cell r="GF21">
            <v>3264.5981428571527</v>
          </cell>
          <cell r="GG21">
            <v>3281.8691705069223</v>
          </cell>
          <cell r="GH21">
            <v>3299.1401981566919</v>
          </cell>
          <cell r="GI21">
            <v>3316.4112258064615</v>
          </cell>
          <cell r="GJ21">
            <v>3333.6822534562311</v>
          </cell>
          <cell r="GK21">
            <v>3350.9532811060008</v>
          </cell>
          <cell r="GL21">
            <v>3368.2243087557704</v>
          </cell>
          <cell r="GM21">
            <v>3385.49533640554</v>
          </cell>
          <cell r="GN21">
            <v>3402.7663640553096</v>
          </cell>
          <cell r="GO21">
            <v>3420.0373917050792</v>
          </cell>
          <cell r="GP21">
            <v>3437.3084193548489</v>
          </cell>
          <cell r="GQ21">
            <v>3454.5794470046185</v>
          </cell>
          <cell r="GR21">
            <v>3471.8504746543881</v>
          </cell>
          <cell r="GS21">
            <v>3489.1215023041577</v>
          </cell>
          <cell r="GT21">
            <v>3506.3925299539274</v>
          </cell>
          <cell r="GU21">
            <v>3523.663557603697</v>
          </cell>
          <cell r="GV21">
            <v>3540.9345852534666</v>
          </cell>
          <cell r="GW21">
            <v>3558.2056129032362</v>
          </cell>
          <cell r="GX21">
            <v>3575.4766405530058</v>
          </cell>
          <cell r="GY21">
            <v>3592.7476682027755</v>
          </cell>
          <cell r="GZ21">
            <v>3610.0186958525451</v>
          </cell>
          <cell r="HA21">
            <v>3627.2897235023147</v>
          </cell>
          <cell r="HB21">
            <v>3644.5607511520843</v>
          </cell>
          <cell r="HC21">
            <v>3661.8317788018539</v>
          </cell>
          <cell r="HD21">
            <v>3679.1028064516236</v>
          </cell>
          <cell r="HE21">
            <v>3696.3738341013932</v>
          </cell>
          <cell r="HF21">
            <v>3713.6448617511628</v>
          </cell>
          <cell r="HG21">
            <v>3730.9158894009324</v>
          </cell>
          <cell r="HH21">
            <v>3748.186917050702</v>
          </cell>
          <cell r="HI21">
            <v>3765.4579447004717</v>
          </cell>
          <cell r="HJ21">
            <v>3782.7289723502413</v>
          </cell>
          <cell r="HK21">
            <v>3800.0000000000109</v>
          </cell>
        </row>
        <row r="24">
          <cell r="AH24">
            <v>2774.2939999999999</v>
          </cell>
          <cell r="AI24">
            <v>2755.5259999999998</v>
          </cell>
          <cell r="AJ24">
            <v>2736.7579999999998</v>
          </cell>
          <cell r="AK24">
            <v>2717.99</v>
          </cell>
          <cell r="AL24">
            <v>2699.2219999999998</v>
          </cell>
          <cell r="AM24">
            <v>2680.4539999999997</v>
          </cell>
          <cell r="AN24">
            <v>2661.6859999999997</v>
          </cell>
          <cell r="AO24">
            <v>2642.9179999999997</v>
          </cell>
          <cell r="AP24">
            <v>2624.1499999999996</v>
          </cell>
          <cell r="AQ24">
            <v>2605.3819999999996</v>
          </cell>
          <cell r="AR24">
            <v>2586.6139999999996</v>
          </cell>
          <cell r="AS24">
            <v>2567.8459999999995</v>
          </cell>
          <cell r="AT24">
            <v>2549.0779999999995</v>
          </cell>
          <cell r="AU24">
            <v>2530.3099999999995</v>
          </cell>
          <cell r="AV24">
            <v>2511.5419999999995</v>
          </cell>
          <cell r="AW24">
            <v>2492.7739999999994</v>
          </cell>
          <cell r="AX24">
            <v>2474.0059999999994</v>
          </cell>
          <cell r="AY24">
            <v>2455.2379999999994</v>
          </cell>
          <cell r="AZ24">
            <v>2436.4699999999993</v>
          </cell>
          <cell r="BA24">
            <v>2417.7019999999993</v>
          </cell>
          <cell r="BB24">
            <v>2398.9339999999993</v>
          </cell>
          <cell r="BC24">
            <v>2380.1659999999993</v>
          </cell>
          <cell r="BD24">
            <v>2361.3979999999992</v>
          </cell>
          <cell r="BE24">
            <v>2342.6299999999992</v>
          </cell>
          <cell r="BF24">
            <v>2323.8619999999992</v>
          </cell>
          <cell r="BG24">
            <v>2305.0939999999991</v>
          </cell>
          <cell r="BH24">
            <v>2286.3259999999991</v>
          </cell>
          <cell r="BI24">
            <v>2267.5579999999991</v>
          </cell>
          <cell r="BJ24">
            <v>2248.7899999999991</v>
          </cell>
          <cell r="BK24">
            <v>2230.021999999999</v>
          </cell>
          <cell r="BL24">
            <v>2211.253999999999</v>
          </cell>
          <cell r="BM24">
            <v>2192.485999999999</v>
          </cell>
        </row>
        <row r="28">
          <cell r="D28">
            <v>-3.1696264364959803</v>
          </cell>
          <cell r="E28">
            <v>-3.1666898526706673</v>
          </cell>
          <cell r="F28">
            <v>-3.1713498292190376</v>
          </cell>
          <cell r="G28">
            <v>-3.1788828134822111</v>
          </cell>
          <cell r="H28">
            <v>-3.1847317206390624</v>
          </cell>
          <cell r="I28">
            <v>-3.180717901636311</v>
          </cell>
          <cell r="J28">
            <v>-3.1768287419953296</v>
          </cell>
          <cell r="K28">
            <v>-3.1707775469592234</v>
          </cell>
          <cell r="L28">
            <v>-3.1705548935048111</v>
          </cell>
          <cell r="M28">
            <v>-3.1696129206680825</v>
          </cell>
          <cell r="N28">
            <v>-3.1655394857478809</v>
          </cell>
          <cell r="O28">
            <v>-3.1602469218498648</v>
          </cell>
          <cell r="P28">
            <v>-3.1598622722492475</v>
          </cell>
          <cell r="Q28">
            <v>-3.1573980111621993</v>
          </cell>
          <cell r="R28">
            <v>-3.1559495529020047</v>
          </cell>
          <cell r="S28">
            <v>-3.1545438268087014</v>
          </cell>
          <cell r="T28">
            <v>-3.1529662437368811</v>
          </cell>
          <cell r="U28">
            <v>-3.1521534655102825</v>
          </cell>
          <cell r="V28">
            <v>-3.1480247479866508</v>
          </cell>
          <cell r="W28">
            <v>-3.1465229750428132</v>
          </cell>
          <cell r="X28">
            <v>-3.1465396532756893</v>
          </cell>
          <cell r="Y28">
            <v>-3.1512689638881071</v>
          </cell>
          <cell r="Z28">
            <v>-3.1490961021205939</v>
          </cell>
          <cell r="AA28">
            <v>-3.1510184937046466</v>
          </cell>
          <cell r="AB28">
            <v>-3.1508905317469806</v>
          </cell>
          <cell r="AC28">
            <v>-3.1493663071014892</v>
          </cell>
          <cell r="AD28">
            <v>-3.1490433451583879</v>
          </cell>
          <cell r="AE28">
            <v>-3.1435781250526404</v>
          </cell>
          <cell r="AF28">
            <v>-3.1456812526432962</v>
          </cell>
          <cell r="AG28">
            <v>-3.1381599084022618</v>
          </cell>
          <cell r="AH28">
            <v>-3.1381599084022618</v>
          </cell>
          <cell r="AI28">
            <v>0.4356665545087483</v>
          </cell>
          <cell r="AJ28">
            <v>0.4356665545087483</v>
          </cell>
          <cell r="AK28">
            <v>0.4356665545087483</v>
          </cell>
          <cell r="AL28">
            <v>0.4356665545087483</v>
          </cell>
          <cell r="AM28">
            <v>0.4356665545087483</v>
          </cell>
          <cell r="AN28">
            <v>0.4356665545087483</v>
          </cell>
          <cell r="AO28">
            <v>0.4356665545087483</v>
          </cell>
          <cell r="AP28">
            <v>0.4356665545087483</v>
          </cell>
          <cell r="AQ28">
            <v>0.4356665545087483</v>
          </cell>
          <cell r="AR28">
            <v>0.4356665545087483</v>
          </cell>
          <cell r="AS28">
            <v>0.4356665545087483</v>
          </cell>
          <cell r="AT28">
            <v>0.4356665545087483</v>
          </cell>
          <cell r="AU28">
            <v>0.4356665545087483</v>
          </cell>
          <cell r="AV28">
            <v>0.4356665545087483</v>
          </cell>
          <cell r="AW28">
            <v>0.4356665545087483</v>
          </cell>
          <cell r="AX28">
            <v>0.4356665545087483</v>
          </cell>
          <cell r="AY28">
            <v>0.4356665545087483</v>
          </cell>
          <cell r="AZ28">
            <v>0.4356665545087483</v>
          </cell>
          <cell r="BA28">
            <v>0.4356665545087483</v>
          </cell>
          <cell r="BB28">
            <v>0.4356665545087483</v>
          </cell>
          <cell r="BC28">
            <v>0.4356665545087483</v>
          </cell>
          <cell r="BD28">
            <v>0.4356665545087483</v>
          </cell>
          <cell r="BE28">
            <v>0.4356665545087483</v>
          </cell>
          <cell r="BF28">
            <v>0.4356665545087483</v>
          </cell>
          <cell r="BG28">
            <v>0.4356665545087483</v>
          </cell>
          <cell r="BH28">
            <v>0.4356665545087483</v>
          </cell>
          <cell r="BI28">
            <v>0.4356665545087483</v>
          </cell>
          <cell r="BJ28">
            <v>0.4356665545087483</v>
          </cell>
          <cell r="BK28">
            <v>0.4356665545087483</v>
          </cell>
          <cell r="BL28">
            <v>0.4356665545087483</v>
          </cell>
          <cell r="BM28">
            <v>0.4356665545087483</v>
          </cell>
          <cell r="BN28">
            <v>0.43662563044132086</v>
          </cell>
          <cell r="BO28">
            <v>0.43419845810402502</v>
          </cell>
          <cell r="BP28">
            <v>0.43456984937083853</v>
          </cell>
          <cell r="BQ28">
            <v>0.43806859151830313</v>
          </cell>
          <cell r="BR28">
            <v>0.43832384950673842</v>
          </cell>
          <cell r="BS28">
            <v>0.43857910749517376</v>
          </cell>
          <cell r="BT28">
            <v>0.43905009435102438</v>
          </cell>
          <cell r="BU28">
            <v>0.44267375225228667</v>
          </cell>
          <cell r="BV28">
            <v>0.44291116188368057</v>
          </cell>
          <cell r="BW28">
            <v>0.44347031442230928</v>
          </cell>
          <cell r="BX28">
            <v>0.4436315733934616</v>
          </cell>
          <cell r="BY28">
            <v>0.44379283236461387</v>
          </cell>
          <cell r="BZ28">
            <v>0.44395409133576619</v>
          </cell>
          <cell r="CA28">
            <v>0.4186282228860132</v>
          </cell>
          <cell r="CB28">
            <v>0.39988705778315237</v>
          </cell>
          <cell r="CC28">
            <v>0.38078790820584707</v>
          </cell>
          <cell r="CD28">
            <v>0.353935131414646</v>
          </cell>
          <cell r="CE28">
            <v>0.32708235462344493</v>
          </cell>
          <cell r="CF28">
            <v>0.30022957783224391</v>
          </cell>
          <cell r="CG28">
            <v>0.27337680104104284</v>
          </cell>
          <cell r="CH28">
            <v>0.25107919638671378</v>
          </cell>
          <cell r="CI28">
            <v>0.23536629507927684</v>
          </cell>
          <cell r="CJ28">
            <v>0.2162671455019716</v>
          </cell>
          <cell r="CK28">
            <v>0.18941436871077053</v>
          </cell>
          <cell r="CL28">
            <v>0.16262888667057887</v>
          </cell>
          <cell r="CM28">
            <v>0.13584340463038724</v>
          </cell>
          <cell r="CN28">
            <v>0.10905792259019559</v>
          </cell>
          <cell r="CO28">
            <v>8.6827612686875957E-2</v>
          </cell>
          <cell r="CP28">
            <v>7.1182006130448464E-2</v>
          </cell>
          <cell r="CQ28">
            <v>5.2150151304152639E-2</v>
          </cell>
          <cell r="CR28">
            <v>5.2150151304152639E-2</v>
          </cell>
          <cell r="CS28">
            <v>0.76529811574697171</v>
          </cell>
          <cell r="CT28">
            <v>0.76529811574697171</v>
          </cell>
          <cell r="CU28">
            <v>0.76529811574697171</v>
          </cell>
          <cell r="CV28">
            <v>0.76529811574697171</v>
          </cell>
          <cell r="CW28">
            <v>0.76529811574697171</v>
          </cell>
          <cell r="CX28">
            <v>0.76529811574697171</v>
          </cell>
          <cell r="CY28">
            <v>0.76529811574697171</v>
          </cell>
          <cell r="CZ28">
            <v>0.76529811574697171</v>
          </cell>
          <cell r="DA28">
            <v>0.76529811574697171</v>
          </cell>
          <cell r="DB28">
            <v>0.76529811574697171</v>
          </cell>
          <cell r="DC28">
            <v>0.76529811574697171</v>
          </cell>
          <cell r="DD28">
            <v>0.76529811574697171</v>
          </cell>
          <cell r="DE28">
            <v>0.76529811574697171</v>
          </cell>
          <cell r="DF28">
            <v>0.76529811574697171</v>
          </cell>
          <cell r="DG28">
            <v>0.76529811574697171</v>
          </cell>
          <cell r="DH28">
            <v>0.76529811574697171</v>
          </cell>
          <cell r="DI28">
            <v>0.76529811574697171</v>
          </cell>
          <cell r="DJ28">
            <v>0.76529811574697171</v>
          </cell>
          <cell r="DK28">
            <v>0.76529811574697171</v>
          </cell>
          <cell r="DL28">
            <v>0.76529811574697171</v>
          </cell>
          <cell r="DM28">
            <v>0.76529811574697171</v>
          </cell>
          <cell r="DN28">
            <v>0.76529811574697171</v>
          </cell>
          <cell r="DO28">
            <v>0.76529811574697171</v>
          </cell>
          <cell r="DP28">
            <v>0.76529811574697171</v>
          </cell>
          <cell r="DQ28">
            <v>0.76529811574697171</v>
          </cell>
          <cell r="DR28">
            <v>0.76529811574697171</v>
          </cell>
          <cell r="DS28">
            <v>0.76529811574697171</v>
          </cell>
          <cell r="DT28">
            <v>0.76529811574697171</v>
          </cell>
          <cell r="DU28">
            <v>0.76529811574697171</v>
          </cell>
          <cell r="DV28">
            <v>0.76529811574697171</v>
          </cell>
          <cell r="DW28">
            <v>0.76529811574697171</v>
          </cell>
          <cell r="DX28">
            <v>0.7757605488413285</v>
          </cell>
          <cell r="DY28">
            <v>0.79089415473482305</v>
          </cell>
          <cell r="DZ28">
            <v>0.80711196460543044</v>
          </cell>
          <cell r="EA28">
            <v>0.81388699861532154</v>
          </cell>
          <cell r="EB28">
            <v>0.81613855345976904</v>
          </cell>
          <cell r="EC28">
            <v>0.82508593602965397</v>
          </cell>
          <cell r="ED28">
            <v>0.82862612660654611</v>
          </cell>
          <cell r="EE28">
            <v>0.83209999446772132</v>
          </cell>
          <cell r="EF28">
            <v>0.8398259584896578</v>
          </cell>
          <cell r="EG28">
            <v>0.85309439964911982</v>
          </cell>
          <cell r="EH28">
            <v>0.8537896573339453</v>
          </cell>
          <cell r="EI28">
            <v>0.84942307784525162</v>
          </cell>
          <cell r="EJ28">
            <v>0.85226342971591207</v>
          </cell>
          <cell r="EK28">
            <v>0.85590868021717759</v>
          </cell>
          <cell r="EL28">
            <v>0.85955393071844322</v>
          </cell>
          <cell r="EM28">
            <v>0.86409143596889892</v>
          </cell>
          <cell r="EN28">
            <v>0.87035934838388873</v>
          </cell>
          <cell r="EO28">
            <v>0.87071745936615697</v>
          </cell>
          <cell r="EP28">
            <v>0.86332194313452937</v>
          </cell>
          <cell r="EQ28">
            <v>0.86365542666790407</v>
          </cell>
          <cell r="ER28">
            <v>0.86386273254313628</v>
          </cell>
          <cell r="ES28">
            <v>0.86490045564582474</v>
          </cell>
          <cell r="ET28">
            <v>0.87049335088538526</v>
          </cell>
          <cell r="EU28">
            <v>0.87704309211534648</v>
          </cell>
          <cell r="EV28">
            <v>0.87381358372954443</v>
          </cell>
          <cell r="EW28">
            <v>0.86619518568031761</v>
          </cell>
          <cell r="EX28">
            <v>0.86618109449515557</v>
          </cell>
          <cell r="EY28">
            <v>0.86610658490754944</v>
          </cell>
          <cell r="EZ28">
            <v>0.86603207531994331</v>
          </cell>
          <cell r="FA28">
            <v>0.87051273786920902</v>
          </cell>
          <cell r="FB28">
            <v>0.8770693554477359</v>
          </cell>
          <cell r="FC28">
            <v>0.84800687800131946</v>
          </cell>
          <cell r="FD28">
            <v>0.8111907733410072</v>
          </cell>
          <cell r="FE28">
            <v>0.77437466868069493</v>
          </cell>
          <cell r="FF28">
            <v>0.77933413602576629</v>
          </cell>
          <cell r="FG28">
            <v>0.78088714040431428</v>
          </cell>
          <cell r="FH28">
            <v>0.78730588219564257</v>
          </cell>
          <cell r="FI28">
            <v>0.79554083877538373</v>
          </cell>
          <cell r="FJ28">
            <v>0.7946160992639798</v>
          </cell>
          <cell r="FK28">
            <v>0.78593773253868016</v>
          </cell>
          <cell r="FL28">
            <v>0.78185228330787926</v>
          </cell>
          <cell r="FM28">
            <v>0.78348688791287924</v>
          </cell>
          <cell r="FN28">
            <v>0.7851214925178791</v>
          </cell>
          <cell r="FO28">
            <v>0.79635837558545786</v>
          </cell>
          <cell r="FP28">
            <v>0.81317054073478734</v>
          </cell>
          <cell r="FQ28">
            <v>0.81986698251330625</v>
          </cell>
          <cell r="FR28">
            <v>0.8221745346284004</v>
          </cell>
          <cell r="FS28">
            <v>0.83185513466163008</v>
          </cell>
          <cell r="FT28">
            <v>0.82478228468030013</v>
          </cell>
          <cell r="FU28">
            <v>0.82368053516536588</v>
          </cell>
          <cell r="FV28">
            <v>0.8271339577873037</v>
          </cell>
          <cell r="FW28">
            <v>0.83548971498089819</v>
          </cell>
          <cell r="FX28">
            <v>0.83372974880368222</v>
          </cell>
          <cell r="FY28">
            <v>0.82758089296304127</v>
          </cell>
          <cell r="FZ28">
            <v>0.87033204443248713</v>
          </cell>
          <cell r="GA28">
            <v>0.92735148850097326</v>
          </cell>
          <cell r="GB28">
            <v>0.97162621467332844</v>
          </cell>
          <cell r="GC28">
            <v>1.0102227043431913</v>
          </cell>
          <cell r="GD28">
            <v>1.0498409247827549</v>
          </cell>
          <cell r="GE28">
            <v>1.0736280412623052</v>
          </cell>
          <cell r="GF28">
            <v>1.0866332667325356</v>
          </cell>
          <cell r="GG28">
            <v>1.0979285050391991</v>
          </cell>
          <cell r="GH28">
            <v>0.90780245628897582</v>
          </cell>
          <cell r="GI28">
            <v>0.90466568642465939</v>
          </cell>
          <cell r="GJ28">
            <v>0.90212803415163401</v>
          </cell>
          <cell r="GK28">
            <v>0.91605208233991653</v>
          </cell>
          <cell r="GL28">
            <v>0.96733452433417966</v>
          </cell>
          <cell r="GM28">
            <v>1.0180770397101304</v>
          </cell>
          <cell r="GN28">
            <v>1.0619071122598032</v>
          </cell>
          <cell r="GO28">
            <v>1.1000675451291566</v>
          </cell>
          <cell r="GP28">
            <v>1.1181061280084552</v>
          </cell>
          <cell r="GQ28">
            <v>1.1312926153135796</v>
          </cell>
          <cell r="GR28">
            <v>1.154073013044872</v>
          </cell>
          <cell r="GS28">
            <v>1.1718966129085424</v>
          </cell>
          <cell r="GT28">
            <v>1.1889450390795255</v>
          </cell>
          <cell r="GU28">
            <v>1.2049020183865455</v>
          </cell>
          <cell r="GV28">
            <v>1.2526440360649007</v>
          </cell>
          <cell r="GW28">
            <v>1.3169595551763575</v>
          </cell>
          <cell r="GX28">
            <v>1.3779239048608691</v>
          </cell>
          <cell r="GY28">
            <v>1.4234487194678282</v>
          </cell>
          <cell r="GZ28">
            <v>1.461762813464748</v>
          </cell>
          <cell r="HA28">
            <v>1.4716994144504616</v>
          </cell>
          <cell r="HB28">
            <v>1.4738823882222798</v>
          </cell>
          <cell r="HC28">
            <v>1.4715508936226305</v>
          </cell>
          <cell r="HD28">
            <v>1.4675770866471562</v>
          </cell>
          <cell r="HE28">
            <v>1.4889937502141053</v>
          </cell>
          <cell r="HF28">
            <v>1.5595548244972564</v>
          </cell>
          <cell r="HG28">
            <v>1.6350582897514745</v>
          </cell>
          <cell r="HH28">
            <v>1.7071755067358241</v>
          </cell>
          <cell r="HI28">
            <v>1.7634637263851476</v>
          </cell>
          <cell r="HJ28">
            <v>1.8064612327101102</v>
          </cell>
          <cell r="HK28">
            <v>1.8408786582813716</v>
          </cell>
        </row>
        <row r="30">
          <cell r="D30">
            <v>835.54725714285712</v>
          </cell>
          <cell r="E30">
            <v>845.0585142857143</v>
          </cell>
          <cell r="F30">
            <v>854.56977142857147</v>
          </cell>
          <cell r="G30">
            <v>864.08102857142865</v>
          </cell>
          <cell r="H30">
            <v>873.59228571428582</v>
          </cell>
          <cell r="I30">
            <v>883.103542857143</v>
          </cell>
          <cell r="J30">
            <v>892.61480000000017</v>
          </cell>
          <cell r="K30">
            <v>902.12605714285735</v>
          </cell>
          <cell r="L30">
            <v>911.63731428571452</v>
          </cell>
          <cell r="M30">
            <v>921.1485714285717</v>
          </cell>
          <cell r="N30">
            <v>930.65982857142887</v>
          </cell>
          <cell r="O30">
            <v>940.17108571428605</v>
          </cell>
          <cell r="P30">
            <v>949.68234285714323</v>
          </cell>
          <cell r="Q30">
            <v>959.1936000000004</v>
          </cell>
          <cell r="R30">
            <v>968.70485714285758</v>
          </cell>
          <cell r="S30">
            <v>978.21611428571475</v>
          </cell>
          <cell r="T30">
            <v>987.72737142857193</v>
          </cell>
          <cell r="U30">
            <v>997.2386285714291</v>
          </cell>
          <cell r="V30">
            <v>1006.7498857142863</v>
          </cell>
          <cell r="W30">
            <v>1016.2611428571435</v>
          </cell>
          <cell r="X30">
            <v>1025.7724000000005</v>
          </cell>
          <cell r="Y30">
            <v>1035.2836571428577</v>
          </cell>
          <cell r="Z30">
            <v>1044.7949142857149</v>
          </cell>
          <cell r="AA30">
            <v>1054.306171428572</v>
          </cell>
          <cell r="AB30">
            <v>1063.8174285714292</v>
          </cell>
          <cell r="AC30">
            <v>1073.3286857142864</v>
          </cell>
          <cell r="AD30">
            <v>1082.8399428571436</v>
          </cell>
          <cell r="AE30">
            <v>1092.3512000000007</v>
          </cell>
          <cell r="AF30">
            <v>1101.8624571428579</v>
          </cell>
          <cell r="AG30">
            <v>1111.3737142857151</v>
          </cell>
          <cell r="AH30">
            <v>1111.3737142857151</v>
          </cell>
          <cell r="AI30">
            <v>1120.5781566820285</v>
          </cell>
          <cell r="AJ30">
            <v>1129.7825990783419</v>
          </cell>
          <cell r="AK30">
            <v>1138.9870414746554</v>
          </cell>
          <cell r="AL30">
            <v>1148.1914838709688</v>
          </cell>
          <cell r="AM30">
            <v>1157.3959262672822</v>
          </cell>
          <cell r="AN30">
            <v>1166.6003686635956</v>
          </cell>
          <cell r="AO30">
            <v>1175.8048110599091</v>
          </cell>
          <cell r="AP30">
            <v>1185.0092534562225</v>
          </cell>
          <cell r="AQ30">
            <v>1194.2136958525359</v>
          </cell>
          <cell r="AR30">
            <v>1203.4181382488493</v>
          </cell>
          <cell r="AS30">
            <v>1212.6225806451628</v>
          </cell>
          <cell r="AT30">
            <v>1221.8270230414762</v>
          </cell>
          <cell r="AU30">
            <v>1231.0314654377896</v>
          </cell>
          <cell r="AV30">
            <v>1240.235907834103</v>
          </cell>
          <cell r="AW30">
            <v>1249.4403502304165</v>
          </cell>
          <cell r="AX30">
            <v>1258.6447926267299</v>
          </cell>
          <cell r="AY30">
            <v>1267.8492350230433</v>
          </cell>
          <cell r="AZ30">
            <v>1277.0536774193567</v>
          </cell>
          <cell r="BA30">
            <v>1286.2581198156702</v>
          </cell>
          <cell r="BB30">
            <v>1295.4625622119836</v>
          </cell>
          <cell r="BC30">
            <v>1304.667004608297</v>
          </cell>
          <cell r="BD30">
            <v>1313.8714470046104</v>
          </cell>
          <cell r="BE30">
            <v>1323.0758894009239</v>
          </cell>
          <cell r="BF30">
            <v>1332.2803317972373</v>
          </cell>
          <cell r="BG30">
            <v>1341.4847741935507</v>
          </cell>
          <cell r="BH30">
            <v>1350.6892165898641</v>
          </cell>
          <cell r="BI30">
            <v>1359.8936589861776</v>
          </cell>
          <cell r="BJ30">
            <v>1369.098101382491</v>
          </cell>
          <cell r="BK30">
            <v>1378.3025437788044</v>
          </cell>
          <cell r="BL30">
            <v>1387.5069861751178</v>
          </cell>
          <cell r="BM30">
            <v>1396.7114285714313</v>
          </cell>
          <cell r="BN30">
            <v>1406.2226857142884</v>
          </cell>
          <cell r="BO30">
            <v>1415.7339428571456</v>
          </cell>
          <cell r="BP30">
            <v>1425.2452000000028</v>
          </cell>
          <cell r="BQ30">
            <v>1434.75645714286</v>
          </cell>
          <cell r="BR30">
            <v>1444.2677142857171</v>
          </cell>
          <cell r="BS30">
            <v>1453.7789714285743</v>
          </cell>
          <cell r="BT30">
            <v>1463.2902285714315</v>
          </cell>
          <cell r="BU30">
            <v>1472.8014857142887</v>
          </cell>
          <cell r="BV30">
            <v>1482.3127428571458</v>
          </cell>
          <cell r="BW30">
            <v>1491.824000000003</v>
          </cell>
          <cell r="BX30">
            <v>1501.3352571428602</v>
          </cell>
          <cell r="BY30">
            <v>1510.8465142857174</v>
          </cell>
          <cell r="BZ30">
            <v>1520.3577714285746</v>
          </cell>
          <cell r="CA30">
            <v>1529.8690285714317</v>
          </cell>
          <cell r="CB30">
            <v>1539.3802857142889</v>
          </cell>
          <cell r="CC30">
            <v>1548.8915428571461</v>
          </cell>
          <cell r="CD30">
            <v>1558.4028000000033</v>
          </cell>
          <cell r="CE30">
            <v>1567.9140571428604</v>
          </cell>
          <cell r="CF30">
            <v>1577.4253142857176</v>
          </cell>
          <cell r="CG30">
            <v>1586.9365714285748</v>
          </cell>
          <cell r="CH30">
            <v>1596.447828571432</v>
          </cell>
          <cell r="CI30">
            <v>1605.9590857142891</v>
          </cell>
          <cell r="CJ30">
            <v>1615.4703428571463</v>
          </cell>
          <cell r="CK30">
            <v>1624.9816000000035</v>
          </cell>
          <cell r="CL30">
            <v>1634.4928571428607</v>
          </cell>
          <cell r="CM30">
            <v>1644.0041142857178</v>
          </cell>
          <cell r="CN30">
            <v>1653.515371428575</v>
          </cell>
          <cell r="CO30">
            <v>1663.0266285714322</v>
          </cell>
          <cell r="CP30">
            <v>1672.5378857142894</v>
          </cell>
          <cell r="CQ30">
            <v>1682.0491428571465</v>
          </cell>
          <cell r="CR30">
            <v>1682.0491428571465</v>
          </cell>
          <cell r="CS30">
            <v>1691.25358525346</v>
          </cell>
          <cell r="CT30">
            <v>1700.4580276497734</v>
          </cell>
          <cell r="CU30">
            <v>1709.6624700460868</v>
          </cell>
          <cell r="CV30">
            <v>1718.8669124424002</v>
          </cell>
          <cell r="CW30">
            <v>1728.0713548387137</v>
          </cell>
          <cell r="CX30">
            <v>1737.2757972350271</v>
          </cell>
          <cell r="CY30">
            <v>1746.4802396313405</v>
          </cell>
          <cell r="CZ30">
            <v>1755.6846820276539</v>
          </cell>
          <cell r="DA30">
            <v>1764.8891244239674</v>
          </cell>
          <cell r="DB30">
            <v>1774.0935668202808</v>
          </cell>
          <cell r="DC30">
            <v>1783.2980092165942</v>
          </cell>
          <cell r="DD30">
            <v>1792.5024516129076</v>
          </cell>
          <cell r="DE30">
            <v>1801.7068940092211</v>
          </cell>
          <cell r="DF30">
            <v>1810.9113364055345</v>
          </cell>
          <cell r="DG30">
            <v>1820.1157788018479</v>
          </cell>
          <cell r="DH30">
            <v>1829.3202211981613</v>
          </cell>
          <cell r="DI30">
            <v>1838.5246635944748</v>
          </cell>
          <cell r="DJ30">
            <v>1847.7291059907882</v>
          </cell>
          <cell r="DK30">
            <v>1856.9335483871016</v>
          </cell>
          <cell r="DL30">
            <v>1866.137990783415</v>
          </cell>
          <cell r="DM30">
            <v>1875.3424331797285</v>
          </cell>
          <cell r="DN30">
            <v>1884.5468755760419</v>
          </cell>
          <cell r="DO30">
            <v>1893.7513179723553</v>
          </cell>
          <cell r="DP30">
            <v>1902.9557603686687</v>
          </cell>
          <cell r="DQ30">
            <v>1912.1602027649822</v>
          </cell>
          <cell r="DR30">
            <v>1921.3646451612956</v>
          </cell>
          <cell r="DS30">
            <v>1930.569087557609</v>
          </cell>
          <cell r="DT30">
            <v>1939.7735299539224</v>
          </cell>
          <cell r="DU30">
            <v>1948.9779723502359</v>
          </cell>
          <cell r="DV30">
            <v>1958.1824147465493</v>
          </cell>
          <cell r="DW30">
            <v>1967.3868571428627</v>
          </cell>
          <cell r="DX30">
            <v>1976.5912995391761</v>
          </cell>
          <cell r="DY30">
            <v>1985.7957419354896</v>
          </cell>
          <cell r="DZ30">
            <v>1995.000184331803</v>
          </cell>
          <cell r="EA30">
            <v>2004.2046267281164</v>
          </cell>
          <cell r="EB30">
            <v>2013.4090691244298</v>
          </cell>
          <cell r="EC30">
            <v>2022.6135115207433</v>
          </cell>
          <cell r="ED30">
            <v>2031.8179539170567</v>
          </cell>
          <cell r="EE30">
            <v>2041.0223963133701</v>
          </cell>
          <cell r="EF30">
            <v>2050.2268387096833</v>
          </cell>
          <cell r="EG30">
            <v>2059.4312811059967</v>
          </cell>
          <cell r="EH30">
            <v>2068.6357235023102</v>
          </cell>
          <cell r="EI30">
            <v>2077.8401658986236</v>
          </cell>
          <cell r="EJ30">
            <v>2087.044608294937</v>
          </cell>
          <cell r="EK30">
            <v>2096.2490506912504</v>
          </cell>
          <cell r="EL30">
            <v>2105.4534930875639</v>
          </cell>
          <cell r="EM30">
            <v>2114.6579354838773</v>
          </cell>
          <cell r="EN30">
            <v>2123.8623778801907</v>
          </cell>
          <cell r="EO30">
            <v>2133.0668202765041</v>
          </cell>
          <cell r="EP30">
            <v>2142.2712626728176</v>
          </cell>
          <cell r="EQ30">
            <v>2151.475705069131</v>
          </cell>
          <cell r="ER30">
            <v>2160.6801474654444</v>
          </cell>
          <cell r="ES30">
            <v>2169.8845898617578</v>
          </cell>
          <cell r="ET30">
            <v>2179.0890322580713</v>
          </cell>
          <cell r="EU30">
            <v>2188.2934746543847</v>
          </cell>
          <cell r="EV30">
            <v>2197.4979170506981</v>
          </cell>
          <cell r="EW30">
            <v>2206.7023594470115</v>
          </cell>
          <cell r="EX30">
            <v>2215.906801843325</v>
          </cell>
          <cell r="EY30">
            <v>2225.1112442396384</v>
          </cell>
          <cell r="EZ30">
            <v>2234.3156866359518</v>
          </cell>
          <cell r="FA30">
            <v>2243.5201290322652</v>
          </cell>
          <cell r="FB30">
            <v>2252.7245714285787</v>
          </cell>
          <cell r="FC30">
            <v>2262.2358285714358</v>
          </cell>
          <cell r="FD30">
            <v>2271.747085714293</v>
          </cell>
          <cell r="FE30">
            <v>2281.2583428571502</v>
          </cell>
          <cell r="FF30">
            <v>2290.7696000000074</v>
          </cell>
          <cell r="FG30">
            <v>2300.2808571428645</v>
          </cell>
          <cell r="FH30">
            <v>2309.7921142857217</v>
          </cell>
          <cell r="FI30">
            <v>2319.3033714285789</v>
          </cell>
          <cell r="FJ30">
            <v>2328.8146285714361</v>
          </cell>
          <cell r="FK30">
            <v>2338.3258857142932</v>
          </cell>
          <cell r="FL30">
            <v>2347.8371428571504</v>
          </cell>
          <cell r="FM30">
            <v>2357.3484000000076</v>
          </cell>
          <cell r="FN30">
            <v>2366.8596571428648</v>
          </cell>
          <cell r="FO30">
            <v>2376.3709142857219</v>
          </cell>
          <cell r="FP30">
            <v>2385.8821714285791</v>
          </cell>
          <cell r="FQ30">
            <v>2395.3934285714363</v>
          </cell>
          <cell r="FR30">
            <v>2404.9046857142935</v>
          </cell>
          <cell r="FS30">
            <v>2414.4159428571506</v>
          </cell>
          <cell r="FT30">
            <v>2423.9272000000078</v>
          </cell>
          <cell r="FU30">
            <v>2433.438457142865</v>
          </cell>
          <cell r="FV30">
            <v>2442.9497142857222</v>
          </cell>
          <cell r="FW30">
            <v>2452.4609714285793</v>
          </cell>
          <cell r="FX30">
            <v>2461.9722285714365</v>
          </cell>
          <cell r="FY30">
            <v>2471.4834857142937</v>
          </cell>
          <cell r="FZ30">
            <v>2480.9947428571509</v>
          </cell>
          <cell r="GA30">
            <v>2490.506000000008</v>
          </cell>
          <cell r="GB30">
            <v>2500.0172571428652</v>
          </cell>
          <cell r="GC30">
            <v>2509.5285142857224</v>
          </cell>
          <cell r="GD30">
            <v>2519.0397714285796</v>
          </cell>
          <cell r="GE30">
            <v>2528.5510285714367</v>
          </cell>
          <cell r="GF30">
            <v>2538.0622857142939</v>
          </cell>
          <cell r="GG30">
            <v>2547.2667281106073</v>
          </cell>
          <cell r="GH30">
            <v>2556.4711705069208</v>
          </cell>
          <cell r="GI30">
            <v>2565.6756129032342</v>
          </cell>
          <cell r="GJ30">
            <v>2574.8800552995476</v>
          </cell>
          <cell r="GK30">
            <v>2584.084497695861</v>
          </cell>
          <cell r="GL30">
            <v>2593.2889400921745</v>
          </cell>
          <cell r="GM30">
            <v>2602.4933824884879</v>
          </cell>
          <cell r="GN30">
            <v>2611.6978248848013</v>
          </cell>
          <cell r="GO30">
            <v>2620.9022672811147</v>
          </cell>
          <cell r="GP30">
            <v>2630.1067096774282</v>
          </cell>
          <cell r="GQ30">
            <v>2639.3111520737416</v>
          </cell>
          <cell r="GR30">
            <v>2648.515594470055</v>
          </cell>
          <cell r="GS30">
            <v>2657.7200368663684</v>
          </cell>
          <cell r="GT30">
            <v>2666.9244792626819</v>
          </cell>
          <cell r="GU30">
            <v>2676.1289216589953</v>
          </cell>
          <cell r="GV30">
            <v>2685.3333640553087</v>
          </cell>
          <cell r="GW30">
            <v>2694.5378064516221</v>
          </cell>
          <cell r="GX30">
            <v>2703.7422488479356</v>
          </cell>
          <cell r="GY30">
            <v>2712.946691244249</v>
          </cell>
          <cell r="GZ30">
            <v>2722.1511336405624</v>
          </cell>
          <cell r="HA30">
            <v>2731.3555760368758</v>
          </cell>
          <cell r="HB30">
            <v>2740.5600184331893</v>
          </cell>
          <cell r="HC30">
            <v>2749.7644608295027</v>
          </cell>
          <cell r="HD30">
            <v>2758.9689032258161</v>
          </cell>
          <cell r="HE30">
            <v>2768.1733456221295</v>
          </cell>
          <cell r="HF30">
            <v>2777.377788018443</v>
          </cell>
          <cell r="HG30">
            <v>2786.5822304147564</v>
          </cell>
          <cell r="HH30">
            <v>2795.7866728110698</v>
          </cell>
          <cell r="HI30">
            <v>2804.9911152073832</v>
          </cell>
          <cell r="HJ30">
            <v>2814.1955576036967</v>
          </cell>
          <cell r="HK30">
            <v>2823.4000000000101</v>
          </cell>
        </row>
        <row r="34">
          <cell r="D34">
            <v>0.2014608669578295</v>
          </cell>
          <cell r="E34">
            <v>0.20680177098465899</v>
          </cell>
          <cell r="F34">
            <v>0.20188861670961178</v>
          </cell>
          <cell r="G34">
            <v>0.19765313589763697</v>
          </cell>
          <cell r="H34">
            <v>0.19317665458613564</v>
          </cell>
          <cell r="I34">
            <v>0.19266769922466834</v>
          </cell>
          <cell r="J34">
            <v>0.19903207263032435</v>
          </cell>
          <cell r="K34">
            <v>0.21034463028255568</v>
          </cell>
          <cell r="L34">
            <v>0.21137862754276876</v>
          </cell>
          <cell r="M34">
            <v>0.21322184466599553</v>
          </cell>
          <cell r="N34">
            <v>0.21631902790878854</v>
          </cell>
          <cell r="O34">
            <v>0.21984380370003365</v>
          </cell>
          <cell r="P34">
            <v>0.22434228771045683</v>
          </cell>
          <cell r="Q34">
            <v>0.22880869021403066</v>
          </cell>
          <cell r="R34">
            <v>0.23096940778609767</v>
          </cell>
          <cell r="S34">
            <v>0.23311728289241124</v>
          </cell>
          <cell r="T34">
            <v>0.23748189180246229</v>
          </cell>
          <cell r="U34">
            <v>0.23930540482210236</v>
          </cell>
          <cell r="V34">
            <v>0.24231917469105752</v>
          </cell>
          <cell r="W34">
            <v>0.24595621281106972</v>
          </cell>
          <cell r="X34">
            <v>0.24802663380779424</v>
          </cell>
          <cell r="Y34">
            <v>0.23731075069492974</v>
          </cell>
          <cell r="Z34">
            <v>0.23169176963685978</v>
          </cell>
          <cell r="AA34">
            <v>0.23382079816783088</v>
          </cell>
          <cell r="AB34">
            <v>0.23231265127363759</v>
          </cell>
          <cell r="AC34">
            <v>0.23420010711917036</v>
          </cell>
          <cell r="AD34">
            <v>0.23966448907479898</v>
          </cell>
          <cell r="AE34">
            <v>0.24432952171535915</v>
          </cell>
          <cell r="AF34">
            <v>0.23746710093126178</v>
          </cell>
          <cell r="AG34">
            <v>0.24207641499597257</v>
          </cell>
          <cell r="AH34">
            <v>0.24207641499597257</v>
          </cell>
          <cell r="AI34">
            <v>0.35291866438356162</v>
          </cell>
          <cell r="AJ34">
            <v>0.35291866438356162</v>
          </cell>
          <cell r="AK34">
            <v>0.35291866438356162</v>
          </cell>
          <cell r="AL34">
            <v>0.35291866438356162</v>
          </cell>
          <cell r="AM34">
            <v>0.35291866438356162</v>
          </cell>
          <cell r="AN34">
            <v>0.35291866438356162</v>
          </cell>
          <cell r="AO34">
            <v>0.35291866438356162</v>
          </cell>
          <cell r="AP34">
            <v>0.35291866438356162</v>
          </cell>
          <cell r="AQ34">
            <v>0.35291866438356162</v>
          </cell>
          <cell r="AR34">
            <v>0.35291866438356162</v>
          </cell>
          <cell r="AS34">
            <v>0.35291866438356162</v>
          </cell>
          <cell r="AT34">
            <v>0.35291866438356162</v>
          </cell>
          <cell r="AU34">
            <v>0.35291866438356162</v>
          </cell>
          <cell r="AV34">
            <v>0.35291866438356162</v>
          </cell>
          <cell r="AW34">
            <v>0.35291866438356162</v>
          </cell>
          <cell r="AX34">
            <v>0.35291866438356162</v>
          </cell>
          <cell r="AY34">
            <v>0.35291866438356162</v>
          </cell>
          <cell r="AZ34">
            <v>0.35291866438356162</v>
          </cell>
          <cell r="BA34">
            <v>0.35291866438356162</v>
          </cell>
          <cell r="BB34">
            <v>0.35291866438356162</v>
          </cell>
          <cell r="BC34">
            <v>0.35291866438356162</v>
          </cell>
          <cell r="BD34">
            <v>0.35291866438356162</v>
          </cell>
          <cell r="BE34">
            <v>0.35291866438356162</v>
          </cell>
          <cell r="BF34">
            <v>0.35291866438356162</v>
          </cell>
          <cell r="BG34">
            <v>0.35291866438356162</v>
          </cell>
          <cell r="BH34">
            <v>0.35291866438356162</v>
          </cell>
          <cell r="BI34">
            <v>0.35291866438356162</v>
          </cell>
          <cell r="BJ34">
            <v>0.35291866438356162</v>
          </cell>
          <cell r="BK34">
            <v>0.35291866438356162</v>
          </cell>
          <cell r="BL34">
            <v>0.35291866438356162</v>
          </cell>
          <cell r="BM34">
            <v>0.35291866438356162</v>
          </cell>
          <cell r="BN34">
            <v>0.3561915261067613</v>
          </cell>
          <cell r="BO34">
            <v>0.35866503851489245</v>
          </cell>
          <cell r="BP34">
            <v>0.35882002352576337</v>
          </cell>
          <cell r="BQ34">
            <v>0.35929139253844822</v>
          </cell>
          <cell r="BR34">
            <v>0.36002132319496877</v>
          </cell>
          <cell r="BS34">
            <v>0.36158490953168559</v>
          </cell>
          <cell r="BT34">
            <v>0.36452539655333399</v>
          </cell>
          <cell r="BU34">
            <v>0.36907329795854399</v>
          </cell>
          <cell r="BV34">
            <v>0.37282185004868551</v>
          </cell>
          <cell r="BW34">
            <v>0.37425187474156674</v>
          </cell>
          <cell r="BX34">
            <v>0.3758668309412973</v>
          </cell>
          <cell r="BY34">
            <v>0.37748178714102787</v>
          </cell>
          <cell r="BZ34">
            <v>0.37926198306678582</v>
          </cell>
          <cell r="CA34">
            <v>0.38241907967747529</v>
          </cell>
          <cell r="CB34">
            <v>0.38727948108268534</v>
          </cell>
          <cell r="CC34">
            <v>0.39134053317282685</v>
          </cell>
          <cell r="CD34">
            <v>0.39308305786570807</v>
          </cell>
          <cell r="CE34">
            <v>0.39488893872297293</v>
          </cell>
          <cell r="CF34">
            <v>0.39669481958023772</v>
          </cell>
          <cell r="CG34">
            <v>0.39844933057448884</v>
          </cell>
          <cell r="CH34">
            <v>0.40158074225367146</v>
          </cell>
          <cell r="CI34">
            <v>0.40645312996025135</v>
          </cell>
          <cell r="CJ34">
            <v>0.41052616835176275</v>
          </cell>
          <cell r="CK34">
            <v>0.41228067934601387</v>
          </cell>
          <cell r="CL34">
            <v>0.41461224513478551</v>
          </cell>
          <cell r="CM34">
            <v>0.41669381092355717</v>
          </cell>
          <cell r="CN34">
            <v>0.41878051369863023</v>
          </cell>
          <cell r="CO34">
            <v>0.42224411715863475</v>
          </cell>
          <cell r="CP34">
            <v>0.42766958705699543</v>
          </cell>
          <cell r="CQ34">
            <v>0.43229570764028763</v>
          </cell>
          <cell r="CR34">
            <v>0.43229570764028763</v>
          </cell>
          <cell r="CS34">
            <v>0.59539297945205483</v>
          </cell>
          <cell r="CT34">
            <v>0.59539297945205483</v>
          </cell>
          <cell r="CU34">
            <v>0.59539297945205483</v>
          </cell>
          <cell r="CV34">
            <v>0.59539297945205483</v>
          </cell>
          <cell r="CW34">
            <v>0.59539297945205483</v>
          </cell>
          <cell r="CX34">
            <v>0.59539297945205483</v>
          </cell>
          <cell r="CY34">
            <v>0.59539297945205483</v>
          </cell>
          <cell r="CZ34">
            <v>0.59539297945205483</v>
          </cell>
          <cell r="DA34">
            <v>0.59539297945205483</v>
          </cell>
          <cell r="DB34">
            <v>0.59539297945205483</v>
          </cell>
          <cell r="DC34">
            <v>0.59539297945205483</v>
          </cell>
          <cell r="DD34">
            <v>0.59539297945205483</v>
          </cell>
          <cell r="DE34">
            <v>0.59539297945205483</v>
          </cell>
          <cell r="DF34">
            <v>0.59539297945205483</v>
          </cell>
          <cell r="DG34">
            <v>0.59539297945205483</v>
          </cell>
          <cell r="DH34">
            <v>0.59539297945205483</v>
          </cell>
          <cell r="DI34">
            <v>0.59539297945205483</v>
          </cell>
          <cell r="DJ34">
            <v>0.59539297945205483</v>
          </cell>
          <cell r="DK34">
            <v>0.59539297945205483</v>
          </cell>
          <cell r="DL34">
            <v>0.59539297945205483</v>
          </cell>
          <cell r="DM34">
            <v>0.59539297945205483</v>
          </cell>
          <cell r="DN34">
            <v>0.59539297945205483</v>
          </cell>
          <cell r="DO34">
            <v>0.59539297945205483</v>
          </cell>
          <cell r="DP34">
            <v>0.59539297945205483</v>
          </cell>
          <cell r="DQ34">
            <v>0.59539297945205483</v>
          </cell>
          <cell r="DR34">
            <v>0.59539297945205483</v>
          </cell>
          <cell r="DS34">
            <v>0.59539297945205483</v>
          </cell>
          <cell r="DT34">
            <v>0.59539297945205483</v>
          </cell>
          <cell r="DU34">
            <v>0.59539297945205483</v>
          </cell>
          <cell r="DV34">
            <v>0.59539297945205483</v>
          </cell>
          <cell r="DW34">
            <v>0.59539297945205483</v>
          </cell>
          <cell r="DX34">
            <v>0.59936102134491998</v>
          </cell>
          <cell r="DY34">
            <v>0.60470596392271669</v>
          </cell>
          <cell r="DZ34">
            <v>0.61019209727761403</v>
          </cell>
          <cell r="EA34">
            <v>0.61487888131744273</v>
          </cell>
          <cell r="EB34">
            <v>0.61724713796001118</v>
          </cell>
          <cell r="EC34">
            <v>0.61704690145189467</v>
          </cell>
          <cell r="ED34">
            <v>0.62018128766456349</v>
          </cell>
          <cell r="EE34">
            <v>0.62331567387723241</v>
          </cell>
          <cell r="EF34">
            <v>0.6278269607748328</v>
          </cell>
          <cell r="EG34">
            <v>0.63357936125301761</v>
          </cell>
          <cell r="EH34">
            <v>0.63853241241613412</v>
          </cell>
          <cell r="EI34">
            <v>0.64116693618199017</v>
          </cell>
          <cell r="EJ34">
            <v>0.64380145994784632</v>
          </cell>
          <cell r="EK34">
            <v>0.64779678822478004</v>
          </cell>
          <cell r="EL34">
            <v>0.65179211650171376</v>
          </cell>
          <cell r="EM34">
            <v>0.65608643450467496</v>
          </cell>
          <cell r="EN34">
            <v>0.66297789291859499</v>
          </cell>
          <cell r="EO34">
            <v>0.6690700020174466</v>
          </cell>
          <cell r="EP34">
            <v>0.67284358371903785</v>
          </cell>
          <cell r="EQ34">
            <v>0.6765632270644647</v>
          </cell>
          <cell r="ER34">
            <v>0.68028287040989155</v>
          </cell>
          <cell r="ES34">
            <v>0.68404360964572941</v>
          </cell>
          <cell r="ET34">
            <v>0.68918124956649873</v>
          </cell>
          <cell r="EU34">
            <v>0.69612750250096678</v>
          </cell>
          <cell r="EV34">
            <v>0.70227440612036629</v>
          </cell>
          <cell r="EW34">
            <v>0.70610278234250545</v>
          </cell>
          <cell r="EX34">
            <v>0.70993115856464473</v>
          </cell>
          <cell r="EY34">
            <v>0.713759534786784</v>
          </cell>
          <cell r="EZ34">
            <v>0.71758791100892327</v>
          </cell>
          <cell r="FA34">
            <v>0.72279318791599401</v>
          </cell>
          <cell r="FB34">
            <v>0.72973944085046194</v>
          </cell>
          <cell r="FC34">
            <v>0.7321348939089779</v>
          </cell>
          <cell r="FD34">
            <v>0.73221181957023362</v>
          </cell>
          <cell r="FE34">
            <v>0.73228874523148924</v>
          </cell>
          <cell r="FF34">
            <v>0.73298895856397783</v>
          </cell>
          <cell r="FG34">
            <v>0.73744062245734987</v>
          </cell>
          <cell r="FH34">
            <v>0.74297723498085899</v>
          </cell>
          <cell r="FI34">
            <v>0.75025482353176542</v>
          </cell>
          <cell r="FJ34">
            <v>0.75673306276760322</v>
          </cell>
          <cell r="FK34">
            <v>0.76089277460618077</v>
          </cell>
          <cell r="FL34">
            <v>0.76507817137626521</v>
          </cell>
          <cell r="FM34">
            <v>0.76926356814634966</v>
          </cell>
          <cell r="FN34">
            <v>0.77344896491643422</v>
          </cell>
          <cell r="FO34">
            <v>0.7782439945632309</v>
          </cell>
          <cell r="FP34">
            <v>0.78478000023742489</v>
          </cell>
          <cell r="FQ34">
            <v>0.79051665659655035</v>
          </cell>
          <cell r="FR34">
            <v>0.79393478555841568</v>
          </cell>
          <cell r="FS34">
            <v>0.7973529145202809</v>
          </cell>
          <cell r="FT34">
            <v>0.79733894223633106</v>
          </cell>
          <cell r="FU34">
            <v>0.80090176297901827</v>
          </cell>
          <cell r="FV34">
            <v>0.80507421659841771</v>
          </cell>
          <cell r="FW34">
            <v>0.81098764624521447</v>
          </cell>
          <cell r="FX34">
            <v>0.8161017265769428</v>
          </cell>
          <cell r="FY34">
            <v>0.81889727951141078</v>
          </cell>
          <cell r="FZ34">
            <v>0.82208495573355</v>
          </cell>
          <cell r="GA34">
            <v>0.83325874878953177</v>
          </cell>
          <cell r="GB34">
            <v>0.84377464829333992</v>
          </cell>
          <cell r="GC34">
            <v>0.85147666137773248</v>
          </cell>
          <cell r="GD34">
            <v>0.86105321213335806</v>
          </cell>
          <cell r="GE34">
            <v>0.86607896301303144</v>
          </cell>
          <cell r="GF34">
            <v>0.86801891868722558</v>
          </cell>
          <cell r="GG34">
            <v>0.86588895214728789</v>
          </cell>
          <cell r="GH34">
            <v>0.86785984917938686</v>
          </cell>
          <cell r="GI34">
            <v>0.86889218784937694</v>
          </cell>
          <cell r="GJ34">
            <v>0.86992452651936691</v>
          </cell>
          <cell r="GK34">
            <v>0.87156649806606934</v>
          </cell>
          <cell r="GL34">
            <v>0.87494944564016897</v>
          </cell>
          <cell r="GM34">
            <v>0.88378546150067283</v>
          </cell>
          <cell r="GN34">
            <v>0.88953568215569712</v>
          </cell>
          <cell r="GO34">
            <v>0.89535867678332404</v>
          </cell>
          <cell r="GP34">
            <v>0.89701339300996941</v>
          </cell>
          <cell r="GQ34">
            <v>0.89866810923661489</v>
          </cell>
          <cell r="GR34">
            <v>0.89974545519875782</v>
          </cell>
          <cell r="GS34">
            <v>0.90423108854869083</v>
          </cell>
          <cell r="GT34">
            <v>0.90625006122316265</v>
          </cell>
          <cell r="GU34">
            <v>0.90518323869215511</v>
          </cell>
          <cell r="GV34">
            <v>0.90828469456212912</v>
          </cell>
          <cell r="GW34">
            <v>0.91305346179249591</v>
          </cell>
          <cell r="GX34">
            <v>0.9178222290228627</v>
          </cell>
          <cell r="GY34">
            <v>0.92396789693816106</v>
          </cell>
          <cell r="GZ34">
            <v>0.92941996171224472</v>
          </cell>
          <cell r="HA34">
            <v>0.92990439877027808</v>
          </cell>
          <cell r="HB34">
            <v>0.92730304062283209</v>
          </cell>
          <cell r="HC34">
            <v>0.92470168247538609</v>
          </cell>
          <cell r="HD34">
            <v>0.92210032432794009</v>
          </cell>
          <cell r="HE34">
            <v>0.91873169837227497</v>
          </cell>
          <cell r="HF34">
            <v>0.92046307936929805</v>
          </cell>
          <cell r="HG34">
            <v>0.92688157556753248</v>
          </cell>
          <cell r="HH34">
            <v>0.93173345464247903</v>
          </cell>
          <cell r="HI34">
            <v>0.93426680632016534</v>
          </cell>
          <cell r="HJ34">
            <v>0.93680015799785166</v>
          </cell>
          <cell r="HK34">
            <v>0.93933350967553797</v>
          </cell>
        </row>
        <row r="36">
          <cell r="D36">
            <v>235.1758476190476</v>
          </cell>
          <cell r="E36">
            <v>239.35969523809521</v>
          </cell>
          <cell r="F36">
            <v>243.54354285714282</v>
          </cell>
          <cell r="G36">
            <v>247.72739047619044</v>
          </cell>
          <cell r="H36">
            <v>251.91123809523805</v>
          </cell>
          <cell r="I36">
            <v>256.09508571428569</v>
          </cell>
          <cell r="J36">
            <v>260.27893333333333</v>
          </cell>
          <cell r="K36">
            <v>264.46278095238097</v>
          </cell>
          <cell r="L36">
            <v>268.64662857142861</v>
          </cell>
          <cell r="M36">
            <v>272.83047619047625</v>
          </cell>
          <cell r="N36">
            <v>277.01432380952389</v>
          </cell>
          <cell r="O36">
            <v>281.19817142857153</v>
          </cell>
          <cell r="P36">
            <v>285.38201904761917</v>
          </cell>
          <cell r="Q36">
            <v>289.56586666666681</v>
          </cell>
          <cell r="R36">
            <v>293.74971428571445</v>
          </cell>
          <cell r="S36">
            <v>297.93356190476209</v>
          </cell>
          <cell r="T36">
            <v>302.11740952380973</v>
          </cell>
          <cell r="U36">
            <v>306.30125714285737</v>
          </cell>
          <cell r="V36">
            <v>310.48510476190501</v>
          </cell>
          <cell r="W36">
            <v>314.66895238095265</v>
          </cell>
          <cell r="X36">
            <v>318.85280000000029</v>
          </cell>
          <cell r="Y36">
            <v>323.03664761904793</v>
          </cell>
          <cell r="Z36">
            <v>327.22049523809557</v>
          </cell>
          <cell r="AA36">
            <v>331.40434285714321</v>
          </cell>
          <cell r="AB36">
            <v>335.58819047619085</v>
          </cell>
          <cell r="AC36">
            <v>339.77203809523849</v>
          </cell>
          <cell r="AD36">
            <v>343.95588571428613</v>
          </cell>
          <cell r="AE36">
            <v>348.13973333333377</v>
          </cell>
          <cell r="AF36">
            <v>352.32358095238141</v>
          </cell>
          <cell r="AG36">
            <v>356.50742857142905</v>
          </cell>
          <cell r="AH36">
            <v>360.69127619047669</v>
          </cell>
          <cell r="AI36">
            <v>364.74016098310341</v>
          </cell>
          <cell r="AJ36">
            <v>368.78904577573013</v>
          </cell>
          <cell r="AK36">
            <v>372.83793056835685</v>
          </cell>
          <cell r="AL36">
            <v>376.88681536098358</v>
          </cell>
          <cell r="AM36">
            <v>380.9357001536103</v>
          </cell>
          <cell r="AN36">
            <v>384.98458494623702</v>
          </cell>
          <cell r="AO36">
            <v>389.03346973886374</v>
          </cell>
          <cell r="AP36">
            <v>393.08235453149047</v>
          </cell>
          <cell r="AQ36">
            <v>397.13123932411719</v>
          </cell>
          <cell r="AR36">
            <v>401.18012411674391</v>
          </cell>
          <cell r="AS36">
            <v>405.22900890937063</v>
          </cell>
          <cell r="AT36">
            <v>409.27789370199736</v>
          </cell>
          <cell r="AU36">
            <v>413.32677849462408</v>
          </cell>
          <cell r="AV36">
            <v>417.3756632872508</v>
          </cell>
          <cell r="AW36">
            <v>421.42454807987752</v>
          </cell>
          <cell r="AX36">
            <v>425.47343287250425</v>
          </cell>
          <cell r="AY36">
            <v>429.52231766513097</v>
          </cell>
          <cell r="AZ36">
            <v>433.57120245775769</v>
          </cell>
          <cell r="BA36">
            <v>437.62008725038442</v>
          </cell>
          <cell r="BB36">
            <v>441.66897204301114</v>
          </cell>
          <cell r="BC36">
            <v>445.71785683563786</v>
          </cell>
          <cell r="BD36">
            <v>449.76674162826458</v>
          </cell>
          <cell r="BE36">
            <v>453.81562642089131</v>
          </cell>
          <cell r="BF36">
            <v>457.86451121351803</v>
          </cell>
          <cell r="BG36">
            <v>461.91339600614475</v>
          </cell>
          <cell r="BH36">
            <v>465.96228079877147</v>
          </cell>
          <cell r="BI36">
            <v>470.0111655913982</v>
          </cell>
          <cell r="BJ36">
            <v>474.06005038402492</v>
          </cell>
          <cell r="BK36">
            <v>478.10893517665164</v>
          </cell>
          <cell r="BL36">
            <v>482.15781996927836</v>
          </cell>
          <cell r="BM36">
            <v>486.20670476190509</v>
          </cell>
          <cell r="BN36">
            <v>490.39055238095273</v>
          </cell>
          <cell r="BO36">
            <v>494.57440000000037</v>
          </cell>
          <cell r="BP36">
            <v>498.75824761904801</v>
          </cell>
          <cell r="BQ36">
            <v>502.94209523809565</v>
          </cell>
          <cell r="BR36">
            <v>507.12594285714329</v>
          </cell>
          <cell r="BS36">
            <v>511.30979047619093</v>
          </cell>
          <cell r="BT36">
            <v>515.49363809523857</v>
          </cell>
          <cell r="BU36">
            <v>519.67748571428615</v>
          </cell>
          <cell r="BV36">
            <v>523.86133333333373</v>
          </cell>
          <cell r="BW36">
            <v>528.04518095238132</v>
          </cell>
          <cell r="BX36">
            <v>532.2290285714289</v>
          </cell>
          <cell r="BY36">
            <v>536.41287619047648</v>
          </cell>
          <cell r="BZ36">
            <v>540.59672380952406</v>
          </cell>
          <cell r="CA36">
            <v>544.78057142857165</v>
          </cell>
          <cell r="CB36">
            <v>548.96441904761923</v>
          </cell>
          <cell r="CC36">
            <v>553.14826666666681</v>
          </cell>
          <cell r="CD36">
            <v>557.3321142857144</v>
          </cell>
          <cell r="CE36">
            <v>561.51596190476198</v>
          </cell>
          <cell r="CF36">
            <v>565.69980952380956</v>
          </cell>
          <cell r="CG36">
            <v>569.88365714285715</v>
          </cell>
          <cell r="CH36">
            <v>574.06750476190473</v>
          </cell>
          <cell r="CI36">
            <v>578.25135238095231</v>
          </cell>
          <cell r="CJ36">
            <v>582.4351999999999</v>
          </cell>
          <cell r="CK36">
            <v>586.61904761904748</v>
          </cell>
          <cell r="CL36">
            <v>590.80289523809506</v>
          </cell>
          <cell r="CM36">
            <v>594.98674285714264</v>
          </cell>
          <cell r="CN36">
            <v>599.17059047619023</v>
          </cell>
          <cell r="CO36">
            <v>603.35443809523781</v>
          </cell>
          <cell r="CP36">
            <v>607.53828571428539</v>
          </cell>
          <cell r="CQ36">
            <v>611.72213333333298</v>
          </cell>
          <cell r="CR36">
            <v>615.90598095238056</v>
          </cell>
          <cell r="CS36">
            <v>619.95486574500728</v>
          </cell>
          <cell r="CT36">
            <v>624.00375053763401</v>
          </cell>
          <cell r="CU36">
            <v>628.05263533026073</v>
          </cell>
          <cell r="CV36">
            <v>632.10152012288745</v>
          </cell>
          <cell r="CW36">
            <v>636.15040491551417</v>
          </cell>
          <cell r="CX36">
            <v>640.1992897081409</v>
          </cell>
          <cell r="CY36">
            <v>644.24817450076762</v>
          </cell>
          <cell r="CZ36">
            <v>648.29705929339434</v>
          </cell>
          <cell r="DA36">
            <v>652.34594408602106</v>
          </cell>
          <cell r="DB36">
            <v>656.39482887864779</v>
          </cell>
          <cell r="DC36">
            <v>660.44371367127451</v>
          </cell>
          <cell r="DD36">
            <v>664.49259846390123</v>
          </cell>
          <cell r="DE36">
            <v>668.54148325652795</v>
          </cell>
          <cell r="DF36">
            <v>672.59036804915468</v>
          </cell>
          <cell r="DG36">
            <v>676.6392528417814</v>
          </cell>
          <cell r="DH36">
            <v>680.68813763440812</v>
          </cell>
          <cell r="DI36">
            <v>684.73702242703484</v>
          </cell>
          <cell r="DJ36">
            <v>688.78590721966157</v>
          </cell>
          <cell r="DK36">
            <v>692.83479201228829</v>
          </cell>
          <cell r="DL36">
            <v>696.88367680491501</v>
          </cell>
          <cell r="DM36">
            <v>700.93256159754173</v>
          </cell>
          <cell r="DN36">
            <v>704.98144639016846</v>
          </cell>
          <cell r="DO36">
            <v>709.03033118279518</v>
          </cell>
          <cell r="DP36">
            <v>713.0792159754219</v>
          </cell>
          <cell r="DQ36">
            <v>717.12810076804863</v>
          </cell>
          <cell r="DR36">
            <v>721.17698556067535</v>
          </cell>
          <cell r="DS36">
            <v>725.22587035330207</v>
          </cell>
          <cell r="DT36">
            <v>729.27475514592879</v>
          </cell>
          <cell r="DU36">
            <v>733.32363993855552</v>
          </cell>
          <cell r="DV36">
            <v>737.37252473118224</v>
          </cell>
          <cell r="DW36">
            <v>741.42140952380896</v>
          </cell>
          <cell r="DX36">
            <v>745.47029431643568</v>
          </cell>
          <cell r="DY36">
            <v>749.51917910906241</v>
          </cell>
          <cell r="DZ36">
            <v>753.56806390168913</v>
          </cell>
          <cell r="EA36">
            <v>757.61694869431585</v>
          </cell>
          <cell r="EB36">
            <v>761.66583348694257</v>
          </cell>
          <cell r="EC36">
            <v>765.7147182795693</v>
          </cell>
          <cell r="ED36">
            <v>769.76360307219602</v>
          </cell>
          <cell r="EE36">
            <v>773.81248786482274</v>
          </cell>
          <cell r="EF36">
            <v>777.86137265744946</v>
          </cell>
          <cell r="EG36">
            <v>781.91025745007619</v>
          </cell>
          <cell r="EH36">
            <v>785.95914224270291</v>
          </cell>
          <cell r="EI36">
            <v>790.00802703532963</v>
          </cell>
          <cell r="EJ36">
            <v>794.05691182795636</v>
          </cell>
          <cell r="EK36">
            <v>798.10579662058308</v>
          </cell>
          <cell r="EL36">
            <v>802.1546814132098</v>
          </cell>
          <cell r="EM36">
            <v>806.20356620583652</v>
          </cell>
          <cell r="EN36">
            <v>810.25245099846325</v>
          </cell>
          <cell r="EO36">
            <v>814.30133579108997</v>
          </cell>
          <cell r="EP36">
            <v>818.35022058371669</v>
          </cell>
          <cell r="EQ36">
            <v>822.39910537634341</v>
          </cell>
          <cell r="ER36">
            <v>826.44799016897014</v>
          </cell>
          <cell r="ES36">
            <v>830.49687496159686</v>
          </cell>
          <cell r="ET36">
            <v>834.54575975422358</v>
          </cell>
          <cell r="EU36">
            <v>838.5946445468503</v>
          </cell>
          <cell r="EV36">
            <v>842.64352933947703</v>
          </cell>
          <cell r="EW36">
            <v>846.69241413210375</v>
          </cell>
          <cell r="EX36">
            <v>850.74129892473047</v>
          </cell>
          <cell r="EY36">
            <v>854.79018371735719</v>
          </cell>
          <cell r="EZ36">
            <v>858.83906850998392</v>
          </cell>
          <cell r="FA36">
            <v>862.88795330261064</v>
          </cell>
          <cell r="FB36">
            <v>866.93683809523736</v>
          </cell>
          <cell r="FC36">
            <v>871.12068571428495</v>
          </cell>
          <cell r="FD36">
            <v>875.30453333333253</v>
          </cell>
          <cell r="FE36">
            <v>879.48838095238011</v>
          </cell>
          <cell r="FF36">
            <v>883.67222857142769</v>
          </cell>
          <cell r="FG36">
            <v>887.85607619047528</v>
          </cell>
          <cell r="FH36">
            <v>892.03992380952286</v>
          </cell>
          <cell r="FI36">
            <v>896.22377142857044</v>
          </cell>
          <cell r="FJ36">
            <v>900.40761904761803</v>
          </cell>
          <cell r="FK36">
            <v>904.59146666666561</v>
          </cell>
          <cell r="FL36">
            <v>908.77531428571319</v>
          </cell>
          <cell r="FM36">
            <v>912.95916190476078</v>
          </cell>
          <cell r="FN36">
            <v>917.14300952380836</v>
          </cell>
          <cell r="FO36">
            <v>921.32685714285594</v>
          </cell>
          <cell r="FP36">
            <v>925.51070476190353</v>
          </cell>
          <cell r="FQ36">
            <v>929.69455238095111</v>
          </cell>
          <cell r="FR36">
            <v>933.87839999999869</v>
          </cell>
          <cell r="FS36">
            <v>938.06224761904627</v>
          </cell>
          <cell r="FT36">
            <v>942.24609523809386</v>
          </cell>
          <cell r="FU36">
            <v>946.42994285714144</v>
          </cell>
          <cell r="FV36">
            <v>950.61379047618902</v>
          </cell>
          <cell r="FW36">
            <v>954.79763809523661</v>
          </cell>
          <cell r="FX36">
            <v>958.98148571428419</v>
          </cell>
          <cell r="FY36">
            <v>963.16533333333177</v>
          </cell>
          <cell r="FZ36">
            <v>967.34918095237936</v>
          </cell>
          <cell r="GA36">
            <v>971.53302857142694</v>
          </cell>
          <cell r="GB36">
            <v>975.71687619047452</v>
          </cell>
          <cell r="GC36">
            <v>979.90072380952211</v>
          </cell>
          <cell r="GD36">
            <v>984.08457142856969</v>
          </cell>
          <cell r="GE36">
            <v>988.26841904761727</v>
          </cell>
          <cell r="GF36">
            <v>992.45226666666485</v>
          </cell>
          <cell r="GG36">
            <v>996.50115145929158</v>
          </cell>
          <cell r="GH36">
            <v>1000.5500362519183</v>
          </cell>
          <cell r="GI36">
            <v>1004.598921044545</v>
          </cell>
          <cell r="GJ36">
            <v>1008.6478058371717</v>
          </cell>
          <cell r="GK36">
            <v>1012.6966906297985</v>
          </cell>
          <cell r="GL36">
            <v>1016.7455754224252</v>
          </cell>
          <cell r="GM36">
            <v>1020.7944602150519</v>
          </cell>
          <cell r="GN36">
            <v>1024.8433450076786</v>
          </cell>
          <cell r="GO36">
            <v>1028.8922298003054</v>
          </cell>
          <cell r="GP36">
            <v>1032.9411145929321</v>
          </cell>
          <cell r="GQ36">
            <v>1036.9899993855588</v>
          </cell>
          <cell r="GR36">
            <v>1041.0388841781855</v>
          </cell>
          <cell r="GS36">
            <v>1045.0877689708122</v>
          </cell>
          <cell r="GT36">
            <v>1049.136653763439</v>
          </cell>
          <cell r="GU36">
            <v>1053.1855385560657</v>
          </cell>
          <cell r="GV36">
            <v>1057.2344233486924</v>
          </cell>
          <cell r="GW36">
            <v>1061.2833081413191</v>
          </cell>
          <cell r="GX36">
            <v>1065.3321929339459</v>
          </cell>
          <cell r="GY36">
            <v>1069.3810777265726</v>
          </cell>
          <cell r="GZ36">
            <v>1073.4299625191993</v>
          </cell>
          <cell r="HA36">
            <v>1077.478847311826</v>
          </cell>
          <cell r="HB36">
            <v>1081.5277321044528</v>
          </cell>
          <cell r="HC36">
            <v>1085.5766168970795</v>
          </cell>
          <cell r="HD36">
            <v>1089.6255016897062</v>
          </cell>
          <cell r="HE36">
            <v>1093.6743864823329</v>
          </cell>
          <cell r="HF36">
            <v>1097.7232712749596</v>
          </cell>
          <cell r="HG36">
            <v>1101.7721560675864</v>
          </cell>
          <cell r="HH36">
            <v>1105.8210408602131</v>
          </cell>
          <cell r="HI36">
            <v>1109.8699256528398</v>
          </cell>
          <cell r="HJ36">
            <v>1113.9188104454665</v>
          </cell>
          <cell r="HK36">
            <v>1117.9676952380933</v>
          </cell>
        </row>
        <row r="46">
          <cell r="D46">
            <v>8.2221754567485705E-2</v>
          </cell>
          <cell r="E46">
            <v>8.482427201072909E-2</v>
          </cell>
          <cell r="F46">
            <v>8.7396432375788938E-2</v>
          </cell>
          <cell r="G46">
            <v>9.0838410245237797E-2</v>
          </cell>
          <cell r="H46">
            <v>9.5169530825927509E-2</v>
          </cell>
          <cell r="I46">
            <v>9.6838392077172569E-2</v>
          </cell>
          <cell r="J46">
            <v>0.10096620978780127</v>
          </cell>
          <cell r="K46">
            <v>0.10673552235011974</v>
          </cell>
          <cell r="L46">
            <v>0.10748972436183139</v>
          </cell>
          <cell r="M46">
            <v>0.1094138671268083</v>
          </cell>
          <cell r="N46">
            <v>0.11299509122570379</v>
          </cell>
          <cell r="O46">
            <v>0.11704116565407649</v>
          </cell>
          <cell r="P46">
            <v>0.12108591241917878</v>
          </cell>
          <cell r="Q46">
            <v>0.1270825074239669</v>
          </cell>
          <cell r="R46">
            <v>0.13218505618195581</v>
          </cell>
          <cell r="S46">
            <v>0.13728760493994469</v>
          </cell>
          <cell r="T46">
            <v>0.14265688275736271</v>
          </cell>
          <cell r="U46">
            <v>0.14802616057478071</v>
          </cell>
          <cell r="V46">
            <v>0.15436739694137372</v>
          </cell>
          <cell r="W46">
            <v>0.1573204944565037</v>
          </cell>
          <cell r="X46">
            <v>0.15731100801994599</v>
          </cell>
          <cell r="Y46">
            <v>0.15129723063820996</v>
          </cell>
          <cell r="Z46">
            <v>0.15074415616894632</v>
          </cell>
          <cell r="AA46">
            <v>0.15036594845938986</v>
          </cell>
          <cell r="AB46">
            <v>0.15007958413254552</v>
          </cell>
          <cell r="AC46">
            <v>0.15103788909831997</v>
          </cell>
          <cell r="AD46">
            <v>0.1542828398027313</v>
          </cell>
          <cell r="AE46">
            <v>0.15846542230743285</v>
          </cell>
          <cell r="AF46">
            <v>0.15718998458805497</v>
          </cell>
          <cell r="AG46">
            <v>0.15936141388905012</v>
          </cell>
          <cell r="AH46">
            <v>0.15936141388905012</v>
          </cell>
          <cell r="AI46">
            <v>0.15957416939635002</v>
          </cell>
          <cell r="AJ46">
            <v>0.15957416939635002</v>
          </cell>
          <cell r="AK46">
            <v>0.15957416939635002</v>
          </cell>
          <cell r="AL46">
            <v>0.15957416939635002</v>
          </cell>
          <cell r="AM46">
            <v>0.15957416939635002</v>
          </cell>
          <cell r="AN46">
            <v>0.15957416939635002</v>
          </cell>
          <cell r="AO46">
            <v>0.15957416939635002</v>
          </cell>
          <cell r="AP46">
            <v>0.15957416939635002</v>
          </cell>
          <cell r="AQ46">
            <v>0.15957416939635002</v>
          </cell>
          <cell r="AR46">
            <v>0.15957416939635002</v>
          </cell>
          <cell r="AS46">
            <v>0.15957416939635002</v>
          </cell>
          <cell r="AT46">
            <v>0.15957416939635002</v>
          </cell>
          <cell r="AU46">
            <v>0.15957416939635002</v>
          </cell>
          <cell r="AV46">
            <v>0.15957416939635002</v>
          </cell>
          <cell r="AW46">
            <v>0.15957416939635002</v>
          </cell>
          <cell r="AX46">
            <v>0.15957416939635002</v>
          </cell>
          <cell r="AY46">
            <v>0.15957416939635002</v>
          </cell>
          <cell r="AZ46">
            <v>0.15957416939635002</v>
          </cell>
          <cell r="BA46">
            <v>0.15957416939635002</v>
          </cell>
          <cell r="BB46">
            <v>0.15957416939635002</v>
          </cell>
          <cell r="BC46">
            <v>0.15957416939635002</v>
          </cell>
          <cell r="BD46">
            <v>0.15957416939635002</v>
          </cell>
          <cell r="BE46">
            <v>0.15957416939635002</v>
          </cell>
          <cell r="BF46">
            <v>0.15957416939635002</v>
          </cell>
          <cell r="BG46">
            <v>0.15957416939635002</v>
          </cell>
          <cell r="BH46">
            <v>0.15957416939635002</v>
          </cell>
          <cell r="BI46">
            <v>0.15957416939635002</v>
          </cell>
          <cell r="BJ46">
            <v>0.15957416939635002</v>
          </cell>
          <cell r="BK46">
            <v>0.15957416939635002</v>
          </cell>
          <cell r="BL46">
            <v>0.15957416939635002</v>
          </cell>
          <cell r="BM46">
            <v>0.15957416939635002</v>
          </cell>
          <cell r="BN46">
            <v>0.1650158037861047</v>
          </cell>
          <cell r="BO46">
            <v>0.16987374531705615</v>
          </cell>
          <cell r="BP46">
            <v>0.17282342416181279</v>
          </cell>
          <cell r="BQ46">
            <v>0.17714325535294395</v>
          </cell>
          <cell r="BR46">
            <v>0.18146308654407509</v>
          </cell>
          <cell r="BS46">
            <v>0.18578291773520622</v>
          </cell>
          <cell r="BT46">
            <v>0.19107470747551236</v>
          </cell>
          <cell r="BU46">
            <v>0.19788649421164153</v>
          </cell>
          <cell r="BV46">
            <v>0.20411458808896751</v>
          </cell>
          <cell r="BW46">
            <v>0.20843441928009868</v>
          </cell>
          <cell r="BX46">
            <v>0.21275425047122981</v>
          </cell>
          <cell r="BY46">
            <v>0.21707408166236095</v>
          </cell>
          <cell r="BZ46">
            <v>0.22139391285349211</v>
          </cell>
          <cell r="CA46">
            <v>0.2269898673106911</v>
          </cell>
          <cell r="CB46">
            <v>0.22864341738281804</v>
          </cell>
          <cell r="CC46">
            <v>0.2297132745961418</v>
          </cell>
          <cell r="CD46">
            <v>0.22887486912327074</v>
          </cell>
          <cell r="CE46">
            <v>0.2281721679087057</v>
          </cell>
          <cell r="CF46">
            <v>0.2274694666941407</v>
          </cell>
          <cell r="CG46">
            <v>0.22676676547957567</v>
          </cell>
          <cell r="CH46">
            <v>0.22703602281418561</v>
          </cell>
          <cell r="CI46">
            <v>0.22882527714461856</v>
          </cell>
          <cell r="CJ46">
            <v>0.23003083861624835</v>
          </cell>
          <cell r="CK46">
            <v>0.22932813740168334</v>
          </cell>
          <cell r="CL46">
            <v>0.22768954475052494</v>
          </cell>
          <cell r="CM46">
            <v>0.22605095209936654</v>
          </cell>
          <cell r="CN46">
            <v>0.2244591540200378</v>
          </cell>
          <cell r="CO46">
            <v>0.22383931448988409</v>
          </cell>
          <cell r="CP46">
            <v>0.22482838164202973</v>
          </cell>
          <cell r="CQ46">
            <v>0.22523375593537218</v>
          </cell>
          <cell r="CR46">
            <v>0.22523375593537218</v>
          </cell>
          <cell r="CS46">
            <v>0.36444080486663549</v>
          </cell>
          <cell r="CT46">
            <v>0.36444080486663549</v>
          </cell>
          <cell r="CU46">
            <v>0.36444080486663549</v>
          </cell>
          <cell r="CV46">
            <v>0.36444080486663549</v>
          </cell>
          <cell r="CW46">
            <v>0.36444080486663549</v>
          </cell>
          <cell r="CX46">
            <v>0.36444080486663549</v>
          </cell>
          <cell r="CY46">
            <v>0.36444080486663549</v>
          </cell>
          <cell r="CZ46">
            <v>0.36444080486663549</v>
          </cell>
          <cell r="DA46">
            <v>0.36444080486663549</v>
          </cell>
          <cell r="DB46">
            <v>0.36444080486663549</v>
          </cell>
          <cell r="DC46">
            <v>0.36444080486663549</v>
          </cell>
          <cell r="DD46">
            <v>0.36444080486663549</v>
          </cell>
          <cell r="DE46">
            <v>0.36444080486663549</v>
          </cell>
          <cell r="DF46">
            <v>0.36444080486663549</v>
          </cell>
          <cell r="DG46">
            <v>0.36444080486663549</v>
          </cell>
          <cell r="DH46">
            <v>0.36444080486663549</v>
          </cell>
          <cell r="DI46">
            <v>0.36444080486663549</v>
          </cell>
          <cell r="DJ46">
            <v>0.36444080486663549</v>
          </cell>
          <cell r="DK46">
            <v>0.36444080486663549</v>
          </cell>
          <cell r="DL46">
            <v>0.36444080486663549</v>
          </cell>
          <cell r="DM46">
            <v>0.36444080486663549</v>
          </cell>
          <cell r="DN46">
            <v>0.36444080486663549</v>
          </cell>
          <cell r="DO46">
            <v>0.36444080486663549</v>
          </cell>
          <cell r="DP46">
            <v>0.36444080486663549</v>
          </cell>
          <cell r="DQ46">
            <v>0.36444080486663549</v>
          </cell>
          <cell r="DR46">
            <v>0.36444080486663549</v>
          </cell>
          <cell r="DS46">
            <v>0.36444080486663549</v>
          </cell>
          <cell r="DT46">
            <v>0.36444080486663549</v>
          </cell>
          <cell r="DU46">
            <v>0.36444080486663549</v>
          </cell>
          <cell r="DV46">
            <v>0.36444080486663549</v>
          </cell>
          <cell r="DW46">
            <v>0.36444080486663549</v>
          </cell>
          <cell r="DX46">
            <v>0.37020052506177059</v>
          </cell>
          <cell r="DY46">
            <v>0.37698835729227631</v>
          </cell>
          <cell r="DZ46">
            <v>0.38529618651860503</v>
          </cell>
          <cell r="EA46">
            <v>0.39302032288613054</v>
          </cell>
          <cell r="EB46">
            <v>0.39602852225768115</v>
          </cell>
          <cell r="EC46">
            <v>0.39950466734752849</v>
          </cell>
          <cell r="ED46">
            <v>0.40532054102885923</v>
          </cell>
          <cell r="EE46">
            <v>0.4112842819155707</v>
          </cell>
          <cell r="EF46">
            <v>0.41821998135145722</v>
          </cell>
          <cell r="EG46">
            <v>0.42646173372908169</v>
          </cell>
          <cell r="EH46">
            <v>0.43271595609301294</v>
          </cell>
          <cell r="EI46">
            <v>0.43706191577074938</v>
          </cell>
          <cell r="EJ46">
            <v>0.44140787544848581</v>
          </cell>
          <cell r="EK46">
            <v>0.44573979675467335</v>
          </cell>
          <cell r="EL46">
            <v>0.45007171806086088</v>
          </cell>
          <cell r="EM46">
            <v>0.4553755979162234</v>
          </cell>
          <cell r="EN46">
            <v>0.46219947476740897</v>
          </cell>
          <cell r="EO46">
            <v>0.46843965875979127</v>
          </cell>
          <cell r="EP46">
            <v>0.4727715800659788</v>
          </cell>
          <cell r="EQ46">
            <v>0.47710350137216634</v>
          </cell>
          <cell r="ER46">
            <v>0.48168123074049418</v>
          </cell>
          <cell r="ES46">
            <v>0.48364155944714315</v>
          </cell>
          <cell r="ET46">
            <v>0.48657384670296705</v>
          </cell>
          <cell r="EU46">
            <v>0.49129286001404304</v>
          </cell>
          <cell r="EV46">
            <v>0.49425376416942352</v>
          </cell>
          <cell r="EW46">
            <v>0.49530640563860906</v>
          </cell>
          <cell r="EX46">
            <v>0.49635904710779466</v>
          </cell>
          <cell r="EY46">
            <v>0.49767570464372352</v>
          </cell>
          <cell r="EZ46">
            <v>0.49899236217965237</v>
          </cell>
          <cell r="FA46">
            <v>0.50128097826475626</v>
          </cell>
          <cell r="FB46">
            <v>0.5050895913456831</v>
          </cell>
          <cell r="FC46">
            <v>0.50941300048550475</v>
          </cell>
          <cell r="FD46">
            <v>0.51182814693913159</v>
          </cell>
          <cell r="FE46">
            <v>0.51424329339275843</v>
          </cell>
          <cell r="FF46">
            <v>0.51559152360866889</v>
          </cell>
          <cell r="FG46">
            <v>0.51693975382457935</v>
          </cell>
          <cell r="FH46">
            <v>0.51925994258966479</v>
          </cell>
          <cell r="FI46">
            <v>0.52310012835057329</v>
          </cell>
          <cell r="FJ46">
            <v>0.52635662125267857</v>
          </cell>
          <cell r="FK46">
            <v>0.52770485146858903</v>
          </cell>
          <cell r="FL46">
            <v>0.52898024966608748</v>
          </cell>
          <cell r="FM46">
            <v>0.53025564786358603</v>
          </cell>
          <cell r="FN46">
            <v>0.53153104606108459</v>
          </cell>
          <cell r="FO46">
            <v>0.53377840280775801</v>
          </cell>
          <cell r="FP46">
            <v>0.53754575655025461</v>
          </cell>
          <cell r="FQ46">
            <v>0.54072941743394787</v>
          </cell>
          <cell r="FR46">
            <v>0.54200481563144642</v>
          </cell>
          <cell r="FS46">
            <v>0.54328021382894498</v>
          </cell>
          <cell r="FT46">
            <v>0.544054910107866</v>
          </cell>
          <cell r="FU46">
            <v>0.54482960638678712</v>
          </cell>
          <cell r="FV46">
            <v>0.54657626121488312</v>
          </cell>
          <cell r="FW46">
            <v>0.54984291303880228</v>
          </cell>
          <cell r="FX46">
            <v>0.55252587200391812</v>
          </cell>
          <cell r="FY46">
            <v>0.55330056828283924</v>
          </cell>
          <cell r="FZ46">
            <v>0.55419922465709737</v>
          </cell>
          <cell r="GA46">
            <v>0.56239018687485043</v>
          </cell>
          <cell r="GB46">
            <v>0.57058114909260349</v>
          </cell>
          <cell r="GC46">
            <v>0.57572465284342289</v>
          </cell>
          <cell r="GD46">
            <v>0.58139126533805208</v>
          </cell>
          <cell r="GE46">
            <v>0.58647418497387804</v>
          </cell>
          <cell r="GF46">
            <v>0.58964884192350908</v>
          </cell>
          <cell r="GG46">
            <v>0.59155214315974147</v>
          </cell>
          <cell r="GH46">
            <v>0.59471967419416172</v>
          </cell>
          <cell r="GI46">
            <v>0.59760192251954025</v>
          </cell>
          <cell r="GJ46">
            <v>0.59936110112100671</v>
          </cell>
          <cell r="GK46">
            <v>0.60209223827164826</v>
          </cell>
          <cell r="GL46">
            <v>0.61401302094900001</v>
          </cell>
          <cell r="GM46">
            <v>0.62535011076754843</v>
          </cell>
          <cell r="GN46">
            <v>0.63477893789990214</v>
          </cell>
          <cell r="GO46">
            <v>0.6443033570564215</v>
          </cell>
          <cell r="GP46">
            <v>0.65100098349832769</v>
          </cell>
          <cell r="GQ46">
            <v>0.65682462571929057</v>
          </cell>
          <cell r="GR46">
            <v>0.66397287912257907</v>
          </cell>
          <cell r="GS46">
            <v>0.67264112952169064</v>
          </cell>
          <cell r="GT46">
            <v>0.6807256870619991</v>
          </cell>
          <cell r="GU46">
            <v>0.68783787335270585</v>
          </cell>
          <cell r="GV46">
            <v>0.69495005964341272</v>
          </cell>
          <cell r="GW46">
            <v>0.7060907669525297</v>
          </cell>
          <cell r="GX46">
            <v>0.71723147426164668</v>
          </cell>
          <cell r="GY46">
            <v>0.72934414011993864</v>
          </cell>
          <cell r="GZ46">
            <v>0.73751440159315862</v>
          </cell>
          <cell r="HA46">
            <v>0.74328016974727695</v>
          </cell>
          <cell r="HB46">
            <v>0.74713767521520047</v>
          </cell>
          <cell r="HC46">
            <v>0.7509951806831241</v>
          </cell>
          <cell r="HD46">
            <v>0.75485268615104772</v>
          </cell>
          <cell r="HE46">
            <v>0.75869198361436829</v>
          </cell>
          <cell r="HF46">
            <v>0.77171504970280946</v>
          </cell>
          <cell r="HG46">
            <v>0.78853411336244661</v>
          </cell>
          <cell r="HH46">
            <v>0.80476948416328065</v>
          </cell>
          <cell r="HI46">
            <v>0.81909659227791975</v>
          </cell>
          <cell r="HJ46">
            <v>0.83108397180107541</v>
          </cell>
          <cell r="HK46">
            <v>0.84085907876496857</v>
          </cell>
        </row>
        <row r="48">
          <cell r="D48">
            <v>16.923390476190477</v>
          </cell>
          <cell r="E48">
            <v>17.813780952380952</v>
          </cell>
          <cell r="F48">
            <v>18.704171428571428</v>
          </cell>
          <cell r="G48">
            <v>19.594561904761903</v>
          </cell>
          <cell r="H48">
            <v>20.484952380952379</v>
          </cell>
          <cell r="I48">
            <v>21.375342857142854</v>
          </cell>
          <cell r="J48">
            <v>22.26573333333333</v>
          </cell>
          <cell r="K48">
            <v>23.156123809523805</v>
          </cell>
          <cell r="L48">
            <v>24.046514285714281</v>
          </cell>
          <cell r="M48">
            <v>24.936904761904756</v>
          </cell>
          <cell r="N48">
            <v>25.827295238095232</v>
          </cell>
          <cell r="O48">
            <v>26.717685714285707</v>
          </cell>
          <cell r="P48">
            <v>27.608076190476183</v>
          </cell>
          <cell r="Q48">
            <v>28.498466666666658</v>
          </cell>
          <cell r="R48">
            <v>29.388857142857134</v>
          </cell>
          <cell r="S48">
            <v>30.279247619047609</v>
          </cell>
          <cell r="T48">
            <v>31.169638095238085</v>
          </cell>
          <cell r="U48">
            <v>32.06002857142856</v>
          </cell>
          <cell r="V48">
            <v>32.950419047619036</v>
          </cell>
          <cell r="W48">
            <v>33.840809523809511</v>
          </cell>
          <cell r="X48">
            <v>34.731199999999987</v>
          </cell>
          <cell r="Y48">
            <v>35.621590476190462</v>
          </cell>
          <cell r="Z48">
            <v>36.511980952380938</v>
          </cell>
          <cell r="AA48">
            <v>37.402371428571414</v>
          </cell>
          <cell r="AB48">
            <v>38.292761904761889</v>
          </cell>
          <cell r="AC48">
            <v>39.183152380952365</v>
          </cell>
          <cell r="AD48">
            <v>40.07354285714284</v>
          </cell>
          <cell r="AE48">
            <v>40.963933333333316</v>
          </cell>
          <cell r="AF48">
            <v>41.854323809523791</v>
          </cell>
          <cell r="AG48">
            <v>42.744714285714267</v>
          </cell>
          <cell r="AH48">
            <v>43.635104761904742</v>
          </cell>
          <cell r="AI48">
            <v>44.496772964669717</v>
          </cell>
          <cell r="AJ48">
            <v>45.358441167434691</v>
          </cell>
          <cell r="AK48">
            <v>46.220109370199665</v>
          </cell>
          <cell r="AL48">
            <v>47.08177757296464</v>
          </cell>
          <cell r="AM48">
            <v>47.943445775729614</v>
          </cell>
          <cell r="AN48">
            <v>48.805113978494589</v>
          </cell>
          <cell r="AO48">
            <v>49.666782181259563</v>
          </cell>
          <cell r="AP48">
            <v>50.528450384024538</v>
          </cell>
          <cell r="AQ48">
            <v>51.390118586789512</v>
          </cell>
          <cell r="AR48">
            <v>52.251786789554487</v>
          </cell>
          <cell r="AS48">
            <v>53.113454992319461</v>
          </cell>
          <cell r="AT48">
            <v>53.975123195084436</v>
          </cell>
          <cell r="AU48">
            <v>54.83679139784941</v>
          </cell>
          <cell r="AV48">
            <v>55.698459600614385</v>
          </cell>
          <cell r="AW48">
            <v>56.560127803379359</v>
          </cell>
          <cell r="AX48">
            <v>57.421796006144334</v>
          </cell>
          <cell r="AY48">
            <v>58.283464208909308</v>
          </cell>
          <cell r="AZ48">
            <v>59.145132411674282</v>
          </cell>
          <cell r="BA48">
            <v>60.006800614439257</v>
          </cell>
          <cell r="BB48">
            <v>60.868468817204231</v>
          </cell>
          <cell r="BC48">
            <v>61.730137019969206</v>
          </cell>
          <cell r="BD48">
            <v>62.59180522273418</v>
          </cell>
          <cell r="BE48">
            <v>63.453473425499155</v>
          </cell>
          <cell r="BF48">
            <v>64.315141628264129</v>
          </cell>
          <cell r="BG48">
            <v>65.176809831029104</v>
          </cell>
          <cell r="BH48">
            <v>66.038478033794078</v>
          </cell>
          <cell r="BI48">
            <v>66.900146236559053</v>
          </cell>
          <cell r="BJ48">
            <v>67.761814439324027</v>
          </cell>
          <cell r="BK48">
            <v>68.623482642089002</v>
          </cell>
          <cell r="BL48">
            <v>69.485150844853976</v>
          </cell>
          <cell r="BM48">
            <v>70.346819047618951</v>
          </cell>
          <cell r="BN48">
            <v>71.237209523809426</v>
          </cell>
          <cell r="BO48">
            <v>72.127599999999902</v>
          </cell>
          <cell r="BP48">
            <v>73.017990476190377</v>
          </cell>
          <cell r="BQ48">
            <v>73.908380952380853</v>
          </cell>
          <cell r="BR48">
            <v>74.798771428571328</v>
          </cell>
          <cell r="BS48">
            <v>75.689161904761804</v>
          </cell>
          <cell r="BT48">
            <v>76.579552380952279</v>
          </cell>
          <cell r="BU48">
            <v>77.469942857142755</v>
          </cell>
          <cell r="BV48">
            <v>78.36033333333323</v>
          </cell>
          <cell r="BW48">
            <v>79.250723809523706</v>
          </cell>
          <cell r="BX48">
            <v>80.141114285714181</v>
          </cell>
          <cell r="BY48">
            <v>81.031504761904657</v>
          </cell>
          <cell r="BZ48">
            <v>81.921895238095132</v>
          </cell>
          <cell r="CA48">
            <v>82.812285714285608</v>
          </cell>
          <cell r="CB48">
            <v>83.702676190476083</v>
          </cell>
          <cell r="CC48">
            <v>84.593066666666559</v>
          </cell>
          <cell r="CD48">
            <v>85.483457142857034</v>
          </cell>
          <cell r="CE48">
            <v>86.37384761904751</v>
          </cell>
          <cell r="CF48">
            <v>87.264238095237985</v>
          </cell>
          <cell r="CG48">
            <v>88.154628571428461</v>
          </cell>
          <cell r="CH48">
            <v>89.045019047618936</v>
          </cell>
          <cell r="CI48">
            <v>89.935409523809412</v>
          </cell>
          <cell r="CJ48">
            <v>90.825799999999887</v>
          </cell>
          <cell r="CK48">
            <v>91.716190476190363</v>
          </cell>
          <cell r="CL48">
            <v>92.606580952380838</v>
          </cell>
          <cell r="CM48">
            <v>93.496971428571314</v>
          </cell>
          <cell r="CN48">
            <v>94.387361904761789</v>
          </cell>
          <cell r="CO48">
            <v>95.277752380952265</v>
          </cell>
          <cell r="CP48">
            <v>96.16814285714274</v>
          </cell>
          <cell r="CQ48">
            <v>97.058533333333216</v>
          </cell>
          <cell r="CR48">
            <v>97.948923809523691</v>
          </cell>
          <cell r="CS48">
            <v>98.810592012288666</v>
          </cell>
          <cell r="CT48">
            <v>99.67226021505364</v>
          </cell>
          <cell r="CU48">
            <v>100.53392841781861</v>
          </cell>
          <cell r="CV48">
            <v>101.39559662058359</v>
          </cell>
          <cell r="CW48">
            <v>102.25726482334856</v>
          </cell>
          <cell r="CX48">
            <v>103.11893302611354</v>
          </cell>
          <cell r="CY48">
            <v>103.98060122887851</v>
          </cell>
          <cell r="CZ48">
            <v>104.84226943164349</v>
          </cell>
          <cell r="DA48">
            <v>105.70393763440846</v>
          </cell>
          <cell r="DB48">
            <v>106.56560583717344</v>
          </cell>
          <cell r="DC48">
            <v>107.42727403993841</v>
          </cell>
          <cell r="DD48">
            <v>108.28894224270338</v>
          </cell>
          <cell r="DE48">
            <v>109.15061044546836</v>
          </cell>
          <cell r="DF48">
            <v>110.01227864823333</v>
          </cell>
          <cell r="DG48">
            <v>110.87394685099831</v>
          </cell>
          <cell r="DH48">
            <v>111.73561505376328</v>
          </cell>
          <cell r="DI48">
            <v>112.59728325652826</v>
          </cell>
          <cell r="DJ48">
            <v>113.45895145929323</v>
          </cell>
          <cell r="DK48">
            <v>114.32061966205821</v>
          </cell>
          <cell r="DL48">
            <v>115.18228786482318</v>
          </cell>
          <cell r="DM48">
            <v>116.04395606758816</v>
          </cell>
          <cell r="DN48">
            <v>116.90562427035313</v>
          </cell>
          <cell r="DO48">
            <v>117.7672924731181</v>
          </cell>
          <cell r="DP48">
            <v>118.62896067588308</v>
          </cell>
          <cell r="DQ48">
            <v>119.49062887864805</v>
          </cell>
          <cell r="DR48">
            <v>120.35229708141303</v>
          </cell>
          <cell r="DS48">
            <v>121.213965284178</v>
          </cell>
          <cell r="DT48">
            <v>122.07563348694298</v>
          </cell>
          <cell r="DU48">
            <v>122.93730168970795</v>
          </cell>
          <cell r="DV48">
            <v>123.79896989247293</v>
          </cell>
          <cell r="DW48">
            <v>124.6606380952379</v>
          </cell>
          <cell r="DX48">
            <v>125.52230629800287</v>
          </cell>
          <cell r="DY48">
            <v>126.38397450076785</v>
          </cell>
          <cell r="DZ48">
            <v>127.24564270353282</v>
          </cell>
          <cell r="EA48">
            <v>128.10731090629781</v>
          </cell>
          <cell r="EB48">
            <v>128.96897910906279</v>
          </cell>
          <cell r="EC48">
            <v>129.83064731182776</v>
          </cell>
          <cell r="ED48">
            <v>130.69231551459274</v>
          </cell>
          <cell r="EE48">
            <v>131.55398371735771</v>
          </cell>
          <cell r="EF48">
            <v>132.41565192012268</v>
          </cell>
          <cell r="EG48">
            <v>133.27732012288766</v>
          </cell>
          <cell r="EH48">
            <v>134.13898832565263</v>
          </cell>
          <cell r="EI48">
            <v>135.00065652841761</v>
          </cell>
          <cell r="EJ48">
            <v>135.86232473118258</v>
          </cell>
          <cell r="EK48">
            <v>136.72399293394756</v>
          </cell>
          <cell r="EL48">
            <v>137.58566113671253</v>
          </cell>
          <cell r="EM48">
            <v>138.44732933947751</v>
          </cell>
          <cell r="EN48">
            <v>139.30899754224248</v>
          </cell>
          <cell r="EO48">
            <v>140.17066574500745</v>
          </cell>
          <cell r="EP48">
            <v>141.03233394777243</v>
          </cell>
          <cell r="EQ48">
            <v>141.8940021505374</v>
          </cell>
          <cell r="ER48">
            <v>142.75567035330238</v>
          </cell>
          <cell r="ES48">
            <v>143.61733855606735</v>
          </cell>
          <cell r="ET48">
            <v>144.47900675883233</v>
          </cell>
          <cell r="EU48">
            <v>145.3406749615973</v>
          </cell>
          <cell r="EV48">
            <v>146.20234316436228</v>
          </cell>
          <cell r="EW48">
            <v>147.06401136712725</v>
          </cell>
          <cell r="EX48">
            <v>147.92567956989222</v>
          </cell>
          <cell r="EY48">
            <v>148.7873477726572</v>
          </cell>
          <cell r="EZ48">
            <v>149.64901597542217</v>
          </cell>
          <cell r="FA48">
            <v>150.51068417818715</v>
          </cell>
          <cell r="FB48">
            <v>151.37235238095212</v>
          </cell>
          <cell r="FC48">
            <v>152.2627428571426</v>
          </cell>
          <cell r="FD48">
            <v>153.15313333333307</v>
          </cell>
          <cell r="FE48">
            <v>154.04352380952355</v>
          </cell>
          <cell r="FF48">
            <v>154.93391428571402</v>
          </cell>
          <cell r="FG48">
            <v>155.8243047619045</v>
          </cell>
          <cell r="FH48">
            <v>156.71469523809498</v>
          </cell>
          <cell r="FI48">
            <v>157.60508571428545</v>
          </cell>
          <cell r="FJ48">
            <v>158.49547619047593</v>
          </cell>
          <cell r="FK48">
            <v>159.3858666666664</v>
          </cell>
          <cell r="FL48">
            <v>160.27625714285688</v>
          </cell>
          <cell r="FM48">
            <v>161.16664761904735</v>
          </cell>
          <cell r="FN48">
            <v>162.05703809523783</v>
          </cell>
          <cell r="FO48">
            <v>162.9474285714283</v>
          </cell>
          <cell r="FP48">
            <v>163.83781904761878</v>
          </cell>
          <cell r="FQ48">
            <v>164.72820952380926</v>
          </cell>
          <cell r="FR48">
            <v>165.61859999999973</v>
          </cell>
          <cell r="FS48">
            <v>166.50899047619021</v>
          </cell>
          <cell r="FT48">
            <v>167.39938095238068</v>
          </cell>
          <cell r="FU48">
            <v>168.28977142857116</v>
          </cell>
          <cell r="FV48">
            <v>169.18016190476163</v>
          </cell>
          <cell r="FW48">
            <v>170.07055238095211</v>
          </cell>
          <cell r="FX48">
            <v>170.96094285714258</v>
          </cell>
          <cell r="FY48">
            <v>171.85133333333306</v>
          </cell>
          <cell r="FZ48">
            <v>172.74172380952353</v>
          </cell>
          <cell r="GA48">
            <v>173.63211428571401</v>
          </cell>
          <cell r="GB48">
            <v>174.52250476190449</v>
          </cell>
          <cell r="GC48">
            <v>175.41289523809496</v>
          </cell>
          <cell r="GD48">
            <v>176.30328571428544</v>
          </cell>
          <cell r="GE48">
            <v>177.19367619047591</v>
          </cell>
          <cell r="GF48">
            <v>178.08406666666639</v>
          </cell>
          <cell r="GG48">
            <v>178.94573486943136</v>
          </cell>
          <cell r="GH48">
            <v>179.80740307219634</v>
          </cell>
          <cell r="GI48">
            <v>180.66907127496131</v>
          </cell>
          <cell r="GJ48">
            <v>181.53073947772629</v>
          </cell>
          <cell r="GK48">
            <v>182.39240768049126</v>
          </cell>
          <cell r="GL48">
            <v>183.25407588325623</v>
          </cell>
          <cell r="GM48">
            <v>184.11574408602121</v>
          </cell>
          <cell r="GN48">
            <v>184.97741228878618</v>
          </cell>
          <cell r="GO48">
            <v>185.83908049155116</v>
          </cell>
          <cell r="GP48">
            <v>186.70074869431613</v>
          </cell>
          <cell r="GQ48">
            <v>187.56241689708111</v>
          </cell>
          <cell r="GR48">
            <v>188.42408509984608</v>
          </cell>
          <cell r="GS48">
            <v>189.28575330261106</v>
          </cell>
          <cell r="GT48">
            <v>190.14742150537603</v>
          </cell>
          <cell r="GU48">
            <v>191.009089708141</v>
          </cell>
          <cell r="GV48">
            <v>191.87075791090598</v>
          </cell>
          <cell r="GW48">
            <v>192.73242611367095</v>
          </cell>
          <cell r="GX48">
            <v>193.59409431643593</v>
          </cell>
          <cell r="GY48">
            <v>194.4557625192009</v>
          </cell>
          <cell r="GZ48">
            <v>195.31743072196588</v>
          </cell>
          <cell r="HA48">
            <v>196.17909892473085</v>
          </cell>
          <cell r="HB48">
            <v>197.04076712749583</v>
          </cell>
          <cell r="HC48">
            <v>197.9024353302608</v>
          </cell>
          <cell r="HD48">
            <v>198.76410353302578</v>
          </cell>
          <cell r="HE48">
            <v>199.62577173579075</v>
          </cell>
          <cell r="HF48">
            <v>200.48743993855572</v>
          </cell>
          <cell r="HG48">
            <v>201.3491081413207</v>
          </cell>
          <cell r="HH48">
            <v>202.21077634408567</v>
          </cell>
          <cell r="HI48">
            <v>203.07244454685065</v>
          </cell>
          <cell r="HJ48">
            <v>203.93411274961562</v>
          </cell>
          <cell r="HK48">
            <v>204.7957809523806</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Assumptions &amp; Inputs"/>
      <sheetName val="Dispatch"/>
    </sheetNames>
    <sheetDataSet>
      <sheetData sheetId="0"/>
      <sheetData sheetId="1">
        <row r="1">
          <cell r="B1">
            <v>2.5000000000000001E-2</v>
          </cell>
        </row>
        <row r="3">
          <cell r="C3">
            <v>48.59</v>
          </cell>
        </row>
        <row r="4">
          <cell r="C4">
            <v>20.34</v>
          </cell>
        </row>
        <row r="5">
          <cell r="D5">
            <v>8.5458907227669147</v>
          </cell>
          <cell r="E5">
            <v>8.225752180125145</v>
          </cell>
          <cell r="F5">
            <v>7.9089165886584247</v>
          </cell>
          <cell r="G5">
            <v>7.6175137212395967</v>
          </cell>
        </row>
        <row r="7">
          <cell r="D7">
            <v>1.2</v>
          </cell>
          <cell r="E7">
            <v>1.1000000000000001</v>
          </cell>
          <cell r="F7">
            <v>1</v>
          </cell>
          <cell r="G7">
            <v>0.9</v>
          </cell>
        </row>
        <row r="8">
          <cell r="C8">
            <v>0.02</v>
          </cell>
        </row>
        <row r="9">
          <cell r="C9">
            <v>20.04</v>
          </cell>
        </row>
        <row r="13">
          <cell r="D13">
            <v>1.6968735785114863</v>
          </cell>
          <cell r="E13">
            <v>1.7042946976621032</v>
          </cell>
          <cell r="F13">
            <v>1.7330101882031173</v>
          </cell>
          <cell r="G13">
            <v>1.7475294311505363</v>
          </cell>
        </row>
        <row r="16">
          <cell r="D16">
            <v>101.85000000000001</v>
          </cell>
          <cell r="E16">
            <v>106.94250000000001</v>
          </cell>
          <cell r="F16">
            <v>112.28962500000002</v>
          </cell>
          <cell r="G16">
            <v>117.90410625000003</v>
          </cell>
        </row>
        <row r="17">
          <cell r="D17">
            <v>273</v>
          </cell>
          <cell r="E17">
            <v>286.65000000000003</v>
          </cell>
          <cell r="F17">
            <v>300.98250000000007</v>
          </cell>
          <cell r="G17">
            <v>316.03162500000008</v>
          </cell>
        </row>
        <row r="18">
          <cell r="C18">
            <v>11352</v>
          </cell>
        </row>
        <row r="19">
          <cell r="C19">
            <v>10855</v>
          </cell>
        </row>
        <row r="20">
          <cell r="C20">
            <v>9.5000000000000001E-2</v>
          </cell>
        </row>
        <row r="21">
          <cell r="C21">
            <v>3.5000000000000003E-2</v>
          </cell>
        </row>
        <row r="22">
          <cell r="C22">
            <v>0.05</v>
          </cell>
        </row>
        <row r="23">
          <cell r="C23">
            <v>0.05</v>
          </cell>
        </row>
        <row r="37">
          <cell r="D37">
            <v>1.4750198876190739</v>
          </cell>
          <cell r="E37">
            <v>1.4639548330152778</v>
          </cell>
          <cell r="F37">
            <v>1.4856038528922699</v>
          </cell>
          <cell r="G37">
            <v>1.4854434897820696</v>
          </cell>
        </row>
        <row r="44">
          <cell r="C44">
            <v>12172</v>
          </cell>
        </row>
        <row r="45">
          <cell r="C45">
            <v>10451</v>
          </cell>
        </row>
        <row r="46">
          <cell r="C46">
            <v>0.06</v>
          </cell>
        </row>
        <row r="47">
          <cell r="C47">
            <v>0.06</v>
          </cell>
        </row>
        <row r="48">
          <cell r="C48">
            <v>0.06</v>
          </cell>
        </row>
        <row r="51">
          <cell r="D51">
            <v>9.02</v>
          </cell>
          <cell r="E51">
            <v>9.2454999999999981</v>
          </cell>
          <cell r="F51">
            <v>9.4766374999999972</v>
          </cell>
          <cell r="G51">
            <v>9.7135534374999963</v>
          </cell>
        </row>
        <row r="52">
          <cell r="C52">
            <v>8.8000000000000007</v>
          </cell>
        </row>
        <row r="60">
          <cell r="D60">
            <v>1.4750198876190739</v>
          </cell>
          <cell r="E60">
            <v>1.4639548330152778</v>
          </cell>
          <cell r="F60">
            <v>1.4856038528922699</v>
          </cell>
          <cell r="G60">
            <v>1.4854434897820696</v>
          </cell>
        </row>
        <row r="64">
          <cell r="C64">
            <v>0.03</v>
          </cell>
        </row>
        <row r="65">
          <cell r="C65">
            <v>0.03</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O"/>
      <sheetName val="PRINT"/>
      <sheetName val="TAXTABLE"/>
      <sheetName val="ACCTTABLE"/>
      <sheetName val="Labor"/>
      <sheetName val="SCH_A"/>
      <sheetName val="SCH_A Rev"/>
      <sheetName val="SCH_B1"/>
      <sheetName val="SCH_B1 Rev"/>
      <sheetName val="SCH_B-2"/>
      <sheetName val="SCH_B-2.1"/>
      <sheetName val="SCH_B-2.2"/>
      <sheetName val="SCH_B-2.3"/>
      <sheetName val="SCH_B-2.4"/>
      <sheetName val="SCH_B-2.5"/>
      <sheetName val="SCH_B-3"/>
      <sheetName val="SCH_B-3.1"/>
      <sheetName val="SCH_B-3.2"/>
      <sheetName val="SCH_B-3.3"/>
      <sheetName val="SCH_B-3.4"/>
      <sheetName val="SCH_B-4"/>
      <sheetName val="SCH_B5s"/>
      <sheetName val="WPB"/>
      <sheetName val="Lead Lag"/>
      <sheetName val="SCH_B6s"/>
      <sheetName val="B6 WP"/>
      <sheetName val="SCH_B7s"/>
      <sheetName val="SCH_B8"/>
      <sheetName val="SCH_B9"/>
      <sheetName val="SCH_C1"/>
      <sheetName val="SCH_C2"/>
      <sheetName val="SCH_C2.1"/>
      <sheetName val="SCH C3"/>
      <sheetName val="SCH_C3.1"/>
      <sheetName val="SCH_C3.2"/>
      <sheetName val="SCH_C3.3"/>
      <sheetName val="SCH_C3.4"/>
      <sheetName val="SCH_C3.5"/>
      <sheetName val="SCH_C3.6"/>
      <sheetName val="SCH_C3.7"/>
      <sheetName val="SCH_C3.8"/>
      <sheetName val="SCH_C3.9"/>
      <sheetName val="SCH_C3.10"/>
      <sheetName val="SCH_C3.11"/>
      <sheetName val="SCH_C3.12"/>
      <sheetName val="SCH_C3.13"/>
      <sheetName val="SCH_C3.14"/>
      <sheetName val="SCH_C3.15"/>
      <sheetName val="SCH_C3.16"/>
      <sheetName val="SCH_C3.17"/>
      <sheetName val="SCH_C3.18"/>
      <sheetName val="SCH_C4"/>
      <sheetName val="SCH_C5"/>
      <sheetName val="SCH_C6"/>
      <sheetName val="SCH_C7"/>
      <sheetName val="SCH_C8"/>
      <sheetName val="SCH_C9"/>
      <sheetName val="SCH_C9.1"/>
      <sheetName val="SCH_C10"/>
      <sheetName val="SCH C11.1"/>
      <sheetName val="SCH C11.2"/>
      <sheetName val="SCH_C12"/>
      <sheetName val="SCH_C13"/>
      <sheetName val="SCH_D1"/>
      <sheetName val="PRINT MACROS"/>
      <sheetName val="PRINT ALL"/>
      <sheetName val="PRINT B"/>
      <sheetName val="PRINT C"/>
      <sheetName val="SCH_D2"/>
      <sheetName val="SCH_D3"/>
      <sheetName val="SCH_D4"/>
      <sheetName val="SCH D5"/>
      <sheetName val="SCH E3.1"/>
      <sheetName val="SUPP (C)(7)"/>
      <sheetName val="SUPP (C)(9)"/>
      <sheetName val="SUPP (C)(23)"/>
      <sheetName val="SUPP (C)(25)"/>
      <sheetName val="Summary"/>
      <sheetName val="Notes"/>
      <sheetName val="TIMETABLE"/>
      <sheetName val="SCH_A1"/>
      <sheetName val="SCH_B2"/>
      <sheetName val="SCH_B2.1"/>
      <sheetName val="SCH_B2.2"/>
      <sheetName val="SCH_B2.3"/>
      <sheetName val="SCH_B2.4"/>
      <sheetName val="SCH_B2.5"/>
      <sheetName val="SCH_B3"/>
      <sheetName val="SCH_B3.1"/>
      <sheetName val="SCH_B3.2"/>
      <sheetName val="SCH_B3.3"/>
      <sheetName val="SCH_B3.4"/>
      <sheetName val="SCH_B4"/>
      <sheetName val="SCH_B6"/>
      <sheetName val="SCH_C1 NOI"/>
      <sheetName val="SCH_C1 Tariff"/>
      <sheetName val="WPC-1a"/>
      <sheetName val="SCH_C3"/>
      <sheetName val="WPC-3.3a"/>
      <sheetName val="WPC-3.4a"/>
      <sheetName val="WPC-3.4a (2)"/>
      <sheetName val="SCH_C11.1"/>
      <sheetName val="SCH C11.1 2001 Restated"/>
      <sheetName val="SCH_C11.2"/>
      <sheetName val="SCH C11.2 2001 Restated"/>
      <sheetName val="SCH_D5"/>
      <sheetName val="SCH_E3.1"/>
      <sheetName val="SCH_E4"/>
      <sheetName val="SCH_E4.1"/>
      <sheetName val="SUPP (C)(11)"/>
      <sheetName val="S-1.1"/>
      <sheetName val="S-1"/>
      <sheetName val="S-2"/>
      <sheetName val="S-2.2"/>
      <sheetName val="S-2.3"/>
      <sheetName val="F-1"/>
      <sheetName val="F-4"/>
      <sheetName val="Metrics"/>
      <sheetName val="SUPP (C)(8)"/>
      <sheetName val="Output 1 (VH)"/>
      <sheetName val="Output 1 (03)"/>
      <sheetName val="Output 1 (4)"/>
      <sheetName val="Output 1 (VH) (2)"/>
    </sheetNames>
    <sheetDataSet>
      <sheetData sheetId="0" refreshError="1"/>
      <sheetData sheetId="1"/>
      <sheetData sheetId="2"/>
      <sheetData sheetId="3" refreshError="1">
        <row r="11">
          <cell r="A11">
            <v>711000</v>
          </cell>
          <cell r="B11" t="str">
            <v>GAS BOILER LABOR</v>
          </cell>
          <cell r="C11">
            <v>15333</v>
          </cell>
        </row>
        <row r="12">
          <cell r="A12">
            <v>712000</v>
          </cell>
          <cell r="B12" t="str">
            <v>GAS OTHER POWER EXPENSE</v>
          </cell>
          <cell r="C12">
            <v>7582</v>
          </cell>
        </row>
        <row r="13">
          <cell r="A13">
            <v>717000</v>
          </cell>
          <cell r="B13" t="str">
            <v>LIQUID PETROLEUM GAS</v>
          </cell>
          <cell r="C13">
            <v>151896</v>
          </cell>
        </row>
        <row r="14">
          <cell r="A14">
            <v>728000</v>
          </cell>
          <cell r="B14" t="str">
            <v>LIQUID PETROLEUM GAS</v>
          </cell>
          <cell r="C14">
            <v>1296</v>
          </cell>
        </row>
        <row r="15">
          <cell r="A15">
            <v>728001</v>
          </cell>
          <cell r="B15" t="str">
            <v>LIQUID PETROLEUM GAS</v>
          </cell>
          <cell r="C15">
            <v>38025</v>
          </cell>
        </row>
        <row r="16">
          <cell r="A16">
            <v>735000</v>
          </cell>
          <cell r="B16" t="str">
            <v>GAS MISC PRODUCTION EXP</v>
          </cell>
          <cell r="C16">
            <v>51588</v>
          </cell>
        </row>
        <row r="17">
          <cell r="A17">
            <v>736090</v>
          </cell>
          <cell r="B17" t="str">
            <v>GAS PROD INTERCO RENTS - ERLANGER</v>
          </cell>
          <cell r="C17">
            <v>63192</v>
          </cell>
        </row>
        <row r="18">
          <cell r="A18">
            <v>742000</v>
          </cell>
          <cell r="B18" t="str">
            <v>MAINT GAS PRODUCTION EQUIPMENT</v>
          </cell>
          <cell r="C18">
            <v>35789</v>
          </cell>
        </row>
        <row r="19">
          <cell r="A19">
            <v>801000</v>
          </cell>
          <cell r="B19" t="str">
            <v>NATURAL GAS FIELD LINE PURCHAS</v>
          </cell>
          <cell r="C19">
            <v>285634964</v>
          </cell>
        </row>
        <row r="20">
          <cell r="A20">
            <v>801010</v>
          </cell>
          <cell r="B20" t="str">
            <v>NATURAL GAS FIELD LINE PURCH-INTER CO.</v>
          </cell>
          <cell r="C20">
            <v>161892</v>
          </cell>
        </row>
        <row r="21">
          <cell r="A21">
            <v>801050</v>
          </cell>
          <cell r="B21" t="str">
            <v>NATURAL GAS FIELD LINE PURCH-INTER CO.</v>
          </cell>
          <cell r="C21">
            <v>241262</v>
          </cell>
        </row>
        <row r="22">
          <cell r="A22">
            <v>804000</v>
          </cell>
          <cell r="B22" t="str">
            <v>NATURAL GAS CITY GATE PURCHASE</v>
          </cell>
          <cell r="C22">
            <v>12137</v>
          </cell>
        </row>
        <row r="23">
          <cell r="A23">
            <v>805000</v>
          </cell>
          <cell r="B23" t="str">
            <v>UNRECOVERED PURCH GAS ADJ.</v>
          </cell>
          <cell r="C23">
            <v>22107377</v>
          </cell>
        </row>
        <row r="24">
          <cell r="A24">
            <v>805200</v>
          </cell>
          <cell r="B24" t="str">
            <v>PURCH GAS COSTS - UNBILLED REV</v>
          </cell>
          <cell r="C24">
            <v>-3319498</v>
          </cell>
        </row>
        <row r="25">
          <cell r="A25">
            <v>806000</v>
          </cell>
          <cell r="B25" t="str">
            <v>OTHER GAS SUPPLY - EXCHANGE GAS</v>
          </cell>
          <cell r="C25">
            <v>5679963</v>
          </cell>
        </row>
        <row r="26">
          <cell r="A26">
            <v>807000</v>
          </cell>
          <cell r="B26" t="str">
            <v>GAS PURCHASED EXPENSES</v>
          </cell>
          <cell r="C26">
            <v>1909342</v>
          </cell>
        </row>
        <row r="27">
          <cell r="A27">
            <v>870000</v>
          </cell>
          <cell r="B27" t="str">
            <v>DISTRIBUTION SUPV &amp; ENGINEERING</v>
          </cell>
          <cell r="C27">
            <v>272635</v>
          </cell>
        </row>
        <row r="28">
          <cell r="A28">
            <v>871000</v>
          </cell>
          <cell r="B28" t="str">
            <v>DISTRIBUTION LOAD DISPATCHING</v>
          </cell>
          <cell r="C28">
            <v>484894</v>
          </cell>
        </row>
        <row r="29">
          <cell r="A29">
            <v>874000</v>
          </cell>
          <cell r="B29" t="str">
            <v>MAINS AND SERVICES</v>
          </cell>
          <cell r="C29">
            <v>4965940</v>
          </cell>
        </row>
        <row r="30">
          <cell r="A30">
            <v>875000</v>
          </cell>
          <cell r="B30" t="str">
            <v>MEASURING &amp; REG STATIONS - GEN</v>
          </cell>
          <cell r="C30">
            <v>61923</v>
          </cell>
        </row>
        <row r="31">
          <cell r="A31">
            <v>876000</v>
          </cell>
          <cell r="B31" t="str">
            <v>MEASURING &amp; REG STATIONS-INDUSTRIAL</v>
          </cell>
          <cell r="C31">
            <v>73719</v>
          </cell>
        </row>
        <row r="32">
          <cell r="A32">
            <v>878000</v>
          </cell>
          <cell r="B32" t="str">
            <v>METER AND HOUSE REGULATOR EXP.</v>
          </cell>
          <cell r="C32">
            <v>577051</v>
          </cell>
        </row>
        <row r="33">
          <cell r="A33">
            <v>879000</v>
          </cell>
          <cell r="B33" t="str">
            <v>CUSTOMER INSTALLATION EXPENSES</v>
          </cell>
          <cell r="C33">
            <v>663872</v>
          </cell>
        </row>
        <row r="34">
          <cell r="A34">
            <v>880000</v>
          </cell>
          <cell r="B34" t="str">
            <v>GAS DISTRIBUTION - OTHER EXP.</v>
          </cell>
          <cell r="C34">
            <v>4133203</v>
          </cell>
        </row>
        <row r="35">
          <cell r="A35">
            <v>880200</v>
          </cell>
          <cell r="B35" t="str">
            <v>OTHER GAS EXPENSE - GAS SAL</v>
          </cell>
          <cell r="C35">
            <v>-499</v>
          </cell>
        </row>
        <row r="36">
          <cell r="A36">
            <v>881020</v>
          </cell>
          <cell r="B36" t="str">
            <v>GAS DISTRIBUTION - RENT INTERCO</v>
          </cell>
          <cell r="C36">
            <v>8544</v>
          </cell>
        </row>
        <row r="37">
          <cell r="A37">
            <v>885000</v>
          </cell>
          <cell r="B37" t="str">
            <v>MAINT - SUPERVISION &amp; ENGINEER</v>
          </cell>
          <cell r="C37">
            <v>125767</v>
          </cell>
        </row>
        <row r="38">
          <cell r="A38">
            <v>887000</v>
          </cell>
          <cell r="B38" t="str">
            <v>MAINTENANCE OF MAINS</v>
          </cell>
          <cell r="C38">
            <v>6084334</v>
          </cell>
        </row>
        <row r="39">
          <cell r="A39">
            <v>889000</v>
          </cell>
          <cell r="B39" t="str">
            <v>MAINT - MEASURING &amp; REG STAT-G</v>
          </cell>
          <cell r="C39">
            <v>125450</v>
          </cell>
        </row>
        <row r="40">
          <cell r="A40">
            <v>890000</v>
          </cell>
          <cell r="B40" t="str">
            <v>MAINT - MEASURING &amp; REG STAT-I</v>
          </cell>
          <cell r="C40">
            <v>12008</v>
          </cell>
        </row>
        <row r="41">
          <cell r="A41">
            <v>892000</v>
          </cell>
          <cell r="B41" t="str">
            <v>MAINTENANCE OF SERVICES</v>
          </cell>
          <cell r="C41">
            <v>163243</v>
          </cell>
        </row>
        <row r="42">
          <cell r="A42">
            <v>893000</v>
          </cell>
          <cell r="B42" t="str">
            <v>MAINT - METERS AND HOUSE REGULATORS</v>
          </cell>
          <cell r="C42">
            <v>380502</v>
          </cell>
        </row>
        <row r="43">
          <cell r="A43">
            <v>894000</v>
          </cell>
          <cell r="B43" t="str">
            <v>MAINTANCE OF OTHER EQUIPMENT</v>
          </cell>
          <cell r="C43">
            <v>27174</v>
          </cell>
        </row>
        <row r="44">
          <cell r="A44">
            <v>403200</v>
          </cell>
          <cell r="B44" t="str">
            <v>GAS DEPRECIATION EXPENSE</v>
          </cell>
          <cell r="C44">
            <v>4508483</v>
          </cell>
        </row>
        <row r="45">
          <cell r="A45">
            <v>404200</v>
          </cell>
          <cell r="B45" t="str">
            <v>AMORTIZATION LIMITED TERM GAS</v>
          </cell>
          <cell r="C45">
            <v>15605606</v>
          </cell>
        </row>
        <row r="46">
          <cell r="A46">
            <v>405200</v>
          </cell>
          <cell r="B46" t="str">
            <v>AMORTIZATION OTHER GAS PLANT</v>
          </cell>
          <cell r="C46">
            <v>233724</v>
          </cell>
        </row>
        <row r="47">
          <cell r="A47">
            <v>407090</v>
          </cell>
          <cell r="B47" t="str">
            <v>AMORT DEFERRED EXPENSES</v>
          </cell>
          <cell r="C47">
            <v>483249</v>
          </cell>
        </row>
        <row r="48">
          <cell r="A48">
            <v>408100</v>
          </cell>
          <cell r="B48" t="str">
            <v>OHIO PROPERTY TAX - GENERAL</v>
          </cell>
          <cell r="C48">
            <v>21894849</v>
          </cell>
        </row>
        <row r="49">
          <cell r="A49">
            <v>408110</v>
          </cell>
          <cell r="B49" t="str">
            <v>OHIO PROPERTY TAX - OTHER THAN</v>
          </cell>
          <cell r="C49">
            <v>1978749</v>
          </cell>
        </row>
        <row r="50">
          <cell r="A50">
            <v>408170</v>
          </cell>
          <cell r="B50" t="str">
            <v>INDIANA PROPERTY TAX - GAS</v>
          </cell>
          <cell r="C50">
            <v>876</v>
          </cell>
        </row>
        <row r="51">
          <cell r="A51">
            <v>408200</v>
          </cell>
          <cell r="B51" t="str">
            <v>WEST VIRGINA PROPERTY TAX</v>
          </cell>
          <cell r="C51">
            <v>39201</v>
          </cell>
        </row>
        <row r="52">
          <cell r="A52">
            <v>408250</v>
          </cell>
          <cell r="B52" t="str">
            <v xml:space="preserve">OHIO GROSS RECEIPTS TAX </v>
          </cell>
          <cell r="C52">
            <v>21054918</v>
          </cell>
        </row>
        <row r="53">
          <cell r="A53">
            <v>408480</v>
          </cell>
          <cell r="B53" t="str">
            <v>INDIANA HIGHWAY USE TAX</v>
          </cell>
          <cell r="C53">
            <v>120</v>
          </cell>
        </row>
        <row r="54">
          <cell r="A54">
            <v>408520</v>
          </cell>
          <cell r="B54" t="str">
            <v>OHIO HIGHWAY USE</v>
          </cell>
          <cell r="C54">
            <v>744</v>
          </cell>
        </row>
        <row r="55">
          <cell r="A55">
            <v>408540</v>
          </cell>
          <cell r="B55" t="str">
            <v>KENTUCKY HIGHWAY USE</v>
          </cell>
          <cell r="C55">
            <v>195</v>
          </cell>
        </row>
        <row r="56">
          <cell r="A56">
            <v>408419</v>
          </cell>
          <cell r="B56" t="str">
            <v>SOCIAL SECURITY TAXES</v>
          </cell>
          <cell r="C56">
            <v>1975499</v>
          </cell>
        </row>
        <row r="57">
          <cell r="A57">
            <v>409200</v>
          </cell>
          <cell r="B57" t="str">
            <v>FEDERAL INCOME TAXES</v>
          </cell>
          <cell r="C57">
            <v>8400667</v>
          </cell>
        </row>
        <row r="58">
          <cell r="A58">
            <v>410003</v>
          </cell>
          <cell r="B58" t="str">
            <v>UNRECOVERED FUEL COSTS - NET</v>
          </cell>
          <cell r="C58">
            <v>-14207916</v>
          </cell>
        </row>
        <row r="59">
          <cell r="A59">
            <v>410035</v>
          </cell>
          <cell r="B59" t="str">
            <v>LIBERALIZED DEPRECIATION</v>
          </cell>
          <cell r="C59">
            <v>3624641</v>
          </cell>
        </row>
        <row r="60">
          <cell r="A60">
            <v>410043</v>
          </cell>
          <cell r="B60" t="str">
            <v>CAPITALIZED INTEREST</v>
          </cell>
          <cell r="C60">
            <v>-450450</v>
          </cell>
        </row>
        <row r="61">
          <cell r="A61">
            <v>410046</v>
          </cell>
          <cell r="B61" t="str">
            <v>UNCOLLECTIBLE ACCOUNTS</v>
          </cell>
          <cell r="C61">
            <v>185072</v>
          </cell>
        </row>
        <row r="62">
          <cell r="A62">
            <v>410061</v>
          </cell>
          <cell r="B62" t="str">
            <v>AMORTIZATION OF DEFERRED MERGER COSTS</v>
          </cell>
          <cell r="C62">
            <v>-169137</v>
          </cell>
        </row>
        <row r="63">
          <cell r="A63">
            <v>410068</v>
          </cell>
          <cell r="B63" t="str">
            <v>CONTRIBUTIONS IN AID OF CONSTRUCTION</v>
          </cell>
          <cell r="C63">
            <v>2531</v>
          </cell>
        </row>
        <row r="64">
          <cell r="A64">
            <v>410070</v>
          </cell>
          <cell r="B64" t="str">
            <v>AFUDC</v>
          </cell>
          <cell r="C64">
            <v>211759</v>
          </cell>
        </row>
        <row r="65">
          <cell r="A65">
            <v>410098</v>
          </cell>
          <cell r="B65" t="str">
            <v>PENSION COST &amp; POST RET. BENEFITS CAP.</v>
          </cell>
          <cell r="C65">
            <v>-2185</v>
          </cell>
        </row>
        <row r="66">
          <cell r="A66">
            <v>410137</v>
          </cell>
          <cell r="B66" t="str">
            <v>PENSION COST &amp; POST RET. BENEFITS CAP.</v>
          </cell>
          <cell r="C66">
            <v>-2320</v>
          </cell>
        </row>
        <row r="67">
          <cell r="A67">
            <v>410141</v>
          </cell>
          <cell r="B67" t="str">
            <v>PENSION COST &amp; POST RET. BENEFITS CAP.</v>
          </cell>
          <cell r="C67">
            <v>-4945</v>
          </cell>
        </row>
        <row r="68">
          <cell r="A68">
            <v>410202</v>
          </cell>
          <cell r="B68" t="str">
            <v>UNBILLED REVENUE - FUEL</v>
          </cell>
          <cell r="C68">
            <v>4353650</v>
          </cell>
        </row>
        <row r="69">
          <cell r="A69">
            <v>410300</v>
          </cell>
          <cell r="B69" t="str">
            <v>UNCOLLECTIBLE ACCOUNTS - PIPP</v>
          </cell>
          <cell r="C69">
            <v>1046436</v>
          </cell>
        </row>
        <row r="70">
          <cell r="A70">
            <v>411013</v>
          </cell>
          <cell r="B70" t="str">
            <v>AMORTIZATION INVESTMENT CREDIT</v>
          </cell>
          <cell r="C70">
            <v>-245308</v>
          </cell>
        </row>
        <row r="71">
          <cell r="A71">
            <v>411030</v>
          </cell>
          <cell r="B71" t="str">
            <v>PAYROLL TAX DEDUCTION</v>
          </cell>
          <cell r="C71">
            <v>-3254</v>
          </cell>
        </row>
        <row r="72">
          <cell r="A72">
            <v>411035</v>
          </cell>
          <cell r="B72" t="str">
            <v>LIBERALIZED DEPRECIATION</v>
          </cell>
          <cell r="C72">
            <v>-212433</v>
          </cell>
        </row>
        <row r="73">
          <cell r="A73">
            <v>411043</v>
          </cell>
          <cell r="B73" t="str">
            <v>CAPITALIZED INTEREST</v>
          </cell>
          <cell r="C73">
            <v>14664</v>
          </cell>
        </row>
        <row r="74">
          <cell r="A74">
            <v>411046</v>
          </cell>
          <cell r="B74" t="str">
            <v>UNCOLLECTIBLE ACCOUNTS</v>
          </cell>
          <cell r="C74">
            <v>-733059</v>
          </cell>
        </row>
        <row r="75">
          <cell r="A75">
            <v>411068</v>
          </cell>
          <cell r="B75" t="str">
            <v>CONTRIBUTIONS IN AID OF CONSTRUCTION</v>
          </cell>
          <cell r="C75">
            <v>2203</v>
          </cell>
        </row>
        <row r="76">
          <cell r="A76">
            <v>411070</v>
          </cell>
          <cell r="B76" t="str">
            <v>AFUDC</v>
          </cell>
          <cell r="C76">
            <v>-2526</v>
          </cell>
        </row>
        <row r="77">
          <cell r="A77">
            <v>411078</v>
          </cell>
          <cell r="B77" t="str">
            <v>LOSS ON REACQUIRED DEBT</v>
          </cell>
          <cell r="C77">
            <v>-154961</v>
          </cell>
        </row>
        <row r="78">
          <cell r="A78">
            <v>411086</v>
          </cell>
          <cell r="B78" t="str">
            <v>LOSS ON REACQUIRED DEBT</v>
          </cell>
          <cell r="C78">
            <v>-9311</v>
          </cell>
        </row>
        <row r="79">
          <cell r="A79">
            <v>411088</v>
          </cell>
          <cell r="B79" t="str">
            <v>LOSS ON REACQUIRED DEBT</v>
          </cell>
          <cell r="C79">
            <v>-6698</v>
          </cell>
        </row>
        <row r="80">
          <cell r="A80">
            <v>411092</v>
          </cell>
          <cell r="B80" t="str">
            <v>CAPITALIZED CSS</v>
          </cell>
          <cell r="C80">
            <v>-74418</v>
          </cell>
        </row>
        <row r="81">
          <cell r="A81">
            <v>411120</v>
          </cell>
          <cell r="B81" t="str">
            <v>LOSS ON REACQUIRED DEBT</v>
          </cell>
          <cell r="C81">
            <v>-1487</v>
          </cell>
        </row>
        <row r="82">
          <cell r="A82">
            <v>411122</v>
          </cell>
          <cell r="B82" t="str">
            <v>LOSS ON REACQUIRED DEBT</v>
          </cell>
          <cell r="C82">
            <v>-680</v>
          </cell>
        </row>
        <row r="83">
          <cell r="A83">
            <v>411130</v>
          </cell>
          <cell r="B83" t="str">
            <v>LOSS ON REACQUIRED DEBT</v>
          </cell>
          <cell r="C83">
            <v>-10265</v>
          </cell>
        </row>
        <row r="84">
          <cell r="A84">
            <v>411132</v>
          </cell>
          <cell r="B84" t="str">
            <v>LOSS ON REACQUIRED DEBT</v>
          </cell>
          <cell r="C84">
            <v>-1318</v>
          </cell>
        </row>
        <row r="85">
          <cell r="A85">
            <v>411180</v>
          </cell>
          <cell r="B85" t="str">
            <v>LOSS ON REACQUIRED DEBT</v>
          </cell>
          <cell r="C85">
            <v>-1519</v>
          </cell>
        </row>
        <row r="86">
          <cell r="A86">
            <v>411202</v>
          </cell>
          <cell r="B86" t="str">
            <v>UNBILLED REVENUE - FUEL</v>
          </cell>
          <cell r="C86">
            <v>4484024</v>
          </cell>
        </row>
        <row r="87">
          <cell r="A87">
            <v>411251</v>
          </cell>
          <cell r="B87" t="str">
            <v>CUSTOMER CHOICE</v>
          </cell>
          <cell r="C87">
            <v>-3625</v>
          </cell>
        </row>
        <row r="88">
          <cell r="A88">
            <v>411262</v>
          </cell>
          <cell r="B88" t="str">
            <v>INJURIES &amp; DAMAGES</v>
          </cell>
          <cell r="C88">
            <v>-10246</v>
          </cell>
        </row>
        <row r="89">
          <cell r="A89">
            <v>411265</v>
          </cell>
          <cell r="B89" t="str">
            <v>EMPLOYEE HOSPITAL &amp; MEDICAL EXPENSE</v>
          </cell>
          <cell r="C89">
            <v>2781</v>
          </cell>
        </row>
        <row r="90">
          <cell r="A90">
            <v>411300</v>
          </cell>
          <cell r="B90" t="str">
            <v>UNCOLLECTABLE ACCOUNTS - PIPP</v>
          </cell>
          <cell r="C90">
            <v>387578</v>
          </cell>
        </row>
        <row r="91">
          <cell r="A91">
            <v>480400</v>
          </cell>
          <cell r="B91" t="str">
            <v>RESIDENTIAL SALES GAS</v>
          </cell>
          <cell r="C91">
            <v>289876654</v>
          </cell>
        </row>
        <row r="92">
          <cell r="A92">
            <v>480410</v>
          </cell>
          <cell r="B92" t="str">
            <v>RESIDENTIAL UNBILLED GAS</v>
          </cell>
          <cell r="C92">
            <v>-5537015</v>
          </cell>
        </row>
        <row r="93">
          <cell r="A93">
            <v>481110</v>
          </cell>
          <cell r="B93" t="str">
            <v>COMMERCIAL SALES GAS-EMERGENCY</v>
          </cell>
          <cell r="C93">
            <v>869</v>
          </cell>
        </row>
        <row r="94">
          <cell r="A94">
            <v>481120</v>
          </cell>
          <cell r="B94" t="str">
            <v>INDUSTRIAL SALES GAS-EMERGENCY</v>
          </cell>
          <cell r="C94">
            <v>18356</v>
          </cell>
        </row>
        <row r="95">
          <cell r="A95">
            <v>481400</v>
          </cell>
          <cell r="B95" t="str">
            <v>COMMERCIAL SALES GAS</v>
          </cell>
          <cell r="C95">
            <v>112866202</v>
          </cell>
        </row>
        <row r="96">
          <cell r="A96">
            <v>481410</v>
          </cell>
          <cell r="B96" t="str">
            <v>COMMERCIAL UNBILLED GAS</v>
          </cell>
          <cell r="C96">
            <v>-3035167</v>
          </cell>
        </row>
        <row r="97">
          <cell r="A97">
            <v>481450</v>
          </cell>
          <cell r="B97" t="str">
            <v>INDUSTRIAL SALES GAS</v>
          </cell>
          <cell r="C97">
            <v>18524639</v>
          </cell>
        </row>
        <row r="98">
          <cell r="A98">
            <v>481460</v>
          </cell>
          <cell r="B98" t="str">
            <v>INDUSTRIAL UNBILLED GAS</v>
          </cell>
          <cell r="C98">
            <v>-283982</v>
          </cell>
        </row>
        <row r="99">
          <cell r="A99">
            <v>482400</v>
          </cell>
          <cell r="B99" t="str">
            <v>PUBLIC ST &amp; HGWY LIGHTING GAS</v>
          </cell>
          <cell r="C99">
            <v>350009</v>
          </cell>
        </row>
        <row r="100">
          <cell r="A100">
            <v>482410</v>
          </cell>
          <cell r="B100" t="str">
            <v>PUB ST &amp; HGWY LIGHTING UNBILLED</v>
          </cell>
          <cell r="C100">
            <v>12020</v>
          </cell>
        </row>
        <row r="101">
          <cell r="A101">
            <v>482450</v>
          </cell>
          <cell r="B101" t="str">
            <v>OTHER SALES TO PUB AUTHORITY</v>
          </cell>
          <cell r="C101">
            <v>12455470</v>
          </cell>
        </row>
        <row r="102">
          <cell r="A102">
            <v>482460</v>
          </cell>
          <cell r="B102" t="str">
            <v>OTHER SALES TO PUB AUTH UNBILLED</v>
          </cell>
          <cell r="C102">
            <v>531752</v>
          </cell>
        </row>
        <row r="103">
          <cell r="A103">
            <v>484400</v>
          </cell>
          <cell r="B103" t="str">
            <v>INTER DEPARTMENTAL SALES GAS</v>
          </cell>
          <cell r="C103">
            <v>1210716</v>
          </cell>
        </row>
        <row r="104">
          <cell r="A104">
            <v>487000</v>
          </cell>
          <cell r="B104" t="str">
            <v>LATE PAYMENT CHARGE GAS</v>
          </cell>
          <cell r="C104">
            <v>7270231</v>
          </cell>
        </row>
        <row r="105">
          <cell r="A105">
            <v>488020</v>
          </cell>
          <cell r="B105" t="str">
            <v>MISC REV RECONN CHARGES GAS</v>
          </cell>
          <cell r="C105">
            <v>3390</v>
          </cell>
        </row>
        <row r="106">
          <cell r="A106">
            <v>488040</v>
          </cell>
          <cell r="B106" t="str">
            <v>MISC REV CUST DIVERSN EXP GAS</v>
          </cell>
          <cell r="C106">
            <v>30</v>
          </cell>
        </row>
        <row r="107">
          <cell r="A107">
            <v>488060</v>
          </cell>
          <cell r="B107" t="str">
            <v>MISC REV BAD CHECK CHARGE GAS</v>
          </cell>
          <cell r="C107">
            <v>11827</v>
          </cell>
        </row>
        <row r="108">
          <cell r="A108">
            <v>488080</v>
          </cell>
          <cell r="B108" t="str">
            <v>TRANSPORTATION SWITCHING FEE</v>
          </cell>
          <cell r="C108">
            <v>25</v>
          </cell>
        </row>
        <row r="109">
          <cell r="A109">
            <v>489000</v>
          </cell>
          <cell r="B109" t="str">
            <v>REV TRANSP GAS OF OTHERS</v>
          </cell>
          <cell r="C109">
            <v>10054253</v>
          </cell>
        </row>
        <row r="110">
          <cell r="A110">
            <v>489040</v>
          </cell>
          <cell r="B110" t="str">
            <v>REV TRANSP GAS OF OTHERS</v>
          </cell>
          <cell r="C110">
            <v>3105523</v>
          </cell>
        </row>
        <row r="111">
          <cell r="A111">
            <v>489050</v>
          </cell>
          <cell r="B111" t="str">
            <v>REV OTHER PROD GAS ASSOC COS</v>
          </cell>
          <cell r="C111">
            <v>19237</v>
          </cell>
        </row>
        <row r="112">
          <cell r="A112">
            <v>489060</v>
          </cell>
          <cell r="B112" t="str">
            <v>REV AGENCY SERVICE - WOODSDALE</v>
          </cell>
          <cell r="C112">
            <v>601</v>
          </cell>
        </row>
        <row r="113">
          <cell r="A113">
            <v>489100</v>
          </cell>
          <cell r="B113" t="str">
            <v>REV FIRM TRANSP AGREEMENTS - RES</v>
          </cell>
          <cell r="C113">
            <v>16125189</v>
          </cell>
        </row>
        <row r="114">
          <cell r="A114">
            <v>489105</v>
          </cell>
          <cell r="B114" t="str">
            <v>RES REV TRANSP-UNBILLED</v>
          </cell>
          <cell r="C114">
            <v>-915000</v>
          </cell>
        </row>
        <row r="115">
          <cell r="A115">
            <v>489110</v>
          </cell>
          <cell r="B115" t="str">
            <v>REV FIRM TRANSP AGREEMENTS - COMM</v>
          </cell>
          <cell r="C115">
            <v>12248579</v>
          </cell>
        </row>
        <row r="116">
          <cell r="A116">
            <v>489115</v>
          </cell>
          <cell r="B116" t="str">
            <v>COMM REV TRANSP-UNBILLED</v>
          </cell>
          <cell r="C116">
            <v>-177000</v>
          </cell>
        </row>
        <row r="117">
          <cell r="A117">
            <v>489120</v>
          </cell>
          <cell r="B117" t="str">
            <v>REV FIRM TRANSP AGREEMENTS - IND</v>
          </cell>
          <cell r="C117">
            <v>4756498</v>
          </cell>
        </row>
        <row r="118">
          <cell r="A118">
            <v>489125</v>
          </cell>
          <cell r="B118" t="str">
            <v>IND REV TRANSP-UNBILLED</v>
          </cell>
          <cell r="C118">
            <v>-366000</v>
          </cell>
        </row>
        <row r="119">
          <cell r="A119">
            <v>489130</v>
          </cell>
          <cell r="B119" t="str">
            <v>REV FIRM TRANSP AGREEMENTS - OTHER</v>
          </cell>
          <cell r="C119">
            <v>2432755</v>
          </cell>
        </row>
        <row r="120">
          <cell r="A120">
            <v>489135</v>
          </cell>
          <cell r="B120" t="str">
            <v>OTHER REV TRANSP-UNBILLED</v>
          </cell>
          <cell r="C120">
            <v>-290000</v>
          </cell>
        </row>
        <row r="121">
          <cell r="A121">
            <v>489140</v>
          </cell>
          <cell r="B121" t="str">
            <v>REV TNTER TRANS - METERED POOL</v>
          </cell>
          <cell r="C121">
            <v>321</v>
          </cell>
        </row>
        <row r="122">
          <cell r="A122">
            <v>493020</v>
          </cell>
          <cell r="B122" t="str">
            <v>RENT CIS - GAS PORTION</v>
          </cell>
          <cell r="C122">
            <v>4098</v>
          </cell>
        </row>
        <row r="123">
          <cell r="A123">
            <v>493030</v>
          </cell>
          <cell r="B123" t="str">
            <v>RENT OTHER GAS EQUIPMENT</v>
          </cell>
          <cell r="C123">
            <v>14151</v>
          </cell>
        </row>
        <row r="124">
          <cell r="A124">
            <v>493040</v>
          </cell>
          <cell r="B124" t="str">
            <v>RENT LAND &amp; BUILDINGS - ASSOC CO.</v>
          </cell>
          <cell r="C124">
            <v>61992</v>
          </cell>
        </row>
        <row r="125">
          <cell r="A125">
            <v>493050</v>
          </cell>
          <cell r="B125" t="str">
            <v>RENT STORES FACILITIES - ASSOC CO.</v>
          </cell>
          <cell r="C125">
            <v>24834</v>
          </cell>
        </row>
        <row r="126">
          <cell r="A126">
            <v>493060</v>
          </cell>
          <cell r="B126" t="str">
            <v>RENT DATA PROC EQUIP - ASSOC CO.</v>
          </cell>
          <cell r="C126">
            <v>2898</v>
          </cell>
        </row>
        <row r="127">
          <cell r="A127">
            <v>493070</v>
          </cell>
          <cell r="B127" t="str">
            <v xml:space="preserve">RENT STORES FACIL - ASSOC  LAW GAS CO. </v>
          </cell>
          <cell r="C127">
            <v>2151</v>
          </cell>
        </row>
        <row r="128">
          <cell r="A128">
            <v>493080</v>
          </cell>
          <cell r="B128" t="str">
            <v>RENT MICROWAVE SYSTEM - ASSOC CO.</v>
          </cell>
          <cell r="C128">
            <v>31275</v>
          </cell>
        </row>
        <row r="129">
          <cell r="A129">
            <v>493110</v>
          </cell>
          <cell r="B129" t="str">
            <v>RENT MICROWAVE SYS - ASSOC  LAW GAS CO.</v>
          </cell>
          <cell r="C129">
            <v>2322</v>
          </cell>
        </row>
        <row r="130">
          <cell r="A130">
            <v>493500</v>
          </cell>
          <cell r="B130" t="str">
            <v>RENT LAND &amp; BUILDING-ASSOC CO</v>
          </cell>
          <cell r="C130">
            <v>363246</v>
          </cell>
        </row>
        <row r="131">
          <cell r="A131">
            <v>495010</v>
          </cell>
          <cell r="B131" t="str">
            <v>MISC REV SALE MATERIALS &amp; SUPP</v>
          </cell>
          <cell r="C131">
            <v>39</v>
          </cell>
        </row>
        <row r="132">
          <cell r="A132">
            <v>495020</v>
          </cell>
          <cell r="B132" t="str">
            <v>SALES USE TAX COLLECT FEE</v>
          </cell>
          <cell r="C132">
            <v>10</v>
          </cell>
        </row>
        <row r="133">
          <cell r="A133">
            <v>495030</v>
          </cell>
          <cell r="B133" t="str">
            <v>GAS LOSSES DAMAGED LINES</v>
          </cell>
          <cell r="C133">
            <v>14266</v>
          </cell>
        </row>
        <row r="134">
          <cell r="A134">
            <v>901090</v>
          </cell>
          <cell r="B134" t="str">
            <v>BILLG CLTNS SUPRVISN - GAS</v>
          </cell>
          <cell r="C134">
            <v>460965</v>
          </cell>
        </row>
        <row r="135">
          <cell r="A135">
            <v>902090</v>
          </cell>
          <cell r="B135" t="str">
            <v>BILLG CLTNS METER READING - GAS</v>
          </cell>
          <cell r="C135">
            <v>3701775</v>
          </cell>
        </row>
        <row r="136">
          <cell r="A136">
            <v>903090</v>
          </cell>
          <cell r="B136" t="str">
            <v>MARKETING OPERATIONS - GAS</v>
          </cell>
          <cell r="C136">
            <v>8841721</v>
          </cell>
        </row>
        <row r="137">
          <cell r="A137">
            <v>904090</v>
          </cell>
          <cell r="B137" t="str">
            <v>CUST ACCTG UNCOL ACTS PRV - GAS</v>
          </cell>
          <cell r="C137">
            <v>3885328</v>
          </cell>
        </row>
        <row r="138">
          <cell r="A138">
            <v>907090</v>
          </cell>
          <cell r="B138" t="str">
            <v>ENERGY MARKETING - GAS</v>
          </cell>
          <cell r="C138">
            <v>67548</v>
          </cell>
        </row>
        <row r="139">
          <cell r="A139">
            <v>908090</v>
          </cell>
          <cell r="B139" t="str">
            <v>CUSTOMER ASSISTANCE</v>
          </cell>
          <cell r="C139">
            <v>557657</v>
          </cell>
        </row>
        <row r="140">
          <cell r="A140">
            <v>909090</v>
          </cell>
          <cell r="B140" t="str">
            <v>INFORMATION AND INSTRUCTIONAL ADV.</v>
          </cell>
          <cell r="C140">
            <v>36903</v>
          </cell>
        </row>
        <row r="141">
          <cell r="A141">
            <v>911090</v>
          </cell>
          <cell r="B141" t="str">
            <v>MARKETING OPERATIONS - GAS</v>
          </cell>
          <cell r="C141">
            <v>3067027</v>
          </cell>
        </row>
        <row r="142">
          <cell r="A142">
            <v>912090</v>
          </cell>
          <cell r="B142" t="str">
            <v>ENERGY MARKETING - GAS</v>
          </cell>
          <cell r="C142">
            <v>328140</v>
          </cell>
        </row>
        <row r="143">
          <cell r="A143">
            <v>913090</v>
          </cell>
          <cell r="B143" t="str">
            <v>MARKETING/CUSTOMER RELTNS - GAS</v>
          </cell>
          <cell r="C143">
            <v>2852</v>
          </cell>
        </row>
        <row r="144">
          <cell r="A144">
            <v>920090</v>
          </cell>
          <cell r="B144" t="str">
            <v>ADMIN &amp; GENERAL LABOR - GAS</v>
          </cell>
          <cell r="C144">
            <v>5981093</v>
          </cell>
        </row>
        <row r="145">
          <cell r="A145">
            <v>921090</v>
          </cell>
          <cell r="B145" t="str">
            <v>ADMIN &amp; GEN OFF SUPP &amp; EXP - GAS</v>
          </cell>
          <cell r="C145">
            <v>5747630</v>
          </cell>
        </row>
        <row r="146">
          <cell r="A146">
            <v>922090</v>
          </cell>
          <cell r="B146" t="str">
            <v>DUPLICATE CHARGES CREDIT - GAS</v>
          </cell>
          <cell r="C146">
            <v>-505205</v>
          </cell>
        </row>
        <row r="147">
          <cell r="A147">
            <v>923090</v>
          </cell>
          <cell r="B147" t="str">
            <v>SPECIAL SERVICES - GAS</v>
          </cell>
          <cell r="C147">
            <v>1742882</v>
          </cell>
        </row>
        <row r="148">
          <cell r="A148">
            <v>924090</v>
          </cell>
          <cell r="B148" t="str">
            <v>PRPTY INSUR - PUB LIABILITY</v>
          </cell>
          <cell r="C148">
            <v>309708</v>
          </cell>
        </row>
        <row r="149">
          <cell r="A149">
            <v>925090</v>
          </cell>
          <cell r="B149" t="str">
            <v>INJURIES &amp; DAMAGES - GAS</v>
          </cell>
          <cell r="C149">
            <v>267009</v>
          </cell>
        </row>
        <row r="150">
          <cell r="A150">
            <v>926090</v>
          </cell>
          <cell r="B150" t="str">
            <v>FRINGE BENEFITS - GAS</v>
          </cell>
          <cell r="C150">
            <v>2756648</v>
          </cell>
        </row>
        <row r="151">
          <cell r="A151">
            <v>926140</v>
          </cell>
          <cell r="B151" t="str">
            <v>PENSION COST ADJ - CR - GAS</v>
          </cell>
          <cell r="C151">
            <v>5253043</v>
          </cell>
        </row>
        <row r="152">
          <cell r="A152">
            <v>928090</v>
          </cell>
          <cell r="B152" t="str">
            <v>STATE REG COMM PROCEEDING - GAS</v>
          </cell>
          <cell r="C152">
            <v>646930</v>
          </cell>
        </row>
        <row r="153">
          <cell r="A153">
            <v>929110</v>
          </cell>
          <cell r="B153" t="str">
            <v>SERVICE USED BY OWN DEPT CR -</v>
          </cell>
          <cell r="C153">
            <v>-442577</v>
          </cell>
        </row>
        <row r="154">
          <cell r="A154">
            <v>929130</v>
          </cell>
          <cell r="B154" t="str">
            <v>JOBBYING OVERHEADS - GAS</v>
          </cell>
          <cell r="C154">
            <v>-355</v>
          </cell>
        </row>
        <row r="155">
          <cell r="A155">
            <v>930090</v>
          </cell>
          <cell r="B155" t="str">
            <v>GENERAL &amp; MISC MEDIA - GAS</v>
          </cell>
          <cell r="C155">
            <v>486050</v>
          </cell>
        </row>
        <row r="156">
          <cell r="A156">
            <v>930290</v>
          </cell>
          <cell r="B156" t="str">
            <v>GENERAL MISC - GAS</v>
          </cell>
          <cell r="C156">
            <v>62813</v>
          </cell>
        </row>
        <row r="157">
          <cell r="A157">
            <v>931090</v>
          </cell>
          <cell r="B157" t="str">
            <v>RENTS - GAS</v>
          </cell>
          <cell r="C157">
            <v>3280493</v>
          </cell>
        </row>
        <row r="158">
          <cell r="A158">
            <v>935090</v>
          </cell>
          <cell r="B158" t="str">
            <v>MAINT OF GENERAL PLANT - GAS</v>
          </cell>
          <cell r="C158">
            <v>1104590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RIVERS"/>
      <sheetName val="ALLOCATION"/>
      <sheetName val="FERC 921_IT and Financial Fees"/>
      <sheetName val="FERC 923_Consulting and Trainin"/>
      <sheetName val="Headcount"/>
    </sheetNames>
    <sheetDataSet>
      <sheetData sheetId="0" refreshError="1"/>
      <sheetData sheetId="1">
        <row r="3">
          <cell r="A3" t="str">
            <v>A</v>
          </cell>
          <cell r="B3" t="str">
            <v>Consolidated FTE</v>
          </cell>
          <cell r="C3" t="str">
            <v>000</v>
          </cell>
          <cell r="D3" t="str">
            <v>0000</v>
          </cell>
          <cell r="E3" t="str">
            <v>ALLFTEC</v>
          </cell>
          <cell r="F3">
            <v>0.44</v>
          </cell>
          <cell r="G3">
            <v>0.36</v>
          </cell>
          <cell r="H3">
            <v>0.17</v>
          </cell>
          <cell r="I3">
            <v>0.03</v>
          </cell>
        </row>
        <row r="4">
          <cell r="A4" t="str">
            <v>B</v>
          </cell>
          <cell r="B4" t="str">
            <v>Consolidated Common Equity</v>
          </cell>
          <cell r="C4" t="str">
            <v>000</v>
          </cell>
          <cell r="D4" t="str">
            <v>0000</v>
          </cell>
          <cell r="E4" t="str">
            <v>ALLCMEQ</v>
          </cell>
          <cell r="F4">
            <v>0.36</v>
          </cell>
          <cell r="G4">
            <v>0.42</v>
          </cell>
          <cell r="H4">
            <v>0.09</v>
          </cell>
          <cell r="I4">
            <v>0.13</v>
          </cell>
        </row>
        <row r="5">
          <cell r="A5" t="str">
            <v>C</v>
          </cell>
          <cell r="B5" t="str">
            <v>Consolidated Cost Centers</v>
          </cell>
          <cell r="C5" t="str">
            <v>000</v>
          </cell>
          <cell r="D5" t="str">
            <v>0000</v>
          </cell>
          <cell r="E5" t="str">
            <v>ALLCC_C</v>
          </cell>
          <cell r="F5">
            <v>0.49</v>
          </cell>
          <cell r="G5">
            <v>0.38</v>
          </cell>
          <cell r="H5">
            <v>0.09</v>
          </cell>
          <cell r="I5">
            <v>0.04</v>
          </cell>
        </row>
        <row r="6">
          <cell r="A6" t="str">
            <v>D</v>
          </cell>
          <cell r="B6" t="str">
            <v>Consolidated Payroll/Margin/CapX</v>
          </cell>
          <cell r="C6" t="str">
            <v>000</v>
          </cell>
          <cell r="D6" t="str">
            <v>0000</v>
          </cell>
          <cell r="E6" t="str">
            <v>ALLPMCC</v>
          </cell>
          <cell r="F6">
            <v>0.42</v>
          </cell>
          <cell r="G6">
            <v>0.31</v>
          </cell>
          <cell r="H6">
            <v>0.15</v>
          </cell>
          <cell r="I6">
            <v>0.12</v>
          </cell>
        </row>
        <row r="7">
          <cell r="A7" t="str">
            <v>E</v>
          </cell>
          <cell r="B7" t="str">
            <v>Consolidated Square Footage - OVS</v>
          </cell>
          <cell r="C7" t="str">
            <v>000</v>
          </cell>
          <cell r="D7" t="str">
            <v>0000</v>
          </cell>
          <cell r="E7" t="str">
            <v>ALLSQOC</v>
          </cell>
          <cell r="F7">
            <v>0.27</v>
          </cell>
          <cell r="G7">
            <v>0.35</v>
          </cell>
          <cell r="H7">
            <v>0.19</v>
          </cell>
          <cell r="I7">
            <v>0.19</v>
          </cell>
        </row>
        <row r="8">
          <cell r="A8" t="str">
            <v>F</v>
          </cell>
          <cell r="B8" t="str">
            <v>Consolidated Square Footage - SSC</v>
          </cell>
          <cell r="C8" t="str">
            <v>000</v>
          </cell>
          <cell r="D8" t="str">
            <v>0000</v>
          </cell>
          <cell r="E8" t="str">
            <v>ALLSQFT</v>
          </cell>
          <cell r="F8">
            <v>0.23</v>
          </cell>
          <cell r="G8">
            <v>0.49</v>
          </cell>
          <cell r="H8">
            <v>0.28000000000000003</v>
          </cell>
          <cell r="I8">
            <v>0</v>
          </cell>
        </row>
        <row r="9">
          <cell r="A9" t="str">
            <v>G</v>
          </cell>
          <cell r="B9" t="str">
            <v>Utility FTE</v>
          </cell>
          <cell r="C9" t="str">
            <v>000</v>
          </cell>
          <cell r="D9" t="str">
            <v>0000</v>
          </cell>
          <cell r="E9" t="str">
            <v>ALLFTEU</v>
          </cell>
          <cell r="F9">
            <v>0.45</v>
          </cell>
          <cell r="G9">
            <v>0.37</v>
          </cell>
          <cell r="H9">
            <v>0.18</v>
          </cell>
          <cell r="I9">
            <v>0</v>
          </cell>
        </row>
        <row r="10">
          <cell r="A10" t="str">
            <v>H</v>
          </cell>
          <cell r="B10" t="str">
            <v>Utility Customers</v>
          </cell>
          <cell r="C10" t="str">
            <v>000</v>
          </cell>
          <cell r="D10" t="str">
            <v>0000</v>
          </cell>
          <cell r="E10" t="str">
            <v>ALLCUST</v>
          </cell>
          <cell r="F10">
            <v>0.23</v>
          </cell>
          <cell r="G10">
            <v>0.49</v>
          </cell>
          <cell r="H10">
            <v>0.28000000000000003</v>
          </cell>
          <cell r="I10">
            <v>0</v>
          </cell>
        </row>
        <row r="11">
          <cell r="A11" t="str">
            <v>I</v>
          </cell>
          <cell r="B11" t="str">
            <v>Utility Cost Centers</v>
          </cell>
          <cell r="C11" t="str">
            <v>000</v>
          </cell>
          <cell r="D11" t="str">
            <v>0000</v>
          </cell>
          <cell r="E11" t="str">
            <v>ALLCC_U</v>
          </cell>
          <cell r="F11">
            <v>0.51</v>
          </cell>
          <cell r="G11">
            <v>0.4</v>
          </cell>
          <cell r="H11">
            <v>0.09</v>
          </cell>
          <cell r="I11">
            <v>0</v>
          </cell>
        </row>
        <row r="12">
          <cell r="A12" t="str">
            <v>J</v>
          </cell>
          <cell r="B12" t="str">
            <v>Utility Payroll/Margin/CapX</v>
          </cell>
          <cell r="C12" t="str">
            <v>000</v>
          </cell>
          <cell r="D12" t="str">
            <v>0000</v>
          </cell>
          <cell r="E12" t="str">
            <v>ALLPMCU</v>
          </cell>
          <cell r="F12">
            <v>0.48</v>
          </cell>
          <cell r="G12">
            <v>0.35</v>
          </cell>
          <cell r="H12">
            <v>0.17</v>
          </cell>
          <cell r="I12">
            <v>0</v>
          </cell>
        </row>
        <row r="13">
          <cell r="A13" t="str">
            <v>K</v>
          </cell>
          <cell r="B13" t="str">
            <v>Utility Plant Assets/CapX</v>
          </cell>
          <cell r="C13" t="str">
            <v>000</v>
          </cell>
          <cell r="D13" t="str">
            <v>0000</v>
          </cell>
          <cell r="E13" t="str">
            <v>ALLPLNT</v>
          </cell>
          <cell r="F13">
            <v>0.46</v>
          </cell>
          <cell r="G13">
            <v>0.4</v>
          </cell>
          <cell r="H13">
            <v>0.14000000000000001</v>
          </cell>
          <cell r="I13">
            <v>0</v>
          </cell>
        </row>
        <row r="15">
          <cell r="A15" t="str">
            <v>L</v>
          </cell>
          <cell r="B15" t="str">
            <v>SIG/IGC Gov't Affairs Payroll/Margin/CapX</v>
          </cell>
          <cell r="C15" t="str">
            <v>000</v>
          </cell>
          <cell r="D15" t="str">
            <v>0000</v>
          </cell>
          <cell r="E15" t="str">
            <v>ALLPMCX</v>
          </cell>
          <cell r="F15">
            <v>0.56999999999999995</v>
          </cell>
          <cell r="G15">
            <v>0.43</v>
          </cell>
          <cell r="H15">
            <v>0</v>
          </cell>
          <cell r="I15">
            <v>0</v>
          </cell>
        </row>
        <row r="17">
          <cell r="A17" t="str">
            <v>M</v>
          </cell>
          <cell r="B17" t="str">
            <v>Gas Customers</v>
          </cell>
          <cell r="C17" t="str">
            <v>400</v>
          </cell>
          <cell r="D17" t="str">
            <v>0000</v>
          </cell>
          <cell r="E17" t="str">
            <v>ALLCUST</v>
          </cell>
          <cell r="F17">
            <v>0.11</v>
          </cell>
          <cell r="G17">
            <v>0.56999999999999995</v>
          </cell>
          <cell r="H17">
            <v>0.32</v>
          </cell>
          <cell r="I17">
            <v>0</v>
          </cell>
        </row>
        <row r="18">
          <cell r="A18" t="str">
            <v>N</v>
          </cell>
          <cell r="B18" t="str">
            <v>Gas Plant Assets/CapX</v>
          </cell>
          <cell r="C18" t="str">
            <v>400</v>
          </cell>
          <cell r="D18" t="str">
            <v>0000</v>
          </cell>
          <cell r="E18" t="str">
            <v>ALLPLNT</v>
          </cell>
          <cell r="F18">
            <v>0.11</v>
          </cell>
          <cell r="G18">
            <v>0.66</v>
          </cell>
          <cell r="H18">
            <v>0.23</v>
          </cell>
          <cell r="I18">
            <v>0</v>
          </cell>
        </row>
        <row r="19">
          <cell r="A19" t="str">
            <v>O</v>
          </cell>
          <cell r="B19" t="str">
            <v>Gas IGC/VEDO Customers</v>
          </cell>
          <cell r="C19" t="str">
            <v>600</v>
          </cell>
          <cell r="D19" t="str">
            <v>0000</v>
          </cell>
          <cell r="E19" t="str">
            <v>ALLCUST</v>
          </cell>
          <cell r="F19">
            <v>0</v>
          </cell>
          <cell r="G19">
            <v>0.32</v>
          </cell>
          <cell r="H19">
            <v>0.68</v>
          </cell>
          <cell r="I19">
            <v>0</v>
          </cell>
        </row>
        <row r="21">
          <cell r="A21" t="str">
            <v>P</v>
          </cell>
          <cell r="B21" t="str">
            <v>Equal Split</v>
          </cell>
          <cell r="C21" t="str">
            <v>000</v>
          </cell>
          <cell r="D21" t="str">
            <v>0000</v>
          </cell>
          <cell r="E21">
            <v>0</v>
          </cell>
          <cell r="F21">
            <v>0.25</v>
          </cell>
          <cell r="G21">
            <v>0.25</v>
          </cell>
          <cell r="H21">
            <v>0.25</v>
          </cell>
          <cell r="I21">
            <v>0.25</v>
          </cell>
        </row>
        <row r="22">
          <cell r="A22" t="str">
            <v>Q</v>
          </cell>
          <cell r="B22" t="str">
            <v>All to SIG</v>
          </cell>
          <cell r="C22" t="str">
            <v>000</v>
          </cell>
          <cell r="D22" t="str">
            <v>0000</v>
          </cell>
          <cell r="E22">
            <v>0</v>
          </cell>
          <cell r="F22">
            <v>1</v>
          </cell>
          <cell r="G22">
            <v>0</v>
          </cell>
          <cell r="H22">
            <v>0</v>
          </cell>
          <cell r="I22">
            <v>0</v>
          </cell>
        </row>
        <row r="23">
          <cell r="A23" t="str">
            <v>R</v>
          </cell>
          <cell r="B23" t="str">
            <v>All to IGC</v>
          </cell>
          <cell r="C23" t="str">
            <v>000</v>
          </cell>
          <cell r="D23" t="str">
            <v>0000</v>
          </cell>
          <cell r="E23">
            <v>0</v>
          </cell>
          <cell r="F23">
            <v>0</v>
          </cell>
          <cell r="G23">
            <v>1</v>
          </cell>
          <cell r="H23">
            <v>0</v>
          </cell>
          <cell r="I23">
            <v>0</v>
          </cell>
        </row>
        <row r="24">
          <cell r="A24" t="str">
            <v>S</v>
          </cell>
          <cell r="B24" t="str">
            <v>All to VEDO</v>
          </cell>
          <cell r="C24" t="str">
            <v>000</v>
          </cell>
          <cell r="D24" t="str">
            <v>0000</v>
          </cell>
          <cell r="E24">
            <v>0</v>
          </cell>
          <cell r="F24">
            <v>0</v>
          </cell>
          <cell r="G24">
            <v>0</v>
          </cell>
          <cell r="H24">
            <v>1</v>
          </cell>
          <cell r="I24">
            <v>0</v>
          </cell>
        </row>
        <row r="25">
          <cell r="A25" t="str">
            <v>T</v>
          </cell>
          <cell r="B25" t="str">
            <v>Product 610</v>
          </cell>
          <cell r="C25" t="str">
            <v>000</v>
          </cell>
          <cell r="D25" t="str">
            <v>0000</v>
          </cell>
          <cell r="E25">
            <v>0</v>
          </cell>
          <cell r="F25">
            <v>0.15</v>
          </cell>
          <cell r="G25">
            <v>0.85</v>
          </cell>
          <cell r="H25">
            <v>0</v>
          </cell>
          <cell r="I25">
            <v>0</v>
          </cell>
        </row>
        <row r="26">
          <cell r="A26" t="str">
            <v>U</v>
          </cell>
          <cell r="B26" t="str">
            <v>Product 611</v>
          </cell>
          <cell r="C26" t="str">
            <v>000</v>
          </cell>
          <cell r="D26" t="str">
            <v>0000</v>
          </cell>
          <cell r="E26">
            <v>0</v>
          </cell>
          <cell r="F26">
            <v>0</v>
          </cell>
          <cell r="G26">
            <v>0.7</v>
          </cell>
          <cell r="H26">
            <v>0.3</v>
          </cell>
          <cell r="I26">
            <v>0</v>
          </cell>
        </row>
        <row r="27">
          <cell r="A27" t="str">
            <v>V</v>
          </cell>
          <cell r="B27" t="str">
            <v>Consolidated Customers</v>
          </cell>
          <cell r="C27" t="str">
            <v>000</v>
          </cell>
          <cell r="D27" t="str">
            <v>0000</v>
          </cell>
          <cell r="E27" t="str">
            <v>ALLCUSC</v>
          </cell>
          <cell r="F27">
            <v>0.2</v>
          </cell>
          <cell r="G27">
            <v>0.43</v>
          </cell>
          <cell r="H27">
            <v>0.24</v>
          </cell>
          <cell r="I27">
            <v>0.13</v>
          </cell>
        </row>
        <row r="28">
          <cell r="A28" t="str">
            <v>X</v>
          </cell>
          <cell r="B28" t="str">
            <v>Utility Common Equity</v>
          </cell>
          <cell r="C28" t="str">
            <v>000</v>
          </cell>
          <cell r="D28" t="str">
            <v>0000</v>
          </cell>
          <cell r="E28" t="str">
            <v>ALLCMEU</v>
          </cell>
          <cell r="F28">
            <v>0.42</v>
          </cell>
          <cell r="G28">
            <v>0.48</v>
          </cell>
          <cell r="H28">
            <v>0.1</v>
          </cell>
          <cell r="I28">
            <v>0</v>
          </cell>
        </row>
        <row r="30">
          <cell r="B30" t="str">
            <v>Gas/Elec Split Margin/Customer/CapX</v>
          </cell>
          <cell r="C30" t="str">
            <v>300</v>
          </cell>
          <cell r="D30" t="str">
            <v>4999</v>
          </cell>
          <cell r="E30" t="str">
            <v>ALLMARG</v>
          </cell>
          <cell r="F30">
            <v>0.76</v>
          </cell>
          <cell r="G30">
            <v>0</v>
          </cell>
          <cell r="H30">
            <v>0</v>
          </cell>
          <cell r="I30">
            <v>0</v>
          </cell>
        </row>
        <row r="31">
          <cell r="B31" t="str">
            <v>Gas/Elec Split Margin/Customer/CapX</v>
          </cell>
          <cell r="C31" t="str">
            <v>400</v>
          </cell>
          <cell r="D31" t="str">
            <v>4999</v>
          </cell>
          <cell r="E31" t="str">
            <v>ALLMARG</v>
          </cell>
          <cell r="F31">
            <v>0.24</v>
          </cell>
          <cell r="G31">
            <v>0</v>
          </cell>
          <cell r="H31">
            <v>0</v>
          </cell>
          <cell r="I31">
            <v>0</v>
          </cell>
        </row>
        <row r="32">
          <cell r="B32" t="str">
            <v>Gas/Elec Split Customers</v>
          </cell>
          <cell r="C32" t="str">
            <v>300</v>
          </cell>
          <cell r="D32" t="str">
            <v>4999</v>
          </cell>
          <cell r="E32" t="str">
            <v>ALLCUST</v>
          </cell>
          <cell r="F32">
            <v>0.56999999999999995</v>
          </cell>
          <cell r="G32">
            <v>0</v>
          </cell>
          <cell r="H32">
            <v>0</v>
          </cell>
          <cell r="I32">
            <v>0</v>
          </cell>
        </row>
        <row r="33">
          <cell r="B33" t="str">
            <v>Gas/Elec Split Customers</v>
          </cell>
          <cell r="C33" t="str">
            <v>400</v>
          </cell>
          <cell r="D33" t="str">
            <v>4999</v>
          </cell>
          <cell r="E33" t="str">
            <v>ALLCUST</v>
          </cell>
          <cell r="F33">
            <v>0.43</v>
          </cell>
          <cell r="G33">
            <v>0</v>
          </cell>
          <cell r="H33">
            <v>0</v>
          </cell>
          <cell r="I33">
            <v>0</v>
          </cell>
        </row>
        <row r="34">
          <cell r="B34" t="str">
            <v>Gas/Elec Split Plant Assets/CapX</v>
          </cell>
          <cell r="C34" t="str">
            <v>300</v>
          </cell>
          <cell r="D34" t="str">
            <v>4999</v>
          </cell>
          <cell r="E34" t="str">
            <v>ALLPLNT</v>
          </cell>
          <cell r="F34">
            <v>0.85</v>
          </cell>
          <cell r="G34">
            <v>0</v>
          </cell>
          <cell r="H34">
            <v>0</v>
          </cell>
          <cell r="I34">
            <v>0</v>
          </cell>
        </row>
        <row r="35">
          <cell r="B35" t="str">
            <v>Gas/Elec Split Plant Assets/CapX</v>
          </cell>
          <cell r="C35" t="str">
            <v>400</v>
          </cell>
          <cell r="D35" t="str">
            <v>4999</v>
          </cell>
          <cell r="E35" t="str">
            <v>ALLPLNT</v>
          </cell>
          <cell r="F35">
            <v>0.15</v>
          </cell>
          <cell r="G35">
            <v>0</v>
          </cell>
          <cell r="H35">
            <v>0</v>
          </cell>
          <cell r="I35">
            <v>0</v>
          </cell>
        </row>
        <row r="37">
          <cell r="B37" t="str">
            <v>FERC</v>
          </cell>
          <cell r="F37" t="str">
            <v>SIG ELECTRIC</v>
          </cell>
          <cell r="G37" t="str">
            <v>SIG Gas</v>
          </cell>
        </row>
        <row r="38">
          <cell r="A38">
            <v>1</v>
          </cell>
          <cell r="B38" t="str">
            <v>Gas/Elec Split Margin/Customer/CapX</v>
          </cell>
          <cell r="C38" t="str">
            <v>300/400</v>
          </cell>
          <cell r="D38" t="str">
            <v>4999</v>
          </cell>
          <cell r="E38" t="str">
            <v>ALLMARG</v>
          </cell>
          <cell r="F38">
            <v>0.76</v>
          </cell>
          <cell r="G38">
            <v>0.24</v>
          </cell>
          <cell r="H38">
            <v>0</v>
          </cell>
          <cell r="I38">
            <v>0</v>
          </cell>
        </row>
        <row r="39">
          <cell r="A39">
            <v>2</v>
          </cell>
          <cell r="B39" t="str">
            <v>Gas/Elec Split Customers</v>
          </cell>
          <cell r="C39" t="str">
            <v>300/400</v>
          </cell>
          <cell r="D39" t="str">
            <v>4999</v>
          </cell>
          <cell r="E39" t="str">
            <v>ALLCUST</v>
          </cell>
          <cell r="F39">
            <v>0.56999999999999995</v>
          </cell>
          <cell r="G39">
            <v>0.43</v>
          </cell>
          <cell r="H39">
            <v>0</v>
          </cell>
          <cell r="I39">
            <v>0</v>
          </cell>
        </row>
        <row r="40">
          <cell r="A40">
            <v>3</v>
          </cell>
          <cell r="B40" t="str">
            <v>Gas/Elec Split Plant Assets/CapX</v>
          </cell>
          <cell r="C40" t="str">
            <v>300/400</v>
          </cell>
          <cell r="D40" t="str">
            <v>4999</v>
          </cell>
          <cell r="E40" t="str">
            <v>ALLPLNT</v>
          </cell>
          <cell r="F40">
            <v>0.9</v>
          </cell>
          <cell r="G40">
            <v>0.1</v>
          </cell>
          <cell r="H40">
            <v>0</v>
          </cell>
          <cell r="I40">
            <v>0</v>
          </cell>
        </row>
        <row r="41">
          <cell r="A41">
            <v>4</v>
          </cell>
          <cell r="B41" t="str">
            <v>Gas/Elec All Electric</v>
          </cell>
          <cell r="C41" t="str">
            <v>000</v>
          </cell>
          <cell r="D41" t="str">
            <v>0000</v>
          </cell>
          <cell r="E41">
            <v>0</v>
          </cell>
          <cell r="F41">
            <v>1</v>
          </cell>
          <cell r="G41">
            <v>0</v>
          </cell>
          <cell r="H41">
            <v>0</v>
          </cell>
          <cell r="I41">
            <v>0</v>
          </cell>
        </row>
        <row r="42">
          <cell r="A42">
            <v>5</v>
          </cell>
          <cell r="B42" t="str">
            <v>Gas/Elec All Gas</v>
          </cell>
          <cell r="C42" t="str">
            <v>000</v>
          </cell>
          <cell r="D42" t="str">
            <v>0000</v>
          </cell>
          <cell r="E42">
            <v>0</v>
          </cell>
          <cell r="F42">
            <v>0</v>
          </cell>
          <cell r="G42">
            <v>1</v>
          </cell>
          <cell r="H42">
            <v>0</v>
          </cell>
          <cell r="I42">
            <v>0</v>
          </cell>
        </row>
        <row r="43">
          <cell r="A43">
            <v>6</v>
          </cell>
          <cell r="B43" t="str">
            <v>No Gas/Elec Split - IGC/VEDO</v>
          </cell>
          <cell r="C43" t="str">
            <v>000</v>
          </cell>
          <cell r="D43" t="str">
            <v>0000</v>
          </cell>
          <cell r="E43">
            <v>0</v>
          </cell>
          <cell r="F43">
            <v>0</v>
          </cell>
          <cell r="G43">
            <v>0</v>
          </cell>
          <cell r="H43">
            <v>0</v>
          </cell>
          <cell r="I43">
            <v>0</v>
          </cell>
        </row>
      </sheetData>
      <sheetData sheetId="2">
        <row r="2">
          <cell r="A2" t="str">
            <v>592000431</v>
          </cell>
          <cell r="B2">
            <v>59</v>
          </cell>
          <cell r="C2">
            <v>200</v>
          </cell>
          <cell r="D2" t="str">
            <v>0431</v>
          </cell>
          <cell r="E2" t="str">
            <v>Q</v>
          </cell>
          <cell r="F2">
            <v>4</v>
          </cell>
        </row>
        <row r="3">
          <cell r="A3" t="str">
            <v>593000431</v>
          </cell>
          <cell r="B3">
            <v>59</v>
          </cell>
          <cell r="C3">
            <v>300</v>
          </cell>
          <cell r="D3" t="str">
            <v>0431</v>
          </cell>
          <cell r="E3" t="str">
            <v>Q</v>
          </cell>
          <cell r="F3">
            <v>4</v>
          </cell>
        </row>
        <row r="4">
          <cell r="A4" t="str">
            <v>595000431</v>
          </cell>
          <cell r="B4">
            <v>59</v>
          </cell>
          <cell r="C4">
            <v>500</v>
          </cell>
          <cell r="D4" t="str">
            <v>0431</v>
          </cell>
          <cell r="E4" t="str">
            <v>D</v>
          </cell>
          <cell r="F4">
            <v>1</v>
          </cell>
        </row>
        <row r="5">
          <cell r="A5" t="str">
            <v>595010431</v>
          </cell>
          <cell r="B5">
            <v>59</v>
          </cell>
          <cell r="C5">
            <v>501</v>
          </cell>
          <cell r="D5" t="str">
            <v>0431</v>
          </cell>
          <cell r="E5" t="str">
            <v>Q</v>
          </cell>
          <cell r="F5">
            <v>1</v>
          </cell>
        </row>
        <row r="6">
          <cell r="A6" t="str">
            <v>596010431</v>
          </cell>
          <cell r="B6">
            <v>59</v>
          </cell>
          <cell r="C6">
            <v>601</v>
          </cell>
          <cell r="D6" t="str">
            <v>0431</v>
          </cell>
          <cell r="E6" t="str">
            <v>Q</v>
          </cell>
          <cell r="F6">
            <v>5</v>
          </cell>
        </row>
        <row r="7">
          <cell r="A7" t="str">
            <v>596020431</v>
          </cell>
          <cell r="B7">
            <v>59</v>
          </cell>
          <cell r="C7">
            <v>602</v>
          </cell>
          <cell r="D7" t="str">
            <v>0431</v>
          </cell>
          <cell r="E7" t="str">
            <v>R</v>
          </cell>
          <cell r="F7">
            <v>6</v>
          </cell>
        </row>
        <row r="8">
          <cell r="A8" t="str">
            <v>596030431</v>
          </cell>
          <cell r="B8">
            <v>59</v>
          </cell>
          <cell r="C8">
            <v>603</v>
          </cell>
          <cell r="D8" t="str">
            <v>0431</v>
          </cell>
          <cell r="E8" t="str">
            <v>S</v>
          </cell>
          <cell r="F8">
            <v>6</v>
          </cell>
        </row>
        <row r="9">
          <cell r="A9" t="str">
            <v>592000433</v>
          </cell>
          <cell r="B9">
            <v>59</v>
          </cell>
          <cell r="C9">
            <v>200</v>
          </cell>
          <cell r="D9" t="str">
            <v>0433</v>
          </cell>
          <cell r="E9" t="str">
            <v>Q</v>
          </cell>
          <cell r="F9">
            <v>4</v>
          </cell>
        </row>
        <row r="10">
          <cell r="A10" t="str">
            <v>593000433</v>
          </cell>
          <cell r="B10">
            <v>59</v>
          </cell>
          <cell r="C10">
            <v>300</v>
          </cell>
          <cell r="D10" t="str">
            <v>0433</v>
          </cell>
          <cell r="E10" t="str">
            <v>Q</v>
          </cell>
          <cell r="F10">
            <v>4</v>
          </cell>
        </row>
        <row r="11">
          <cell r="A11" t="str">
            <v>595000433</v>
          </cell>
          <cell r="B11">
            <v>59</v>
          </cell>
          <cell r="C11">
            <v>500</v>
          </cell>
          <cell r="D11" t="str">
            <v>0433</v>
          </cell>
          <cell r="E11" t="str">
            <v>D</v>
          </cell>
          <cell r="F11">
            <v>1</v>
          </cell>
        </row>
        <row r="12">
          <cell r="A12" t="str">
            <v>595010433</v>
          </cell>
          <cell r="B12">
            <v>59</v>
          </cell>
          <cell r="C12">
            <v>501</v>
          </cell>
          <cell r="D12" t="str">
            <v>0433</v>
          </cell>
          <cell r="E12" t="str">
            <v>Q</v>
          </cell>
          <cell r="F12">
            <v>1</v>
          </cell>
        </row>
        <row r="13">
          <cell r="A13" t="str">
            <v>596010433</v>
          </cell>
          <cell r="B13">
            <v>59</v>
          </cell>
          <cell r="C13">
            <v>601</v>
          </cell>
          <cell r="D13" t="str">
            <v>0433</v>
          </cell>
          <cell r="E13" t="str">
            <v>Q</v>
          </cell>
          <cell r="F13">
            <v>5</v>
          </cell>
        </row>
        <row r="14">
          <cell r="A14" t="str">
            <v>596020433</v>
          </cell>
          <cell r="B14">
            <v>59</v>
          </cell>
          <cell r="C14">
            <v>602</v>
          </cell>
          <cell r="D14" t="str">
            <v>0433</v>
          </cell>
          <cell r="E14" t="str">
            <v>R</v>
          </cell>
          <cell r="F14">
            <v>6</v>
          </cell>
        </row>
        <row r="15">
          <cell r="A15" t="str">
            <v>596030433</v>
          </cell>
          <cell r="B15">
            <v>59</v>
          </cell>
          <cell r="C15">
            <v>603</v>
          </cell>
          <cell r="D15" t="str">
            <v>0433</v>
          </cell>
          <cell r="E15" t="str">
            <v>S</v>
          </cell>
          <cell r="F15">
            <v>6</v>
          </cell>
        </row>
        <row r="16">
          <cell r="A16" t="str">
            <v>092000431</v>
          </cell>
          <cell r="B16" t="str">
            <v>09</v>
          </cell>
          <cell r="C16">
            <v>200</v>
          </cell>
          <cell r="D16" t="str">
            <v>0431</v>
          </cell>
          <cell r="E16" t="str">
            <v>Q</v>
          </cell>
          <cell r="F16">
            <v>4</v>
          </cell>
        </row>
        <row r="17">
          <cell r="A17" t="str">
            <v>093000431</v>
          </cell>
          <cell r="B17" t="str">
            <v>09</v>
          </cell>
          <cell r="C17">
            <v>300</v>
          </cell>
          <cell r="D17" t="str">
            <v>0431</v>
          </cell>
          <cell r="E17" t="str">
            <v>Q</v>
          </cell>
          <cell r="F17">
            <v>4</v>
          </cell>
        </row>
        <row r="18">
          <cell r="A18" t="str">
            <v>095000431</v>
          </cell>
          <cell r="B18" t="str">
            <v>09</v>
          </cell>
          <cell r="C18">
            <v>500</v>
          </cell>
          <cell r="D18" t="str">
            <v>0431</v>
          </cell>
          <cell r="E18" t="str">
            <v>D</v>
          </cell>
          <cell r="F18">
            <v>1</v>
          </cell>
        </row>
        <row r="19">
          <cell r="A19" t="str">
            <v>095010431</v>
          </cell>
          <cell r="B19" t="str">
            <v>09</v>
          </cell>
          <cell r="C19">
            <v>501</v>
          </cell>
          <cell r="D19" t="str">
            <v>0431</v>
          </cell>
          <cell r="E19" t="str">
            <v>Q</v>
          </cell>
          <cell r="F19">
            <v>1</v>
          </cell>
        </row>
        <row r="20">
          <cell r="A20" t="str">
            <v>096010431</v>
          </cell>
          <cell r="B20" t="str">
            <v>09</v>
          </cell>
          <cell r="C20">
            <v>601</v>
          </cell>
          <cell r="D20" t="str">
            <v>0431</v>
          </cell>
          <cell r="E20" t="str">
            <v>Q</v>
          </cell>
          <cell r="F20">
            <v>5</v>
          </cell>
        </row>
        <row r="21">
          <cell r="A21" t="str">
            <v>096020431</v>
          </cell>
          <cell r="B21" t="str">
            <v>09</v>
          </cell>
          <cell r="C21">
            <v>602</v>
          </cell>
          <cell r="D21" t="str">
            <v>0431</v>
          </cell>
          <cell r="E21" t="str">
            <v>R</v>
          </cell>
          <cell r="F21">
            <v>6</v>
          </cell>
        </row>
        <row r="22">
          <cell r="A22" t="str">
            <v>096030431</v>
          </cell>
          <cell r="B22" t="str">
            <v>09</v>
          </cell>
          <cell r="C22">
            <v>603</v>
          </cell>
          <cell r="D22" t="str">
            <v>0431</v>
          </cell>
          <cell r="E22" t="str">
            <v>S</v>
          </cell>
          <cell r="F22">
            <v>6</v>
          </cell>
        </row>
        <row r="23">
          <cell r="A23" t="str">
            <v>992000431</v>
          </cell>
          <cell r="B23" t="str">
            <v>99</v>
          </cell>
          <cell r="C23">
            <v>200</v>
          </cell>
          <cell r="D23" t="str">
            <v>0431</v>
          </cell>
          <cell r="E23" t="str">
            <v>Q</v>
          </cell>
          <cell r="F23">
            <v>4</v>
          </cell>
        </row>
        <row r="24">
          <cell r="A24" t="str">
            <v>993000431</v>
          </cell>
          <cell r="B24" t="str">
            <v>99</v>
          </cell>
          <cell r="C24">
            <v>300</v>
          </cell>
          <cell r="D24" t="str">
            <v>0431</v>
          </cell>
          <cell r="E24" t="str">
            <v>Q</v>
          </cell>
          <cell r="F24">
            <v>4</v>
          </cell>
        </row>
        <row r="25">
          <cell r="A25" t="str">
            <v>995000431</v>
          </cell>
          <cell r="B25" t="str">
            <v>99</v>
          </cell>
          <cell r="C25">
            <v>500</v>
          </cell>
          <cell r="D25" t="str">
            <v>0431</v>
          </cell>
          <cell r="E25" t="str">
            <v>D</v>
          </cell>
          <cell r="F25">
            <v>1</v>
          </cell>
        </row>
        <row r="26">
          <cell r="A26" t="str">
            <v>996010431</v>
          </cell>
          <cell r="B26" t="str">
            <v>99</v>
          </cell>
          <cell r="C26">
            <v>601</v>
          </cell>
          <cell r="D26" t="str">
            <v>0431</v>
          </cell>
          <cell r="E26" t="str">
            <v>Q</v>
          </cell>
          <cell r="F26">
            <v>5</v>
          </cell>
        </row>
        <row r="27">
          <cell r="A27" t="str">
            <v>996020431</v>
          </cell>
          <cell r="B27" t="str">
            <v>99</v>
          </cell>
          <cell r="C27">
            <v>602</v>
          </cell>
          <cell r="D27" t="str">
            <v>0431</v>
          </cell>
          <cell r="E27" t="str">
            <v>R</v>
          </cell>
          <cell r="F27">
            <v>6</v>
          </cell>
        </row>
        <row r="28">
          <cell r="A28" t="str">
            <v>996030431</v>
          </cell>
          <cell r="B28" t="str">
            <v>99</v>
          </cell>
          <cell r="C28">
            <v>603</v>
          </cell>
          <cell r="D28" t="str">
            <v>0431</v>
          </cell>
          <cell r="E28" t="str">
            <v>S</v>
          </cell>
          <cell r="F28">
            <v>6</v>
          </cell>
        </row>
        <row r="29">
          <cell r="A29" t="str">
            <v>092000430</v>
          </cell>
          <cell r="B29" t="str">
            <v>09</v>
          </cell>
          <cell r="C29">
            <v>200</v>
          </cell>
          <cell r="D29" t="str">
            <v>0430</v>
          </cell>
          <cell r="E29" t="str">
            <v>Q</v>
          </cell>
          <cell r="F29">
            <v>4</v>
          </cell>
        </row>
        <row r="30">
          <cell r="A30" t="str">
            <v>093000430</v>
          </cell>
          <cell r="B30" t="str">
            <v>09</v>
          </cell>
          <cell r="C30">
            <v>300</v>
          </cell>
          <cell r="D30" t="str">
            <v>0430</v>
          </cell>
          <cell r="E30" t="str">
            <v>Q</v>
          </cell>
          <cell r="F30">
            <v>4</v>
          </cell>
        </row>
        <row r="31">
          <cell r="A31" t="str">
            <v>095010430</v>
          </cell>
          <cell r="B31" t="str">
            <v>09</v>
          </cell>
          <cell r="C31">
            <v>501</v>
          </cell>
          <cell r="D31" t="str">
            <v>0430</v>
          </cell>
          <cell r="E31" t="str">
            <v>Q</v>
          </cell>
          <cell r="F31">
            <v>1</v>
          </cell>
        </row>
        <row r="32">
          <cell r="A32" t="str">
            <v>096010430</v>
          </cell>
          <cell r="B32" t="str">
            <v>09</v>
          </cell>
          <cell r="C32">
            <v>601</v>
          </cell>
          <cell r="D32" t="str">
            <v>0430</v>
          </cell>
          <cell r="E32" t="str">
            <v>Q</v>
          </cell>
          <cell r="F32">
            <v>5</v>
          </cell>
        </row>
        <row r="33">
          <cell r="A33" t="str">
            <v>096020430</v>
          </cell>
          <cell r="B33" t="str">
            <v>09</v>
          </cell>
          <cell r="C33">
            <v>602</v>
          </cell>
          <cell r="D33" t="str">
            <v>0430</v>
          </cell>
          <cell r="E33" t="str">
            <v>R</v>
          </cell>
          <cell r="F33">
            <v>6</v>
          </cell>
        </row>
        <row r="34">
          <cell r="A34" t="str">
            <v>096030430</v>
          </cell>
          <cell r="B34" t="str">
            <v>09</v>
          </cell>
          <cell r="C34">
            <v>603</v>
          </cell>
          <cell r="D34" t="str">
            <v>0430</v>
          </cell>
          <cell r="E34" t="str">
            <v>S</v>
          </cell>
          <cell r="F34">
            <v>6</v>
          </cell>
        </row>
        <row r="35">
          <cell r="A35" t="str">
            <v>992000430</v>
          </cell>
          <cell r="B35" t="str">
            <v>99</v>
          </cell>
          <cell r="C35">
            <v>200</v>
          </cell>
          <cell r="D35" t="str">
            <v>0430</v>
          </cell>
          <cell r="E35" t="str">
            <v>Q</v>
          </cell>
          <cell r="F35">
            <v>4</v>
          </cell>
        </row>
        <row r="36">
          <cell r="A36" t="str">
            <v>993000430</v>
          </cell>
          <cell r="B36" t="str">
            <v>99</v>
          </cell>
          <cell r="C36">
            <v>300</v>
          </cell>
          <cell r="D36" t="str">
            <v>0430</v>
          </cell>
          <cell r="E36" t="str">
            <v>Q</v>
          </cell>
          <cell r="F36">
            <v>4</v>
          </cell>
        </row>
        <row r="37">
          <cell r="A37" t="str">
            <v>996010430</v>
          </cell>
          <cell r="B37" t="str">
            <v>99</v>
          </cell>
          <cell r="C37">
            <v>601</v>
          </cell>
          <cell r="D37" t="str">
            <v>0430</v>
          </cell>
          <cell r="E37" t="str">
            <v>Q</v>
          </cell>
          <cell r="F37">
            <v>5</v>
          </cell>
        </row>
        <row r="38">
          <cell r="A38" t="str">
            <v>996020430</v>
          </cell>
          <cell r="B38" t="str">
            <v>99</v>
          </cell>
          <cell r="C38">
            <v>602</v>
          </cell>
          <cell r="D38" t="str">
            <v>0430</v>
          </cell>
          <cell r="E38" t="str">
            <v>R</v>
          </cell>
          <cell r="F38">
            <v>6</v>
          </cell>
        </row>
        <row r="39">
          <cell r="A39" t="str">
            <v>996030430</v>
          </cell>
          <cell r="B39" t="str">
            <v>99</v>
          </cell>
          <cell r="C39">
            <v>603</v>
          </cell>
          <cell r="D39" t="str">
            <v>0430</v>
          </cell>
          <cell r="E39" t="str">
            <v>S</v>
          </cell>
          <cell r="F39">
            <v>6</v>
          </cell>
        </row>
        <row r="40">
          <cell r="A40" t="str">
            <v>992000433</v>
          </cell>
          <cell r="B40">
            <v>99</v>
          </cell>
          <cell r="C40">
            <v>200</v>
          </cell>
          <cell r="D40" t="str">
            <v>0433</v>
          </cell>
          <cell r="E40" t="str">
            <v>Q</v>
          </cell>
          <cell r="F40">
            <v>4</v>
          </cell>
        </row>
        <row r="41">
          <cell r="A41" t="str">
            <v>993000433</v>
          </cell>
          <cell r="B41">
            <v>99</v>
          </cell>
          <cell r="C41">
            <v>300</v>
          </cell>
          <cell r="D41" t="str">
            <v>0433</v>
          </cell>
          <cell r="E41" t="str">
            <v>Q</v>
          </cell>
          <cell r="F41">
            <v>4</v>
          </cell>
        </row>
        <row r="42">
          <cell r="A42" t="str">
            <v>995000433</v>
          </cell>
          <cell r="B42">
            <v>99</v>
          </cell>
          <cell r="C42">
            <v>500</v>
          </cell>
          <cell r="D42" t="str">
            <v>0433</v>
          </cell>
          <cell r="E42" t="str">
            <v>D</v>
          </cell>
          <cell r="F42">
            <v>1</v>
          </cell>
        </row>
        <row r="43">
          <cell r="A43" t="str">
            <v>995010433</v>
          </cell>
          <cell r="B43">
            <v>99</v>
          </cell>
          <cell r="C43">
            <v>501</v>
          </cell>
          <cell r="D43" t="str">
            <v>0433</v>
          </cell>
          <cell r="E43" t="str">
            <v>Q</v>
          </cell>
          <cell r="F43">
            <v>1</v>
          </cell>
        </row>
        <row r="44">
          <cell r="A44" t="str">
            <v>996010433</v>
          </cell>
          <cell r="B44">
            <v>99</v>
          </cell>
          <cell r="C44">
            <v>601</v>
          </cell>
          <cell r="D44" t="str">
            <v>0433</v>
          </cell>
          <cell r="E44" t="str">
            <v>Q</v>
          </cell>
          <cell r="F44">
            <v>5</v>
          </cell>
        </row>
        <row r="45">
          <cell r="A45" t="str">
            <v>996020433</v>
          </cell>
          <cell r="B45">
            <v>99</v>
          </cell>
          <cell r="C45">
            <v>602</v>
          </cell>
          <cell r="D45" t="str">
            <v>0433</v>
          </cell>
          <cell r="E45" t="str">
            <v>R</v>
          </cell>
          <cell r="F45">
            <v>6</v>
          </cell>
        </row>
        <row r="46">
          <cell r="A46" t="str">
            <v>996030433</v>
          </cell>
          <cell r="B46">
            <v>99</v>
          </cell>
          <cell r="C46">
            <v>603</v>
          </cell>
          <cell r="D46" t="str">
            <v>0433</v>
          </cell>
          <cell r="E46" t="str">
            <v>S</v>
          </cell>
          <cell r="F46">
            <v>6</v>
          </cell>
        </row>
        <row r="47">
          <cell r="A47" t="str">
            <v>092000433</v>
          </cell>
          <cell r="B47" t="str">
            <v>09</v>
          </cell>
          <cell r="C47">
            <v>200</v>
          </cell>
          <cell r="D47" t="str">
            <v>0433</v>
          </cell>
          <cell r="E47" t="str">
            <v>Q</v>
          </cell>
          <cell r="F47">
            <v>4</v>
          </cell>
        </row>
        <row r="48">
          <cell r="A48" t="str">
            <v>093000433</v>
          </cell>
          <cell r="B48" t="str">
            <v>09</v>
          </cell>
          <cell r="C48">
            <v>300</v>
          </cell>
          <cell r="D48" t="str">
            <v>0433</v>
          </cell>
          <cell r="E48" t="str">
            <v>Q</v>
          </cell>
          <cell r="F48">
            <v>4</v>
          </cell>
        </row>
        <row r="49">
          <cell r="A49" t="str">
            <v>095000433</v>
          </cell>
          <cell r="B49" t="str">
            <v>09</v>
          </cell>
          <cell r="C49">
            <v>500</v>
          </cell>
          <cell r="D49" t="str">
            <v>0433</v>
          </cell>
          <cell r="E49" t="str">
            <v>D</v>
          </cell>
          <cell r="F49">
            <v>1</v>
          </cell>
        </row>
        <row r="50">
          <cell r="A50" t="str">
            <v>095010433</v>
          </cell>
          <cell r="B50" t="str">
            <v>09</v>
          </cell>
          <cell r="C50">
            <v>501</v>
          </cell>
          <cell r="D50" t="str">
            <v>0433</v>
          </cell>
          <cell r="E50" t="str">
            <v>Q</v>
          </cell>
          <cell r="F50">
            <v>1</v>
          </cell>
        </row>
        <row r="51">
          <cell r="A51" t="str">
            <v>096010433</v>
          </cell>
          <cell r="B51" t="str">
            <v>09</v>
          </cell>
          <cell r="C51">
            <v>601</v>
          </cell>
          <cell r="D51" t="str">
            <v>0433</v>
          </cell>
          <cell r="E51" t="str">
            <v>Q</v>
          </cell>
          <cell r="F51">
            <v>5</v>
          </cell>
        </row>
        <row r="52">
          <cell r="A52" t="str">
            <v>096020433</v>
          </cell>
          <cell r="B52" t="str">
            <v>09</v>
          </cell>
          <cell r="C52">
            <v>602</v>
          </cell>
          <cell r="D52" t="str">
            <v>0433</v>
          </cell>
          <cell r="E52" t="str">
            <v>R</v>
          </cell>
          <cell r="F52">
            <v>6</v>
          </cell>
        </row>
        <row r="53">
          <cell r="A53" t="str">
            <v>096030433</v>
          </cell>
          <cell r="B53" t="str">
            <v>09</v>
          </cell>
          <cell r="C53">
            <v>603</v>
          </cell>
          <cell r="D53" t="str">
            <v>0433</v>
          </cell>
          <cell r="E53" t="str">
            <v>S</v>
          </cell>
          <cell r="F53">
            <v>6</v>
          </cell>
        </row>
        <row r="54">
          <cell r="A54" t="str">
            <v>992000461</v>
          </cell>
          <cell r="B54">
            <v>99</v>
          </cell>
          <cell r="C54">
            <v>200</v>
          </cell>
          <cell r="D54" t="str">
            <v>0461</v>
          </cell>
          <cell r="E54" t="str">
            <v>Q</v>
          </cell>
          <cell r="F54">
            <v>4</v>
          </cell>
        </row>
        <row r="55">
          <cell r="A55" t="str">
            <v>993000461</v>
          </cell>
          <cell r="B55">
            <v>99</v>
          </cell>
          <cell r="C55">
            <v>300</v>
          </cell>
          <cell r="D55" t="str">
            <v>0461</v>
          </cell>
          <cell r="E55" t="str">
            <v>Q</v>
          </cell>
          <cell r="F55">
            <v>4</v>
          </cell>
        </row>
        <row r="56">
          <cell r="A56" t="str">
            <v>994000461</v>
          </cell>
          <cell r="B56">
            <v>99</v>
          </cell>
          <cell r="C56">
            <v>400</v>
          </cell>
          <cell r="D56" t="str">
            <v>0461</v>
          </cell>
          <cell r="E56" t="str">
            <v>M</v>
          </cell>
          <cell r="F56">
            <v>5</v>
          </cell>
        </row>
        <row r="57">
          <cell r="A57" t="str">
            <v>995000461</v>
          </cell>
          <cell r="B57">
            <v>99</v>
          </cell>
          <cell r="C57">
            <v>500</v>
          </cell>
          <cell r="D57" t="str">
            <v>0461</v>
          </cell>
          <cell r="E57" t="str">
            <v>O</v>
          </cell>
          <cell r="F57">
            <v>6</v>
          </cell>
        </row>
        <row r="58">
          <cell r="A58" t="str">
            <v>995010461</v>
          </cell>
          <cell r="B58">
            <v>99</v>
          </cell>
          <cell r="C58">
            <v>501</v>
          </cell>
          <cell r="D58" t="str">
            <v>0461</v>
          </cell>
          <cell r="E58" t="str">
            <v>Q</v>
          </cell>
          <cell r="F58">
            <v>2</v>
          </cell>
        </row>
        <row r="59">
          <cell r="A59" t="str">
            <v>996000461</v>
          </cell>
          <cell r="B59">
            <v>99</v>
          </cell>
          <cell r="C59">
            <v>600</v>
          </cell>
          <cell r="D59" t="str">
            <v>0461</v>
          </cell>
          <cell r="E59" t="str">
            <v>O</v>
          </cell>
          <cell r="F59">
            <v>5</v>
          </cell>
        </row>
        <row r="60">
          <cell r="A60" t="str">
            <v>996010461</v>
          </cell>
          <cell r="B60">
            <v>99</v>
          </cell>
          <cell r="C60">
            <v>601</v>
          </cell>
          <cell r="D60" t="str">
            <v>0461</v>
          </cell>
          <cell r="E60" t="str">
            <v>Q</v>
          </cell>
          <cell r="F60">
            <v>5</v>
          </cell>
        </row>
        <row r="61">
          <cell r="A61" t="str">
            <v>996020461</v>
          </cell>
          <cell r="B61">
            <v>99</v>
          </cell>
          <cell r="C61">
            <v>602</v>
          </cell>
          <cell r="D61" t="str">
            <v>0461</v>
          </cell>
          <cell r="E61" t="str">
            <v>R</v>
          </cell>
          <cell r="F61">
            <v>6</v>
          </cell>
        </row>
        <row r="62">
          <cell r="A62" t="str">
            <v>996030461</v>
          </cell>
          <cell r="B62">
            <v>99</v>
          </cell>
          <cell r="C62">
            <v>603</v>
          </cell>
          <cell r="D62" t="str">
            <v>0461</v>
          </cell>
          <cell r="E62" t="str">
            <v>S</v>
          </cell>
          <cell r="F62">
            <v>6</v>
          </cell>
        </row>
        <row r="63">
          <cell r="A63" t="str">
            <v>092000461</v>
          </cell>
          <cell r="B63" t="str">
            <v>09</v>
          </cell>
          <cell r="C63">
            <v>200</v>
          </cell>
          <cell r="D63" t="str">
            <v>0461</v>
          </cell>
          <cell r="E63" t="str">
            <v>Q</v>
          </cell>
          <cell r="F63">
            <v>4</v>
          </cell>
        </row>
        <row r="64">
          <cell r="A64" t="str">
            <v>093000461</v>
          </cell>
          <cell r="B64" t="str">
            <v>09</v>
          </cell>
          <cell r="C64">
            <v>300</v>
          </cell>
          <cell r="D64" t="str">
            <v>0461</v>
          </cell>
          <cell r="E64" t="str">
            <v>Q</v>
          </cell>
          <cell r="F64">
            <v>4</v>
          </cell>
        </row>
        <row r="65">
          <cell r="A65" t="str">
            <v>094000461</v>
          </cell>
          <cell r="B65" t="str">
            <v>09</v>
          </cell>
          <cell r="C65">
            <v>400</v>
          </cell>
          <cell r="D65" t="str">
            <v>0461</v>
          </cell>
          <cell r="E65" t="str">
            <v>M</v>
          </cell>
          <cell r="F65">
            <v>5</v>
          </cell>
        </row>
        <row r="66">
          <cell r="A66" t="str">
            <v>095000461</v>
          </cell>
          <cell r="B66" t="str">
            <v>09</v>
          </cell>
          <cell r="C66">
            <v>500</v>
          </cell>
          <cell r="D66" t="str">
            <v>0461</v>
          </cell>
          <cell r="E66" t="str">
            <v>O</v>
          </cell>
          <cell r="F66">
            <v>6</v>
          </cell>
        </row>
        <row r="67">
          <cell r="A67" t="str">
            <v>095010461</v>
          </cell>
          <cell r="B67" t="str">
            <v>09</v>
          </cell>
          <cell r="C67">
            <v>501</v>
          </cell>
          <cell r="D67" t="str">
            <v>0461</v>
          </cell>
          <cell r="E67" t="str">
            <v>Q</v>
          </cell>
          <cell r="F67">
            <v>2</v>
          </cell>
        </row>
        <row r="68">
          <cell r="A68" t="str">
            <v>096000461</v>
          </cell>
          <cell r="B68" t="str">
            <v>09</v>
          </cell>
          <cell r="C68">
            <v>600</v>
          </cell>
          <cell r="D68" t="str">
            <v>0461</v>
          </cell>
          <cell r="E68" t="str">
            <v>O</v>
          </cell>
          <cell r="F68">
            <v>5</v>
          </cell>
        </row>
        <row r="69">
          <cell r="A69" t="str">
            <v>096010461</v>
          </cell>
          <cell r="B69" t="str">
            <v>09</v>
          </cell>
          <cell r="C69">
            <v>601</v>
          </cell>
          <cell r="D69" t="str">
            <v>0461</v>
          </cell>
          <cell r="E69" t="str">
            <v>Q</v>
          </cell>
          <cell r="F69">
            <v>5</v>
          </cell>
        </row>
        <row r="70">
          <cell r="A70" t="str">
            <v>096020461</v>
          </cell>
          <cell r="B70" t="str">
            <v>09</v>
          </cell>
          <cell r="C70">
            <v>602</v>
          </cell>
          <cell r="D70" t="str">
            <v>0461</v>
          </cell>
          <cell r="E70" t="str">
            <v>R</v>
          </cell>
          <cell r="F70">
            <v>6</v>
          </cell>
        </row>
        <row r="71">
          <cell r="A71" t="str">
            <v>096030461</v>
          </cell>
          <cell r="B71" t="str">
            <v>09</v>
          </cell>
          <cell r="C71">
            <v>603</v>
          </cell>
          <cell r="D71" t="str">
            <v>0461</v>
          </cell>
          <cell r="E71" t="str">
            <v>S</v>
          </cell>
          <cell r="F71">
            <v>6</v>
          </cell>
        </row>
        <row r="72">
          <cell r="A72" t="str">
            <v>992000500</v>
          </cell>
          <cell r="B72">
            <v>99</v>
          </cell>
          <cell r="C72">
            <v>200</v>
          </cell>
          <cell r="D72" t="str">
            <v>0500</v>
          </cell>
          <cell r="E72" t="str">
            <v>Q</v>
          </cell>
          <cell r="F72">
            <v>4</v>
          </cell>
        </row>
        <row r="73">
          <cell r="A73" t="str">
            <v>993000500</v>
          </cell>
          <cell r="B73">
            <v>99</v>
          </cell>
          <cell r="C73">
            <v>300</v>
          </cell>
          <cell r="D73" t="str">
            <v>0500</v>
          </cell>
          <cell r="E73" t="str">
            <v>Q</v>
          </cell>
          <cell r="F73">
            <v>4</v>
          </cell>
        </row>
        <row r="74">
          <cell r="A74" t="str">
            <v>995000500</v>
          </cell>
          <cell r="B74">
            <v>99</v>
          </cell>
          <cell r="C74">
            <v>500</v>
          </cell>
          <cell r="D74" t="str">
            <v>0500</v>
          </cell>
          <cell r="E74" t="str">
            <v>D</v>
          </cell>
          <cell r="F74">
            <v>1</v>
          </cell>
        </row>
        <row r="75">
          <cell r="A75" t="str">
            <v>995010500</v>
          </cell>
          <cell r="B75">
            <v>99</v>
          </cell>
          <cell r="C75">
            <v>501</v>
          </cell>
          <cell r="D75" t="str">
            <v>0500</v>
          </cell>
          <cell r="E75" t="str">
            <v>Q</v>
          </cell>
          <cell r="F75">
            <v>1</v>
          </cell>
        </row>
        <row r="76">
          <cell r="A76" t="str">
            <v>996010500</v>
          </cell>
          <cell r="B76">
            <v>99</v>
          </cell>
          <cell r="C76">
            <v>601</v>
          </cell>
          <cell r="D76" t="str">
            <v>0500</v>
          </cell>
          <cell r="E76" t="str">
            <v>Q</v>
          </cell>
          <cell r="F76">
            <v>5</v>
          </cell>
        </row>
        <row r="77">
          <cell r="A77" t="str">
            <v>996020500</v>
          </cell>
          <cell r="B77">
            <v>99</v>
          </cell>
          <cell r="C77">
            <v>602</v>
          </cell>
          <cell r="D77" t="str">
            <v>0500</v>
          </cell>
          <cell r="E77" t="str">
            <v>R</v>
          </cell>
          <cell r="F77">
            <v>6</v>
          </cell>
        </row>
        <row r="78">
          <cell r="A78" t="str">
            <v>996030500</v>
          </cell>
          <cell r="B78">
            <v>99</v>
          </cell>
          <cell r="C78">
            <v>603</v>
          </cell>
          <cell r="D78" t="str">
            <v>0500</v>
          </cell>
          <cell r="E78" t="str">
            <v>S</v>
          </cell>
          <cell r="F78">
            <v>6</v>
          </cell>
        </row>
        <row r="79">
          <cell r="A79" t="str">
            <v>092000500</v>
          </cell>
          <cell r="B79" t="str">
            <v>09</v>
          </cell>
          <cell r="C79">
            <v>200</v>
          </cell>
          <cell r="D79" t="str">
            <v>0500</v>
          </cell>
          <cell r="E79" t="str">
            <v>Q</v>
          </cell>
          <cell r="F79">
            <v>4</v>
          </cell>
        </row>
        <row r="80">
          <cell r="A80" t="str">
            <v>093000500</v>
          </cell>
          <cell r="B80" t="str">
            <v>09</v>
          </cell>
          <cell r="C80">
            <v>300</v>
          </cell>
          <cell r="D80" t="str">
            <v>0500</v>
          </cell>
          <cell r="E80" t="str">
            <v>Q</v>
          </cell>
          <cell r="F80">
            <v>4</v>
          </cell>
        </row>
        <row r="81">
          <cell r="A81" t="str">
            <v>095000500</v>
          </cell>
          <cell r="B81" t="str">
            <v>09</v>
          </cell>
          <cell r="C81">
            <v>500</v>
          </cell>
          <cell r="D81" t="str">
            <v>0500</v>
          </cell>
          <cell r="E81" t="str">
            <v>D</v>
          </cell>
          <cell r="F81">
            <v>1</v>
          </cell>
        </row>
        <row r="82">
          <cell r="A82" t="str">
            <v>095010500</v>
          </cell>
          <cell r="B82" t="str">
            <v>09</v>
          </cell>
          <cell r="C82">
            <v>501</v>
          </cell>
          <cell r="D82" t="str">
            <v>0500</v>
          </cell>
          <cell r="E82" t="str">
            <v>Q</v>
          </cell>
          <cell r="F82">
            <v>1</v>
          </cell>
        </row>
        <row r="83">
          <cell r="A83" t="str">
            <v>096010500</v>
          </cell>
          <cell r="B83" t="str">
            <v>09</v>
          </cell>
          <cell r="C83">
            <v>601</v>
          </cell>
          <cell r="D83" t="str">
            <v>0500</v>
          </cell>
          <cell r="E83" t="str">
            <v>Q</v>
          </cell>
          <cell r="F83">
            <v>5</v>
          </cell>
        </row>
        <row r="84">
          <cell r="A84" t="str">
            <v>096020500</v>
          </cell>
          <cell r="B84" t="str">
            <v>09</v>
          </cell>
          <cell r="C84">
            <v>602</v>
          </cell>
          <cell r="D84" t="str">
            <v>0500</v>
          </cell>
          <cell r="E84" t="str">
            <v>R</v>
          </cell>
          <cell r="F84">
            <v>6</v>
          </cell>
        </row>
        <row r="85">
          <cell r="A85" t="str">
            <v>096030500</v>
          </cell>
          <cell r="B85" t="str">
            <v>09</v>
          </cell>
          <cell r="C85">
            <v>603</v>
          </cell>
          <cell r="D85" t="str">
            <v>0500</v>
          </cell>
          <cell r="E85" t="str">
            <v>S</v>
          </cell>
          <cell r="F85">
            <v>6</v>
          </cell>
        </row>
        <row r="86">
          <cell r="A86" t="str">
            <v>992000501</v>
          </cell>
          <cell r="B86">
            <v>99</v>
          </cell>
          <cell r="C86">
            <v>200</v>
          </cell>
          <cell r="D86" t="str">
            <v>0501</v>
          </cell>
          <cell r="E86" t="str">
            <v>Q</v>
          </cell>
          <cell r="F86">
            <v>4</v>
          </cell>
        </row>
        <row r="87">
          <cell r="A87" t="str">
            <v>993000501</v>
          </cell>
          <cell r="B87">
            <v>99</v>
          </cell>
          <cell r="C87">
            <v>300</v>
          </cell>
          <cell r="D87" t="str">
            <v>0501</v>
          </cell>
          <cell r="E87" t="str">
            <v>Q</v>
          </cell>
          <cell r="F87">
            <v>4</v>
          </cell>
        </row>
        <row r="88">
          <cell r="A88" t="str">
            <v>995000501</v>
          </cell>
          <cell r="B88">
            <v>99</v>
          </cell>
          <cell r="C88">
            <v>500</v>
          </cell>
          <cell r="D88" t="str">
            <v>0501</v>
          </cell>
          <cell r="E88" t="str">
            <v>A</v>
          </cell>
          <cell r="F88">
            <v>1</v>
          </cell>
        </row>
        <row r="89">
          <cell r="A89" t="str">
            <v>995010501</v>
          </cell>
          <cell r="B89">
            <v>99</v>
          </cell>
          <cell r="C89">
            <v>501</v>
          </cell>
          <cell r="D89" t="str">
            <v>0501</v>
          </cell>
          <cell r="E89" t="str">
            <v>Q</v>
          </cell>
          <cell r="F89">
            <v>1</v>
          </cell>
        </row>
        <row r="90">
          <cell r="A90" t="str">
            <v>996010501</v>
          </cell>
          <cell r="B90">
            <v>99</v>
          </cell>
          <cell r="C90">
            <v>601</v>
          </cell>
          <cell r="D90" t="str">
            <v>0501</v>
          </cell>
          <cell r="E90" t="str">
            <v>Q</v>
          </cell>
          <cell r="F90">
            <v>5</v>
          </cell>
        </row>
        <row r="91">
          <cell r="A91" t="str">
            <v>996020501</v>
          </cell>
          <cell r="B91">
            <v>99</v>
          </cell>
          <cell r="C91">
            <v>602</v>
          </cell>
          <cell r="D91" t="str">
            <v>0501</v>
          </cell>
          <cell r="E91" t="str">
            <v>R</v>
          </cell>
          <cell r="F91">
            <v>6</v>
          </cell>
        </row>
        <row r="92">
          <cell r="A92" t="str">
            <v>996030501</v>
          </cell>
          <cell r="B92">
            <v>99</v>
          </cell>
          <cell r="C92">
            <v>603</v>
          </cell>
          <cell r="D92" t="str">
            <v>0501</v>
          </cell>
          <cell r="E92" t="str">
            <v>S</v>
          </cell>
          <cell r="F92">
            <v>6</v>
          </cell>
        </row>
        <row r="93">
          <cell r="A93" t="str">
            <v>092000501</v>
          </cell>
          <cell r="B93" t="str">
            <v>09</v>
          </cell>
          <cell r="C93">
            <v>200</v>
          </cell>
          <cell r="D93" t="str">
            <v>0501</v>
          </cell>
          <cell r="E93" t="str">
            <v>Q</v>
          </cell>
          <cell r="F93">
            <v>4</v>
          </cell>
        </row>
        <row r="94">
          <cell r="A94" t="str">
            <v>093000501</v>
          </cell>
          <cell r="B94" t="str">
            <v>09</v>
          </cell>
          <cell r="C94">
            <v>300</v>
          </cell>
          <cell r="D94" t="str">
            <v>0501</v>
          </cell>
          <cell r="E94" t="str">
            <v>Q</v>
          </cell>
          <cell r="F94">
            <v>4</v>
          </cell>
        </row>
        <row r="95">
          <cell r="A95" t="str">
            <v>095000501</v>
          </cell>
          <cell r="B95" t="str">
            <v>09</v>
          </cell>
          <cell r="C95">
            <v>500</v>
          </cell>
          <cell r="D95" t="str">
            <v>0501</v>
          </cell>
          <cell r="E95" t="str">
            <v>A</v>
          </cell>
          <cell r="F95">
            <v>1</v>
          </cell>
        </row>
        <row r="96">
          <cell r="A96" t="str">
            <v>095010501</v>
          </cell>
          <cell r="B96" t="str">
            <v>09</v>
          </cell>
          <cell r="C96">
            <v>501</v>
          </cell>
          <cell r="D96" t="str">
            <v>0501</v>
          </cell>
          <cell r="E96" t="str">
            <v>Q</v>
          </cell>
          <cell r="F96">
            <v>1</v>
          </cell>
        </row>
        <row r="97">
          <cell r="A97" t="str">
            <v>096010501</v>
          </cell>
          <cell r="B97" t="str">
            <v>09</v>
          </cell>
          <cell r="C97">
            <v>601</v>
          </cell>
          <cell r="D97" t="str">
            <v>0501</v>
          </cell>
          <cell r="E97" t="str">
            <v>Q</v>
          </cell>
          <cell r="F97">
            <v>5</v>
          </cell>
        </row>
        <row r="98">
          <cell r="A98" t="str">
            <v>096020501</v>
          </cell>
          <cell r="B98" t="str">
            <v>09</v>
          </cell>
          <cell r="C98">
            <v>602</v>
          </cell>
          <cell r="D98" t="str">
            <v>0501</v>
          </cell>
          <cell r="E98" t="str">
            <v>R</v>
          </cell>
          <cell r="F98">
            <v>6</v>
          </cell>
        </row>
        <row r="99">
          <cell r="A99" t="str">
            <v>096030501</v>
          </cell>
          <cell r="B99" t="str">
            <v>09</v>
          </cell>
          <cell r="C99">
            <v>603</v>
          </cell>
          <cell r="D99" t="str">
            <v>0501</v>
          </cell>
          <cell r="E99" t="str">
            <v>S</v>
          </cell>
          <cell r="F99">
            <v>6</v>
          </cell>
        </row>
        <row r="100">
          <cell r="A100" t="str">
            <v>992000502</v>
          </cell>
          <cell r="B100">
            <v>99</v>
          </cell>
          <cell r="C100">
            <v>200</v>
          </cell>
          <cell r="D100" t="str">
            <v>0502</v>
          </cell>
          <cell r="E100" t="str">
            <v>Q</v>
          </cell>
          <cell r="F100">
            <v>4</v>
          </cell>
        </row>
        <row r="101">
          <cell r="A101" t="str">
            <v>993000502</v>
          </cell>
          <cell r="B101">
            <v>99</v>
          </cell>
          <cell r="C101">
            <v>300</v>
          </cell>
          <cell r="D101" t="str">
            <v>0502</v>
          </cell>
          <cell r="E101" t="str">
            <v>Q</v>
          </cell>
          <cell r="F101">
            <v>4</v>
          </cell>
        </row>
        <row r="102">
          <cell r="A102" t="str">
            <v>994000502</v>
          </cell>
          <cell r="B102">
            <v>99</v>
          </cell>
          <cell r="C102">
            <v>400</v>
          </cell>
          <cell r="D102" t="str">
            <v>0502</v>
          </cell>
          <cell r="E102" t="str">
            <v>M</v>
          </cell>
          <cell r="F102">
            <v>5</v>
          </cell>
        </row>
        <row r="103">
          <cell r="A103" t="str">
            <v>995000502</v>
          </cell>
          <cell r="B103">
            <v>99</v>
          </cell>
          <cell r="C103">
            <v>500</v>
          </cell>
          <cell r="D103" t="str">
            <v>0502</v>
          </cell>
          <cell r="E103" t="str">
            <v>D</v>
          </cell>
          <cell r="F103">
            <v>1</v>
          </cell>
        </row>
        <row r="104">
          <cell r="A104" t="str">
            <v>995010502</v>
          </cell>
          <cell r="B104">
            <v>99</v>
          </cell>
          <cell r="C104">
            <v>501</v>
          </cell>
          <cell r="D104" t="str">
            <v>0502</v>
          </cell>
          <cell r="E104" t="str">
            <v>Q</v>
          </cell>
          <cell r="F104">
            <v>1</v>
          </cell>
        </row>
        <row r="105">
          <cell r="A105" t="str">
            <v>996010502</v>
          </cell>
          <cell r="B105">
            <v>99</v>
          </cell>
          <cell r="C105">
            <v>601</v>
          </cell>
          <cell r="D105" t="str">
            <v>0502</v>
          </cell>
          <cell r="E105" t="str">
            <v>Q</v>
          </cell>
          <cell r="F105">
            <v>5</v>
          </cell>
        </row>
        <row r="106">
          <cell r="A106" t="str">
            <v>996020502</v>
          </cell>
          <cell r="B106">
            <v>99</v>
          </cell>
          <cell r="C106">
            <v>602</v>
          </cell>
          <cell r="D106" t="str">
            <v>0502</v>
          </cell>
          <cell r="E106" t="str">
            <v>R</v>
          </cell>
          <cell r="F106">
            <v>6</v>
          </cell>
        </row>
        <row r="107">
          <cell r="A107" t="str">
            <v>996030502</v>
          </cell>
          <cell r="B107">
            <v>99</v>
          </cell>
          <cell r="C107">
            <v>603</v>
          </cell>
          <cell r="D107" t="str">
            <v>0502</v>
          </cell>
          <cell r="E107" t="str">
            <v>S</v>
          </cell>
          <cell r="F107">
            <v>6</v>
          </cell>
        </row>
        <row r="108">
          <cell r="A108" t="str">
            <v>996100502</v>
          </cell>
          <cell r="B108">
            <v>99</v>
          </cell>
          <cell r="C108">
            <v>610</v>
          </cell>
          <cell r="D108" t="str">
            <v>0502</v>
          </cell>
          <cell r="E108" t="str">
            <v>T</v>
          </cell>
          <cell r="F108">
            <v>5</v>
          </cell>
        </row>
        <row r="109">
          <cell r="A109" t="str">
            <v>092000502</v>
          </cell>
          <cell r="B109" t="str">
            <v>09</v>
          </cell>
          <cell r="C109">
            <v>200</v>
          </cell>
          <cell r="D109" t="str">
            <v>0502</v>
          </cell>
          <cell r="E109" t="str">
            <v>Q</v>
          </cell>
          <cell r="F109">
            <v>4</v>
          </cell>
        </row>
        <row r="110">
          <cell r="A110" t="str">
            <v>093000502</v>
          </cell>
          <cell r="B110" t="str">
            <v>09</v>
          </cell>
          <cell r="C110">
            <v>300</v>
          </cell>
          <cell r="D110" t="str">
            <v>0502</v>
          </cell>
          <cell r="E110" t="str">
            <v>Q</v>
          </cell>
          <cell r="F110">
            <v>4</v>
          </cell>
        </row>
        <row r="111">
          <cell r="A111" t="str">
            <v>095000502</v>
          </cell>
          <cell r="B111" t="str">
            <v>09</v>
          </cell>
          <cell r="C111">
            <v>500</v>
          </cell>
          <cell r="D111" t="str">
            <v>0502</v>
          </cell>
          <cell r="E111" t="str">
            <v>D</v>
          </cell>
          <cell r="F111">
            <v>1</v>
          </cell>
        </row>
        <row r="112">
          <cell r="A112" t="str">
            <v>095010502</v>
          </cell>
          <cell r="B112" t="str">
            <v>09</v>
          </cell>
          <cell r="C112">
            <v>501</v>
          </cell>
          <cell r="D112" t="str">
            <v>0502</v>
          </cell>
          <cell r="E112" t="str">
            <v>Q</v>
          </cell>
          <cell r="F112">
            <v>1</v>
          </cell>
        </row>
        <row r="113">
          <cell r="A113" t="str">
            <v>096010502</v>
          </cell>
          <cell r="B113" t="str">
            <v>09</v>
          </cell>
          <cell r="C113">
            <v>601</v>
          </cell>
          <cell r="D113" t="str">
            <v>0502</v>
          </cell>
          <cell r="E113" t="str">
            <v>Q</v>
          </cell>
          <cell r="F113">
            <v>5</v>
          </cell>
        </row>
        <row r="114">
          <cell r="A114" t="str">
            <v>096020502</v>
          </cell>
          <cell r="B114" t="str">
            <v>09</v>
          </cell>
          <cell r="C114">
            <v>602</v>
          </cell>
          <cell r="D114" t="str">
            <v>0502</v>
          </cell>
          <cell r="E114" t="str">
            <v>R</v>
          </cell>
          <cell r="F114">
            <v>6</v>
          </cell>
        </row>
        <row r="115">
          <cell r="A115" t="str">
            <v>096030502</v>
          </cell>
          <cell r="B115" t="str">
            <v>09</v>
          </cell>
          <cell r="C115">
            <v>603</v>
          </cell>
          <cell r="D115" t="str">
            <v>0502</v>
          </cell>
          <cell r="E115" t="str">
            <v>S</v>
          </cell>
          <cell r="F115">
            <v>6</v>
          </cell>
        </row>
        <row r="116">
          <cell r="A116" t="str">
            <v>992000504</v>
          </cell>
          <cell r="B116">
            <v>99</v>
          </cell>
          <cell r="C116">
            <v>200</v>
          </cell>
          <cell r="D116" t="str">
            <v>0504</v>
          </cell>
          <cell r="E116" t="str">
            <v>Q</v>
          </cell>
          <cell r="F116">
            <v>4</v>
          </cell>
        </row>
        <row r="117">
          <cell r="A117" t="str">
            <v>993000504</v>
          </cell>
          <cell r="B117">
            <v>99</v>
          </cell>
          <cell r="C117">
            <v>300</v>
          </cell>
          <cell r="D117" t="str">
            <v>0504</v>
          </cell>
          <cell r="E117" t="str">
            <v>Q</v>
          </cell>
          <cell r="F117">
            <v>4</v>
          </cell>
        </row>
        <row r="118">
          <cell r="A118" t="str">
            <v>995000504</v>
          </cell>
          <cell r="B118">
            <v>99</v>
          </cell>
          <cell r="C118">
            <v>500</v>
          </cell>
          <cell r="D118" t="str">
            <v>0504</v>
          </cell>
          <cell r="E118" t="str">
            <v>J</v>
          </cell>
          <cell r="F118">
            <v>1</v>
          </cell>
        </row>
        <row r="119">
          <cell r="A119" t="str">
            <v>995010504</v>
          </cell>
          <cell r="B119">
            <v>99</v>
          </cell>
          <cell r="C119">
            <v>501</v>
          </cell>
          <cell r="D119" t="str">
            <v>0504</v>
          </cell>
          <cell r="E119" t="str">
            <v>Q</v>
          </cell>
          <cell r="F119">
            <v>1</v>
          </cell>
        </row>
        <row r="120">
          <cell r="A120" t="str">
            <v>996010504</v>
          </cell>
          <cell r="B120">
            <v>99</v>
          </cell>
          <cell r="C120">
            <v>601</v>
          </cell>
          <cell r="D120" t="str">
            <v>0504</v>
          </cell>
          <cell r="E120" t="str">
            <v>Q</v>
          </cell>
          <cell r="F120">
            <v>5</v>
          </cell>
        </row>
        <row r="121">
          <cell r="A121" t="str">
            <v>996020504</v>
          </cell>
          <cell r="B121">
            <v>99</v>
          </cell>
          <cell r="C121">
            <v>602</v>
          </cell>
          <cell r="D121" t="str">
            <v>0504</v>
          </cell>
          <cell r="E121" t="str">
            <v>R</v>
          </cell>
          <cell r="F121">
            <v>6</v>
          </cell>
        </row>
        <row r="122">
          <cell r="A122" t="str">
            <v>996030504</v>
          </cell>
          <cell r="B122">
            <v>99</v>
          </cell>
          <cell r="C122">
            <v>603</v>
          </cell>
          <cell r="D122" t="str">
            <v>0504</v>
          </cell>
          <cell r="E122" t="str">
            <v>S</v>
          </cell>
          <cell r="F122">
            <v>6</v>
          </cell>
        </row>
        <row r="123">
          <cell r="A123" t="str">
            <v>092000504</v>
          </cell>
          <cell r="B123" t="str">
            <v>09</v>
          </cell>
          <cell r="C123">
            <v>200</v>
          </cell>
          <cell r="D123" t="str">
            <v>0504</v>
          </cell>
          <cell r="E123" t="str">
            <v>Q</v>
          </cell>
          <cell r="F123">
            <v>4</v>
          </cell>
        </row>
        <row r="124">
          <cell r="A124" t="str">
            <v>093000504</v>
          </cell>
          <cell r="B124" t="str">
            <v>09</v>
          </cell>
          <cell r="C124">
            <v>300</v>
          </cell>
          <cell r="D124" t="str">
            <v>0504</v>
          </cell>
          <cell r="E124" t="str">
            <v>Q</v>
          </cell>
          <cell r="F124">
            <v>4</v>
          </cell>
        </row>
        <row r="125">
          <cell r="A125" t="str">
            <v>095000504</v>
          </cell>
          <cell r="B125" t="str">
            <v>09</v>
          </cell>
          <cell r="C125">
            <v>500</v>
          </cell>
          <cell r="D125" t="str">
            <v>0504</v>
          </cell>
          <cell r="E125" t="str">
            <v>J</v>
          </cell>
          <cell r="F125">
            <v>1</v>
          </cell>
        </row>
        <row r="126">
          <cell r="A126" t="str">
            <v>095010504</v>
          </cell>
          <cell r="B126" t="str">
            <v>09</v>
          </cell>
          <cell r="C126">
            <v>501</v>
          </cell>
          <cell r="D126" t="str">
            <v>0504</v>
          </cell>
          <cell r="E126" t="str">
            <v>Q</v>
          </cell>
          <cell r="F126">
            <v>1</v>
          </cell>
        </row>
        <row r="127">
          <cell r="A127" t="str">
            <v>096010504</v>
          </cell>
          <cell r="B127" t="str">
            <v>09</v>
          </cell>
          <cell r="C127">
            <v>601</v>
          </cell>
          <cell r="D127" t="str">
            <v>0504</v>
          </cell>
          <cell r="E127" t="str">
            <v>Q</v>
          </cell>
          <cell r="F127">
            <v>5</v>
          </cell>
        </row>
        <row r="128">
          <cell r="A128" t="str">
            <v>096020504</v>
          </cell>
          <cell r="B128" t="str">
            <v>09</v>
          </cell>
          <cell r="C128">
            <v>602</v>
          </cell>
          <cell r="D128" t="str">
            <v>0504</v>
          </cell>
          <cell r="E128" t="str">
            <v>R</v>
          </cell>
          <cell r="F128">
            <v>6</v>
          </cell>
        </row>
        <row r="129">
          <cell r="A129" t="str">
            <v>096030504</v>
          </cell>
          <cell r="B129" t="str">
            <v>09</v>
          </cell>
          <cell r="C129">
            <v>603</v>
          </cell>
          <cell r="D129" t="str">
            <v>0504</v>
          </cell>
          <cell r="E129" t="str">
            <v>S</v>
          </cell>
          <cell r="F129">
            <v>6</v>
          </cell>
        </row>
        <row r="130">
          <cell r="A130" t="str">
            <v>992000505</v>
          </cell>
          <cell r="B130">
            <v>99</v>
          </cell>
          <cell r="C130">
            <v>200</v>
          </cell>
          <cell r="D130" t="str">
            <v>0505</v>
          </cell>
          <cell r="E130" t="str">
            <v>Q</v>
          </cell>
          <cell r="F130">
            <v>4</v>
          </cell>
        </row>
        <row r="131">
          <cell r="A131" t="str">
            <v>993000505</v>
          </cell>
          <cell r="B131">
            <v>99</v>
          </cell>
          <cell r="C131">
            <v>300</v>
          </cell>
          <cell r="D131" t="str">
            <v>0505</v>
          </cell>
          <cell r="E131" t="str">
            <v>Q</v>
          </cell>
          <cell r="F131">
            <v>4</v>
          </cell>
        </row>
        <row r="132">
          <cell r="A132" t="str">
            <v>995000505</v>
          </cell>
          <cell r="B132">
            <v>99</v>
          </cell>
          <cell r="C132">
            <v>500</v>
          </cell>
          <cell r="D132" t="str">
            <v>0505</v>
          </cell>
          <cell r="E132" t="str">
            <v>A</v>
          </cell>
          <cell r="F132">
            <v>1</v>
          </cell>
        </row>
        <row r="133">
          <cell r="A133" t="str">
            <v>995010505</v>
          </cell>
          <cell r="B133">
            <v>99</v>
          </cell>
          <cell r="C133">
            <v>501</v>
          </cell>
          <cell r="D133" t="str">
            <v>0505</v>
          </cell>
          <cell r="E133" t="str">
            <v>Q</v>
          </cell>
          <cell r="F133">
            <v>1</v>
          </cell>
        </row>
        <row r="134">
          <cell r="A134" t="str">
            <v>996010505</v>
          </cell>
          <cell r="B134">
            <v>99</v>
          </cell>
          <cell r="C134">
            <v>601</v>
          </cell>
          <cell r="D134" t="str">
            <v>0505</v>
          </cell>
          <cell r="E134" t="str">
            <v>Q</v>
          </cell>
          <cell r="F134">
            <v>5</v>
          </cell>
        </row>
        <row r="135">
          <cell r="A135" t="str">
            <v>996020505</v>
          </cell>
          <cell r="B135">
            <v>99</v>
          </cell>
          <cell r="C135">
            <v>602</v>
          </cell>
          <cell r="D135" t="str">
            <v>0505</v>
          </cell>
          <cell r="E135" t="str">
            <v>R</v>
          </cell>
          <cell r="F135">
            <v>6</v>
          </cell>
        </row>
        <row r="136">
          <cell r="A136" t="str">
            <v>996030505</v>
          </cell>
          <cell r="B136">
            <v>99</v>
          </cell>
          <cell r="C136">
            <v>603</v>
          </cell>
          <cell r="D136" t="str">
            <v>0505</v>
          </cell>
          <cell r="E136" t="str">
            <v>S</v>
          </cell>
          <cell r="F136">
            <v>6</v>
          </cell>
        </row>
        <row r="137">
          <cell r="A137" t="str">
            <v>092000505</v>
          </cell>
          <cell r="B137" t="str">
            <v>09</v>
          </cell>
          <cell r="C137">
            <v>200</v>
          </cell>
          <cell r="D137" t="str">
            <v>0505</v>
          </cell>
          <cell r="E137" t="str">
            <v>Q</v>
          </cell>
          <cell r="F137">
            <v>4</v>
          </cell>
        </row>
        <row r="138">
          <cell r="A138" t="str">
            <v>093000505</v>
          </cell>
          <cell r="B138" t="str">
            <v>09</v>
          </cell>
          <cell r="C138">
            <v>300</v>
          </cell>
          <cell r="D138" t="str">
            <v>0505</v>
          </cell>
          <cell r="E138" t="str">
            <v>Q</v>
          </cell>
          <cell r="F138">
            <v>4</v>
          </cell>
        </row>
        <row r="139">
          <cell r="A139" t="str">
            <v>095000505</v>
          </cell>
          <cell r="B139" t="str">
            <v>09</v>
          </cell>
          <cell r="C139">
            <v>500</v>
          </cell>
          <cell r="D139" t="str">
            <v>0505</v>
          </cell>
          <cell r="E139" t="str">
            <v>A</v>
          </cell>
          <cell r="F139">
            <v>1</v>
          </cell>
        </row>
        <row r="140">
          <cell r="A140" t="str">
            <v>095010505</v>
          </cell>
          <cell r="B140" t="str">
            <v>09</v>
          </cell>
          <cell r="C140">
            <v>501</v>
          </cell>
          <cell r="D140" t="str">
            <v>0505</v>
          </cell>
          <cell r="E140" t="str">
            <v>Q</v>
          </cell>
          <cell r="F140">
            <v>1</v>
          </cell>
        </row>
        <row r="141">
          <cell r="A141" t="str">
            <v>096010505</v>
          </cell>
          <cell r="B141" t="str">
            <v>09</v>
          </cell>
          <cell r="C141">
            <v>601</v>
          </cell>
          <cell r="D141" t="str">
            <v>0505</v>
          </cell>
          <cell r="E141" t="str">
            <v>Q</v>
          </cell>
          <cell r="F141">
            <v>5</v>
          </cell>
        </row>
        <row r="142">
          <cell r="A142" t="str">
            <v>096020505</v>
          </cell>
          <cell r="B142" t="str">
            <v>09</v>
          </cell>
          <cell r="C142">
            <v>602</v>
          </cell>
          <cell r="D142" t="str">
            <v>0505</v>
          </cell>
          <cell r="E142" t="str">
            <v>R</v>
          </cell>
          <cell r="F142">
            <v>6</v>
          </cell>
        </row>
        <row r="143">
          <cell r="A143" t="str">
            <v>096030505</v>
          </cell>
          <cell r="B143" t="str">
            <v>09</v>
          </cell>
          <cell r="C143">
            <v>603</v>
          </cell>
          <cell r="D143" t="str">
            <v>0505</v>
          </cell>
          <cell r="E143" t="str">
            <v>S</v>
          </cell>
          <cell r="F143">
            <v>6</v>
          </cell>
        </row>
        <row r="144">
          <cell r="A144" t="str">
            <v>992000506</v>
          </cell>
          <cell r="B144" t="str">
            <v>99</v>
          </cell>
          <cell r="C144">
            <v>200</v>
          </cell>
          <cell r="D144" t="str">
            <v>0506</v>
          </cell>
          <cell r="E144" t="str">
            <v>Q</v>
          </cell>
          <cell r="F144">
            <v>4</v>
          </cell>
        </row>
        <row r="145">
          <cell r="A145" t="str">
            <v>993000506</v>
          </cell>
          <cell r="B145" t="str">
            <v>99</v>
          </cell>
          <cell r="C145">
            <v>300</v>
          </cell>
          <cell r="D145" t="str">
            <v>0506</v>
          </cell>
          <cell r="E145" t="str">
            <v>Q</v>
          </cell>
          <cell r="F145">
            <v>4</v>
          </cell>
        </row>
        <row r="146">
          <cell r="A146" t="str">
            <v>995000506</v>
          </cell>
          <cell r="B146" t="str">
            <v>99</v>
          </cell>
          <cell r="C146">
            <v>500</v>
          </cell>
          <cell r="D146" t="str">
            <v>0506</v>
          </cell>
          <cell r="E146" t="str">
            <v>D</v>
          </cell>
          <cell r="F146">
            <v>1</v>
          </cell>
        </row>
        <row r="147">
          <cell r="A147" t="str">
            <v>995010506</v>
          </cell>
          <cell r="B147" t="str">
            <v>99</v>
          </cell>
          <cell r="C147">
            <v>501</v>
          </cell>
          <cell r="D147" t="str">
            <v>0506</v>
          </cell>
          <cell r="E147" t="str">
            <v>Q</v>
          </cell>
          <cell r="F147">
            <v>1</v>
          </cell>
        </row>
        <row r="148">
          <cell r="A148" t="str">
            <v>996010506</v>
          </cell>
          <cell r="B148" t="str">
            <v>99</v>
          </cell>
          <cell r="C148">
            <v>601</v>
          </cell>
          <cell r="D148" t="str">
            <v>0506</v>
          </cell>
          <cell r="E148" t="str">
            <v>Q</v>
          </cell>
          <cell r="F148">
            <v>5</v>
          </cell>
        </row>
        <row r="149">
          <cell r="A149" t="str">
            <v>996020506</v>
          </cell>
          <cell r="B149" t="str">
            <v>99</v>
          </cell>
          <cell r="C149">
            <v>602</v>
          </cell>
          <cell r="D149" t="str">
            <v>0506</v>
          </cell>
          <cell r="E149" t="str">
            <v>R</v>
          </cell>
          <cell r="F149">
            <v>6</v>
          </cell>
        </row>
        <row r="150">
          <cell r="A150" t="str">
            <v>996030506</v>
          </cell>
          <cell r="B150" t="str">
            <v>99</v>
          </cell>
          <cell r="C150">
            <v>603</v>
          </cell>
          <cell r="D150" t="str">
            <v>0506</v>
          </cell>
          <cell r="E150" t="str">
            <v>S</v>
          </cell>
          <cell r="F150">
            <v>6</v>
          </cell>
        </row>
        <row r="151">
          <cell r="A151" t="str">
            <v>992000520</v>
          </cell>
          <cell r="B151">
            <v>99</v>
          </cell>
          <cell r="C151">
            <v>200</v>
          </cell>
          <cell r="D151" t="str">
            <v>0520</v>
          </cell>
          <cell r="E151" t="str">
            <v>Q</v>
          </cell>
          <cell r="F151">
            <v>4</v>
          </cell>
        </row>
        <row r="152">
          <cell r="A152" t="str">
            <v>993000520</v>
          </cell>
          <cell r="B152">
            <v>99</v>
          </cell>
          <cell r="C152">
            <v>300</v>
          </cell>
          <cell r="D152" t="str">
            <v>0520</v>
          </cell>
          <cell r="E152" t="str">
            <v>Q</v>
          </cell>
          <cell r="F152">
            <v>4</v>
          </cell>
        </row>
        <row r="153">
          <cell r="A153" t="str">
            <v>995000520</v>
          </cell>
          <cell r="B153">
            <v>99</v>
          </cell>
          <cell r="C153">
            <v>500</v>
          </cell>
          <cell r="D153" t="str">
            <v>0520</v>
          </cell>
          <cell r="E153" t="str">
            <v>A</v>
          </cell>
          <cell r="F153">
            <v>1</v>
          </cell>
        </row>
        <row r="154">
          <cell r="A154" t="str">
            <v>995010520</v>
          </cell>
          <cell r="B154">
            <v>99</v>
          </cell>
          <cell r="C154">
            <v>501</v>
          </cell>
          <cell r="D154" t="str">
            <v>0520</v>
          </cell>
          <cell r="E154" t="str">
            <v>Q</v>
          </cell>
          <cell r="F154">
            <v>1</v>
          </cell>
        </row>
        <row r="155">
          <cell r="A155" t="str">
            <v>996010520</v>
          </cell>
          <cell r="B155">
            <v>99</v>
          </cell>
          <cell r="C155">
            <v>601</v>
          </cell>
          <cell r="D155" t="str">
            <v>0520</v>
          </cell>
          <cell r="E155" t="str">
            <v>Q</v>
          </cell>
          <cell r="F155">
            <v>5</v>
          </cell>
        </row>
        <row r="156">
          <cell r="A156" t="str">
            <v>996020520</v>
          </cell>
          <cell r="B156">
            <v>99</v>
          </cell>
          <cell r="C156">
            <v>602</v>
          </cell>
          <cell r="D156" t="str">
            <v>0520</v>
          </cell>
          <cell r="E156" t="str">
            <v>R</v>
          </cell>
          <cell r="F156">
            <v>6</v>
          </cell>
        </row>
        <row r="157">
          <cell r="A157" t="str">
            <v>996030520</v>
          </cell>
          <cell r="B157">
            <v>99</v>
          </cell>
          <cell r="C157">
            <v>603</v>
          </cell>
          <cell r="D157" t="str">
            <v>0520</v>
          </cell>
          <cell r="E157" t="str">
            <v>S</v>
          </cell>
          <cell r="F157">
            <v>6</v>
          </cell>
        </row>
        <row r="158">
          <cell r="A158" t="str">
            <v>015000001</v>
          </cell>
          <cell r="B158" t="str">
            <v>01</v>
          </cell>
          <cell r="C158" t="str">
            <v>500</v>
          </cell>
          <cell r="D158" t="str">
            <v>0001</v>
          </cell>
          <cell r="E158" t="str">
            <v>Q</v>
          </cell>
          <cell r="F158">
            <v>3</v>
          </cell>
        </row>
        <row r="159">
          <cell r="A159" t="str">
            <v>015000520</v>
          </cell>
          <cell r="B159" t="str">
            <v>01</v>
          </cell>
          <cell r="C159" t="str">
            <v>500</v>
          </cell>
          <cell r="D159" t="str">
            <v>0520</v>
          </cell>
          <cell r="E159" t="str">
            <v>Q</v>
          </cell>
          <cell r="F159">
            <v>3</v>
          </cell>
        </row>
        <row r="160">
          <cell r="A160" t="str">
            <v>092000520</v>
          </cell>
          <cell r="B160" t="str">
            <v>09</v>
          </cell>
          <cell r="C160">
            <v>200</v>
          </cell>
          <cell r="D160" t="str">
            <v>0520</v>
          </cell>
          <cell r="E160" t="str">
            <v>Q</v>
          </cell>
          <cell r="F160">
            <v>4</v>
          </cell>
        </row>
        <row r="161">
          <cell r="A161" t="str">
            <v>093000520</v>
          </cell>
          <cell r="B161" t="str">
            <v>09</v>
          </cell>
          <cell r="C161">
            <v>300</v>
          </cell>
          <cell r="D161" t="str">
            <v>0520</v>
          </cell>
          <cell r="E161" t="str">
            <v>Q</v>
          </cell>
          <cell r="F161">
            <v>4</v>
          </cell>
        </row>
        <row r="162">
          <cell r="A162" t="str">
            <v>095000520</v>
          </cell>
          <cell r="B162" t="str">
            <v>09</v>
          </cell>
          <cell r="C162">
            <v>500</v>
          </cell>
          <cell r="D162" t="str">
            <v>0520</v>
          </cell>
          <cell r="E162" t="str">
            <v>A</v>
          </cell>
          <cell r="F162">
            <v>1</v>
          </cell>
        </row>
        <row r="163">
          <cell r="A163" t="str">
            <v>095010520</v>
          </cell>
          <cell r="B163" t="str">
            <v>09</v>
          </cell>
          <cell r="C163">
            <v>501</v>
          </cell>
          <cell r="D163" t="str">
            <v>0520</v>
          </cell>
          <cell r="E163" t="str">
            <v>Q</v>
          </cell>
          <cell r="F163">
            <v>1</v>
          </cell>
        </row>
        <row r="164">
          <cell r="A164" t="str">
            <v>096010520</v>
          </cell>
          <cell r="B164" t="str">
            <v>09</v>
          </cell>
          <cell r="C164">
            <v>601</v>
          </cell>
          <cell r="D164" t="str">
            <v>0520</v>
          </cell>
          <cell r="E164" t="str">
            <v>Q</v>
          </cell>
          <cell r="F164">
            <v>5</v>
          </cell>
        </row>
        <row r="165">
          <cell r="A165" t="str">
            <v>096020520</v>
          </cell>
          <cell r="B165" t="str">
            <v>09</v>
          </cell>
          <cell r="C165">
            <v>602</v>
          </cell>
          <cell r="D165" t="str">
            <v>0520</v>
          </cell>
          <cell r="E165" t="str">
            <v>R</v>
          </cell>
          <cell r="F165">
            <v>6</v>
          </cell>
        </row>
        <row r="166">
          <cell r="A166" t="str">
            <v>096030520</v>
          </cell>
          <cell r="B166" t="str">
            <v>09</v>
          </cell>
          <cell r="C166">
            <v>603</v>
          </cell>
          <cell r="D166" t="str">
            <v>0520</v>
          </cell>
          <cell r="E166" t="str">
            <v>S</v>
          </cell>
          <cell r="F166">
            <v>6</v>
          </cell>
        </row>
        <row r="167">
          <cell r="A167" t="str">
            <v>992000526</v>
          </cell>
          <cell r="B167">
            <v>99</v>
          </cell>
          <cell r="C167">
            <v>200</v>
          </cell>
          <cell r="D167" t="str">
            <v>0526</v>
          </cell>
          <cell r="E167" t="str">
            <v>Q</v>
          </cell>
          <cell r="F167">
            <v>4</v>
          </cell>
        </row>
        <row r="168">
          <cell r="A168" t="str">
            <v>993000526</v>
          </cell>
          <cell r="B168">
            <v>99</v>
          </cell>
          <cell r="C168">
            <v>300</v>
          </cell>
          <cell r="D168" t="str">
            <v>0526</v>
          </cell>
          <cell r="E168" t="str">
            <v>Q</v>
          </cell>
          <cell r="F168">
            <v>4</v>
          </cell>
        </row>
        <row r="169">
          <cell r="A169" t="str">
            <v>995000526</v>
          </cell>
          <cell r="B169">
            <v>99</v>
          </cell>
          <cell r="C169">
            <v>500</v>
          </cell>
          <cell r="D169" t="str">
            <v>0526</v>
          </cell>
          <cell r="E169" t="str">
            <v>A</v>
          </cell>
          <cell r="F169">
            <v>1</v>
          </cell>
        </row>
        <row r="170">
          <cell r="A170" t="str">
            <v>995010526</v>
          </cell>
          <cell r="B170">
            <v>99</v>
          </cell>
          <cell r="C170">
            <v>501</v>
          </cell>
          <cell r="D170" t="str">
            <v>0526</v>
          </cell>
          <cell r="E170" t="str">
            <v>Q</v>
          </cell>
          <cell r="F170">
            <v>1</v>
          </cell>
        </row>
        <row r="171">
          <cell r="A171" t="str">
            <v>996000526</v>
          </cell>
          <cell r="B171">
            <v>99</v>
          </cell>
          <cell r="C171">
            <v>600</v>
          </cell>
          <cell r="D171" t="str">
            <v>0526</v>
          </cell>
          <cell r="E171" t="str">
            <v>M</v>
          </cell>
          <cell r="F171">
            <v>5</v>
          </cell>
        </row>
        <row r="172">
          <cell r="A172" t="str">
            <v>996010526</v>
          </cell>
          <cell r="B172">
            <v>99</v>
          </cell>
          <cell r="C172">
            <v>601</v>
          </cell>
          <cell r="D172" t="str">
            <v>0526</v>
          </cell>
          <cell r="E172" t="str">
            <v>Q</v>
          </cell>
          <cell r="F172">
            <v>5</v>
          </cell>
        </row>
        <row r="173">
          <cell r="A173" t="str">
            <v>996020526</v>
          </cell>
          <cell r="B173">
            <v>99</v>
          </cell>
          <cell r="C173">
            <v>602</v>
          </cell>
          <cell r="D173" t="str">
            <v>0526</v>
          </cell>
          <cell r="E173" t="str">
            <v>R</v>
          </cell>
          <cell r="F173">
            <v>6</v>
          </cell>
        </row>
        <row r="174">
          <cell r="A174" t="str">
            <v>996030526</v>
          </cell>
          <cell r="B174">
            <v>99</v>
          </cell>
          <cell r="C174">
            <v>603</v>
          </cell>
          <cell r="D174" t="str">
            <v>0526</v>
          </cell>
          <cell r="E174" t="str">
            <v>S</v>
          </cell>
          <cell r="F174">
            <v>6</v>
          </cell>
        </row>
        <row r="175">
          <cell r="A175" t="str">
            <v>996100526</v>
          </cell>
          <cell r="B175">
            <v>99</v>
          </cell>
          <cell r="C175">
            <v>610</v>
          </cell>
          <cell r="D175" t="str">
            <v>0526</v>
          </cell>
          <cell r="E175" t="str">
            <v>T</v>
          </cell>
          <cell r="F175">
            <v>5</v>
          </cell>
        </row>
        <row r="176">
          <cell r="A176" t="str">
            <v>092000526</v>
          </cell>
          <cell r="B176" t="str">
            <v>09</v>
          </cell>
          <cell r="C176">
            <v>200</v>
          </cell>
          <cell r="D176" t="str">
            <v>0526</v>
          </cell>
          <cell r="E176" t="str">
            <v>Q</v>
          </cell>
          <cell r="F176">
            <v>4</v>
          </cell>
        </row>
        <row r="177">
          <cell r="A177" t="str">
            <v>093000526</v>
          </cell>
          <cell r="B177" t="str">
            <v>09</v>
          </cell>
          <cell r="C177">
            <v>300</v>
          </cell>
          <cell r="D177" t="str">
            <v>0526</v>
          </cell>
          <cell r="E177" t="str">
            <v>Q</v>
          </cell>
          <cell r="F177">
            <v>4</v>
          </cell>
        </row>
        <row r="178">
          <cell r="A178" t="str">
            <v>095000526</v>
          </cell>
          <cell r="B178" t="str">
            <v>09</v>
          </cell>
          <cell r="C178">
            <v>500</v>
          </cell>
          <cell r="D178" t="str">
            <v>0526</v>
          </cell>
          <cell r="E178" t="str">
            <v>A</v>
          </cell>
          <cell r="F178">
            <v>1</v>
          </cell>
        </row>
        <row r="179">
          <cell r="A179" t="str">
            <v>095010526</v>
          </cell>
          <cell r="B179" t="str">
            <v>09</v>
          </cell>
          <cell r="C179">
            <v>501</v>
          </cell>
          <cell r="D179" t="str">
            <v>0526</v>
          </cell>
          <cell r="E179" t="str">
            <v>Q</v>
          </cell>
          <cell r="F179">
            <v>1</v>
          </cell>
        </row>
        <row r="180">
          <cell r="A180" t="str">
            <v>096010526</v>
          </cell>
          <cell r="B180" t="str">
            <v>09</v>
          </cell>
          <cell r="C180">
            <v>601</v>
          </cell>
          <cell r="D180" t="str">
            <v>0526</v>
          </cell>
          <cell r="E180" t="str">
            <v>Q</v>
          </cell>
          <cell r="F180">
            <v>5</v>
          </cell>
        </row>
        <row r="181">
          <cell r="A181" t="str">
            <v>096020526</v>
          </cell>
          <cell r="B181" t="str">
            <v>09</v>
          </cell>
          <cell r="C181">
            <v>602</v>
          </cell>
          <cell r="D181" t="str">
            <v>0526</v>
          </cell>
          <cell r="E181" t="str">
            <v>R</v>
          </cell>
          <cell r="F181">
            <v>6</v>
          </cell>
        </row>
        <row r="182">
          <cell r="A182" t="str">
            <v>096030526</v>
          </cell>
          <cell r="B182" t="str">
            <v>09</v>
          </cell>
          <cell r="C182">
            <v>603</v>
          </cell>
          <cell r="D182" t="str">
            <v>0526</v>
          </cell>
          <cell r="E182" t="str">
            <v>S</v>
          </cell>
          <cell r="F182">
            <v>6</v>
          </cell>
        </row>
        <row r="183">
          <cell r="A183" t="str">
            <v>992000527</v>
          </cell>
          <cell r="B183">
            <v>99</v>
          </cell>
          <cell r="C183">
            <v>200</v>
          </cell>
          <cell r="D183" t="str">
            <v>0527</v>
          </cell>
          <cell r="E183" t="str">
            <v>Q</v>
          </cell>
          <cell r="F183">
            <v>4</v>
          </cell>
        </row>
        <row r="184">
          <cell r="A184" t="str">
            <v>993000527</v>
          </cell>
          <cell r="B184">
            <v>99</v>
          </cell>
          <cell r="C184">
            <v>300</v>
          </cell>
          <cell r="D184" t="str">
            <v>0527</v>
          </cell>
          <cell r="E184" t="str">
            <v>Q</v>
          </cell>
          <cell r="F184">
            <v>4</v>
          </cell>
        </row>
        <row r="185">
          <cell r="A185" t="str">
            <v>994000527</v>
          </cell>
          <cell r="B185">
            <v>99</v>
          </cell>
          <cell r="C185">
            <v>400</v>
          </cell>
          <cell r="D185" t="str">
            <v>0527</v>
          </cell>
          <cell r="E185" t="str">
            <v>M</v>
          </cell>
          <cell r="F185">
            <v>5</v>
          </cell>
        </row>
        <row r="186">
          <cell r="A186" t="str">
            <v>995000527</v>
          </cell>
          <cell r="B186">
            <v>99</v>
          </cell>
          <cell r="C186">
            <v>500</v>
          </cell>
          <cell r="D186" t="str">
            <v>0527</v>
          </cell>
          <cell r="E186" t="str">
            <v>A</v>
          </cell>
          <cell r="F186">
            <v>1</v>
          </cell>
        </row>
        <row r="187">
          <cell r="A187" t="str">
            <v>995010527</v>
          </cell>
          <cell r="B187">
            <v>99</v>
          </cell>
          <cell r="C187">
            <v>501</v>
          </cell>
          <cell r="D187" t="str">
            <v>0527</v>
          </cell>
          <cell r="E187" t="str">
            <v>Q</v>
          </cell>
          <cell r="F187">
            <v>1</v>
          </cell>
        </row>
        <row r="188">
          <cell r="A188" t="str">
            <v>995090527</v>
          </cell>
          <cell r="B188">
            <v>99</v>
          </cell>
          <cell r="C188">
            <v>509</v>
          </cell>
          <cell r="D188" t="str">
            <v>0527</v>
          </cell>
          <cell r="E188" t="str">
            <v>G</v>
          </cell>
          <cell r="F188">
            <v>1</v>
          </cell>
        </row>
        <row r="189">
          <cell r="A189" t="str">
            <v>996000527</v>
          </cell>
          <cell r="B189">
            <v>99</v>
          </cell>
          <cell r="C189">
            <v>600</v>
          </cell>
          <cell r="D189" t="str">
            <v>0527</v>
          </cell>
          <cell r="E189" t="str">
            <v>M</v>
          </cell>
          <cell r="F189">
            <v>5</v>
          </cell>
        </row>
        <row r="190">
          <cell r="A190" t="str">
            <v>996010527</v>
          </cell>
          <cell r="B190">
            <v>99</v>
          </cell>
          <cell r="C190">
            <v>601</v>
          </cell>
          <cell r="D190" t="str">
            <v>0527</v>
          </cell>
          <cell r="E190" t="str">
            <v>Q</v>
          </cell>
          <cell r="F190">
            <v>5</v>
          </cell>
        </row>
        <row r="191">
          <cell r="A191" t="str">
            <v>996020527</v>
          </cell>
          <cell r="B191">
            <v>99</v>
          </cell>
          <cell r="C191">
            <v>602</v>
          </cell>
          <cell r="D191" t="str">
            <v>0527</v>
          </cell>
          <cell r="E191" t="str">
            <v>R</v>
          </cell>
          <cell r="F191">
            <v>6</v>
          </cell>
        </row>
        <row r="192">
          <cell r="A192" t="str">
            <v>996030527</v>
          </cell>
          <cell r="B192">
            <v>99</v>
          </cell>
          <cell r="C192">
            <v>603</v>
          </cell>
          <cell r="D192" t="str">
            <v>0527</v>
          </cell>
          <cell r="E192" t="str">
            <v>S</v>
          </cell>
          <cell r="F192">
            <v>6</v>
          </cell>
        </row>
        <row r="193">
          <cell r="A193" t="str">
            <v>996100527</v>
          </cell>
          <cell r="B193">
            <v>99</v>
          </cell>
          <cell r="C193">
            <v>610</v>
          </cell>
          <cell r="D193" t="str">
            <v>0527</v>
          </cell>
          <cell r="E193" t="str">
            <v>T</v>
          </cell>
          <cell r="F193">
            <v>5</v>
          </cell>
        </row>
        <row r="194">
          <cell r="A194" t="str">
            <v>092000527</v>
          </cell>
          <cell r="B194" t="str">
            <v>09</v>
          </cell>
          <cell r="C194">
            <v>200</v>
          </cell>
          <cell r="D194" t="str">
            <v>0527</v>
          </cell>
          <cell r="E194" t="str">
            <v>Q</v>
          </cell>
          <cell r="F194">
            <v>4</v>
          </cell>
        </row>
        <row r="195">
          <cell r="A195" t="str">
            <v>093000527</v>
          </cell>
          <cell r="B195" t="str">
            <v>09</v>
          </cell>
          <cell r="C195">
            <v>300</v>
          </cell>
          <cell r="D195" t="str">
            <v>0527</v>
          </cell>
          <cell r="E195" t="str">
            <v>Q</v>
          </cell>
          <cell r="F195">
            <v>4</v>
          </cell>
        </row>
        <row r="196">
          <cell r="A196" t="str">
            <v>095000527</v>
          </cell>
          <cell r="B196" t="str">
            <v>09</v>
          </cell>
          <cell r="C196">
            <v>500</v>
          </cell>
          <cell r="D196" t="str">
            <v>0527</v>
          </cell>
          <cell r="E196" t="str">
            <v>A</v>
          </cell>
          <cell r="F196">
            <v>1</v>
          </cell>
        </row>
        <row r="197">
          <cell r="A197" t="str">
            <v>095010527</v>
          </cell>
          <cell r="B197" t="str">
            <v>09</v>
          </cell>
          <cell r="C197">
            <v>501</v>
          </cell>
          <cell r="D197" t="str">
            <v>0527</v>
          </cell>
          <cell r="E197" t="str">
            <v>Q</v>
          </cell>
          <cell r="F197">
            <v>1</v>
          </cell>
        </row>
        <row r="198">
          <cell r="A198" t="str">
            <v>095090527</v>
          </cell>
          <cell r="B198" t="str">
            <v>09</v>
          </cell>
          <cell r="C198">
            <v>509</v>
          </cell>
          <cell r="D198" t="str">
            <v>0527</v>
          </cell>
          <cell r="E198" t="str">
            <v>G</v>
          </cell>
          <cell r="F198">
            <v>1</v>
          </cell>
        </row>
        <row r="199">
          <cell r="A199" t="str">
            <v>096010527</v>
          </cell>
          <cell r="B199" t="str">
            <v>09</v>
          </cell>
          <cell r="C199">
            <v>601</v>
          </cell>
          <cell r="D199" t="str">
            <v>0527</v>
          </cell>
          <cell r="E199" t="str">
            <v>Q</v>
          </cell>
          <cell r="F199">
            <v>5</v>
          </cell>
        </row>
        <row r="200">
          <cell r="A200" t="str">
            <v>096020527</v>
          </cell>
          <cell r="B200" t="str">
            <v>09</v>
          </cell>
          <cell r="C200">
            <v>602</v>
          </cell>
          <cell r="D200" t="str">
            <v>0527</v>
          </cell>
          <cell r="E200" t="str">
            <v>R</v>
          </cell>
          <cell r="F200">
            <v>6</v>
          </cell>
        </row>
        <row r="201">
          <cell r="A201" t="str">
            <v>096030527</v>
          </cell>
          <cell r="B201" t="str">
            <v>09</v>
          </cell>
          <cell r="C201">
            <v>603</v>
          </cell>
          <cell r="D201" t="str">
            <v>0527</v>
          </cell>
          <cell r="E201" t="str">
            <v>S</v>
          </cell>
          <cell r="F201">
            <v>6</v>
          </cell>
        </row>
        <row r="202">
          <cell r="A202" t="str">
            <v>992000528</v>
          </cell>
          <cell r="B202">
            <v>99</v>
          </cell>
          <cell r="C202">
            <v>200</v>
          </cell>
          <cell r="D202" t="str">
            <v>0528</v>
          </cell>
          <cell r="E202" t="str">
            <v>Q</v>
          </cell>
          <cell r="F202">
            <v>4</v>
          </cell>
        </row>
        <row r="203">
          <cell r="A203" t="str">
            <v>993000528</v>
          </cell>
          <cell r="B203">
            <v>99</v>
          </cell>
          <cell r="C203">
            <v>300</v>
          </cell>
          <cell r="D203" t="str">
            <v>0528</v>
          </cell>
          <cell r="E203" t="str">
            <v>Q</v>
          </cell>
          <cell r="F203">
            <v>4</v>
          </cell>
        </row>
        <row r="204">
          <cell r="A204" t="str">
            <v>995000528</v>
          </cell>
          <cell r="B204">
            <v>99</v>
          </cell>
          <cell r="C204">
            <v>500</v>
          </cell>
          <cell r="D204" t="str">
            <v>0528</v>
          </cell>
          <cell r="E204" t="str">
            <v>A</v>
          </cell>
          <cell r="F204">
            <v>1</v>
          </cell>
        </row>
        <row r="205">
          <cell r="A205" t="str">
            <v>995010528</v>
          </cell>
          <cell r="B205">
            <v>99</v>
          </cell>
          <cell r="C205">
            <v>501</v>
          </cell>
          <cell r="D205" t="str">
            <v>0528</v>
          </cell>
          <cell r="E205" t="str">
            <v>Q</v>
          </cell>
          <cell r="F205">
            <v>1</v>
          </cell>
        </row>
        <row r="206">
          <cell r="A206" t="str">
            <v>996010528</v>
          </cell>
          <cell r="B206">
            <v>99</v>
          </cell>
          <cell r="C206">
            <v>601</v>
          </cell>
          <cell r="D206" t="str">
            <v>0528</v>
          </cell>
          <cell r="E206" t="str">
            <v>Q</v>
          </cell>
          <cell r="F206">
            <v>5</v>
          </cell>
        </row>
        <row r="207">
          <cell r="A207" t="str">
            <v>996020528</v>
          </cell>
          <cell r="B207">
            <v>99</v>
          </cell>
          <cell r="C207">
            <v>602</v>
          </cell>
          <cell r="D207" t="str">
            <v>0528</v>
          </cell>
          <cell r="E207" t="str">
            <v>R</v>
          </cell>
          <cell r="F207">
            <v>6</v>
          </cell>
        </row>
        <row r="208">
          <cell r="A208" t="str">
            <v>996030528</v>
          </cell>
          <cell r="B208">
            <v>99</v>
          </cell>
          <cell r="C208">
            <v>603</v>
          </cell>
          <cell r="D208" t="str">
            <v>0528</v>
          </cell>
          <cell r="E208" t="str">
            <v>S</v>
          </cell>
          <cell r="F208">
            <v>6</v>
          </cell>
        </row>
        <row r="209">
          <cell r="A209" t="str">
            <v>092000528</v>
          </cell>
          <cell r="B209" t="str">
            <v>09</v>
          </cell>
          <cell r="C209">
            <v>200</v>
          </cell>
          <cell r="D209" t="str">
            <v>0528</v>
          </cell>
          <cell r="E209" t="str">
            <v>Q</v>
          </cell>
          <cell r="F209">
            <v>4</v>
          </cell>
        </row>
        <row r="210">
          <cell r="A210" t="str">
            <v>093000528</v>
          </cell>
          <cell r="B210" t="str">
            <v>09</v>
          </cell>
          <cell r="C210">
            <v>300</v>
          </cell>
          <cell r="D210" t="str">
            <v>0528</v>
          </cell>
          <cell r="E210" t="str">
            <v>Q</v>
          </cell>
          <cell r="F210">
            <v>4</v>
          </cell>
        </row>
        <row r="211">
          <cell r="A211" t="str">
            <v>095000528</v>
          </cell>
          <cell r="B211" t="str">
            <v>09</v>
          </cell>
          <cell r="C211">
            <v>500</v>
          </cell>
          <cell r="D211" t="str">
            <v>0528</v>
          </cell>
          <cell r="E211" t="str">
            <v>A</v>
          </cell>
          <cell r="F211">
            <v>1</v>
          </cell>
        </row>
        <row r="212">
          <cell r="A212" t="str">
            <v>095010528</v>
          </cell>
          <cell r="B212" t="str">
            <v>09</v>
          </cell>
          <cell r="C212">
            <v>501</v>
          </cell>
          <cell r="D212" t="str">
            <v>0528</v>
          </cell>
          <cell r="E212" t="str">
            <v>Q</v>
          </cell>
          <cell r="F212">
            <v>1</v>
          </cell>
        </row>
        <row r="213">
          <cell r="A213" t="str">
            <v>096010528</v>
          </cell>
          <cell r="B213" t="str">
            <v>09</v>
          </cell>
          <cell r="C213">
            <v>601</v>
          </cell>
          <cell r="D213" t="str">
            <v>0528</v>
          </cell>
          <cell r="E213" t="str">
            <v>Q</v>
          </cell>
          <cell r="F213">
            <v>5</v>
          </cell>
        </row>
        <row r="214">
          <cell r="A214" t="str">
            <v>096020528</v>
          </cell>
          <cell r="B214" t="str">
            <v>09</v>
          </cell>
          <cell r="C214">
            <v>602</v>
          </cell>
          <cell r="D214" t="str">
            <v>0528</v>
          </cell>
          <cell r="E214" t="str">
            <v>R</v>
          </cell>
          <cell r="F214">
            <v>6</v>
          </cell>
        </row>
        <row r="215">
          <cell r="A215" t="str">
            <v>096030528</v>
          </cell>
          <cell r="B215" t="str">
            <v>09</v>
          </cell>
          <cell r="C215">
            <v>603</v>
          </cell>
          <cell r="D215" t="str">
            <v>0528</v>
          </cell>
          <cell r="E215" t="str">
            <v>S</v>
          </cell>
          <cell r="F215">
            <v>6</v>
          </cell>
        </row>
        <row r="216">
          <cell r="A216" t="str">
            <v>992000530</v>
          </cell>
          <cell r="B216">
            <v>99</v>
          </cell>
          <cell r="C216">
            <v>200</v>
          </cell>
          <cell r="D216" t="str">
            <v>0530</v>
          </cell>
          <cell r="E216" t="str">
            <v>Q</v>
          </cell>
          <cell r="F216">
            <v>4</v>
          </cell>
        </row>
        <row r="217">
          <cell r="A217" t="str">
            <v>993000530</v>
          </cell>
          <cell r="B217">
            <v>99</v>
          </cell>
          <cell r="C217">
            <v>300</v>
          </cell>
          <cell r="D217" t="str">
            <v>0530</v>
          </cell>
          <cell r="E217" t="str">
            <v>Q</v>
          </cell>
          <cell r="F217">
            <v>4</v>
          </cell>
        </row>
        <row r="218">
          <cell r="A218" t="str">
            <v>995000530</v>
          </cell>
          <cell r="B218">
            <v>99</v>
          </cell>
          <cell r="C218">
            <v>500</v>
          </cell>
          <cell r="D218" t="str">
            <v>0530</v>
          </cell>
          <cell r="E218" t="str">
            <v>A</v>
          </cell>
          <cell r="F218">
            <v>1</v>
          </cell>
        </row>
        <row r="219">
          <cell r="A219" t="str">
            <v>995010530</v>
          </cell>
          <cell r="B219">
            <v>99</v>
          </cell>
          <cell r="C219">
            <v>501</v>
          </cell>
          <cell r="D219" t="str">
            <v>0530</v>
          </cell>
          <cell r="E219" t="str">
            <v>Q</v>
          </cell>
          <cell r="F219">
            <v>1</v>
          </cell>
        </row>
        <row r="220">
          <cell r="A220" t="str">
            <v>996010530</v>
          </cell>
          <cell r="B220">
            <v>99</v>
          </cell>
          <cell r="C220">
            <v>601</v>
          </cell>
          <cell r="D220" t="str">
            <v>0530</v>
          </cell>
          <cell r="E220" t="str">
            <v>Q</v>
          </cell>
          <cell r="F220">
            <v>5</v>
          </cell>
        </row>
        <row r="221">
          <cell r="A221" t="str">
            <v>996020530</v>
          </cell>
          <cell r="B221">
            <v>99</v>
          </cell>
          <cell r="C221">
            <v>602</v>
          </cell>
          <cell r="D221" t="str">
            <v>0530</v>
          </cell>
          <cell r="E221" t="str">
            <v>R</v>
          </cell>
          <cell r="F221">
            <v>6</v>
          </cell>
        </row>
        <row r="222">
          <cell r="A222" t="str">
            <v>996030530</v>
          </cell>
          <cell r="B222">
            <v>99</v>
          </cell>
          <cell r="C222">
            <v>603</v>
          </cell>
          <cell r="D222" t="str">
            <v>0530</v>
          </cell>
          <cell r="E222" t="str">
            <v>S</v>
          </cell>
          <cell r="F222">
            <v>6</v>
          </cell>
        </row>
        <row r="223">
          <cell r="A223" t="str">
            <v>092000530</v>
          </cell>
          <cell r="B223" t="str">
            <v>09</v>
          </cell>
          <cell r="C223">
            <v>200</v>
          </cell>
          <cell r="D223" t="str">
            <v>0530</v>
          </cell>
          <cell r="E223" t="str">
            <v>Q</v>
          </cell>
          <cell r="F223">
            <v>4</v>
          </cell>
        </row>
        <row r="224">
          <cell r="A224" t="str">
            <v>093000530</v>
          </cell>
          <cell r="B224" t="str">
            <v>09</v>
          </cell>
          <cell r="C224">
            <v>300</v>
          </cell>
          <cell r="D224" t="str">
            <v>0530</v>
          </cell>
          <cell r="E224" t="str">
            <v>Q</v>
          </cell>
          <cell r="F224">
            <v>4</v>
          </cell>
        </row>
        <row r="225">
          <cell r="A225" t="str">
            <v>095000530</v>
          </cell>
          <cell r="B225" t="str">
            <v>09</v>
          </cell>
          <cell r="C225">
            <v>500</v>
          </cell>
          <cell r="D225" t="str">
            <v>0530</v>
          </cell>
          <cell r="E225" t="str">
            <v>A</v>
          </cell>
          <cell r="F225">
            <v>1</v>
          </cell>
        </row>
        <row r="226">
          <cell r="A226" t="str">
            <v>095010530</v>
          </cell>
          <cell r="B226" t="str">
            <v>09</v>
          </cell>
          <cell r="C226">
            <v>501</v>
          </cell>
          <cell r="D226" t="str">
            <v>0530</v>
          </cell>
          <cell r="E226" t="str">
            <v>Q</v>
          </cell>
          <cell r="F226">
            <v>1</v>
          </cell>
        </row>
        <row r="227">
          <cell r="A227" t="str">
            <v>096010530</v>
          </cell>
          <cell r="B227" t="str">
            <v>09</v>
          </cell>
          <cell r="C227">
            <v>601</v>
          </cell>
          <cell r="D227" t="str">
            <v>0530</v>
          </cell>
          <cell r="E227" t="str">
            <v>Q</v>
          </cell>
          <cell r="F227">
            <v>5</v>
          </cell>
        </row>
        <row r="228">
          <cell r="A228" t="str">
            <v>096020530</v>
          </cell>
          <cell r="B228" t="str">
            <v>09</v>
          </cell>
          <cell r="C228">
            <v>602</v>
          </cell>
          <cell r="D228" t="str">
            <v>0530</v>
          </cell>
          <cell r="E228" t="str">
            <v>R</v>
          </cell>
          <cell r="F228">
            <v>6</v>
          </cell>
        </row>
        <row r="229">
          <cell r="A229" t="str">
            <v>096030530</v>
          </cell>
          <cell r="B229" t="str">
            <v>09</v>
          </cell>
          <cell r="C229">
            <v>603</v>
          </cell>
          <cell r="D229" t="str">
            <v>0530</v>
          </cell>
          <cell r="E229" t="str">
            <v>S</v>
          </cell>
          <cell r="F229">
            <v>6</v>
          </cell>
        </row>
        <row r="230">
          <cell r="A230" t="str">
            <v>992000537</v>
          </cell>
          <cell r="B230" t="str">
            <v>99</v>
          </cell>
          <cell r="C230">
            <v>200</v>
          </cell>
          <cell r="D230" t="str">
            <v>0537</v>
          </cell>
          <cell r="E230" t="str">
            <v>Q</v>
          </cell>
          <cell r="F230">
            <v>4</v>
          </cell>
        </row>
        <row r="231">
          <cell r="A231" t="str">
            <v>993000537</v>
          </cell>
          <cell r="B231" t="str">
            <v>99</v>
          </cell>
          <cell r="C231">
            <v>300</v>
          </cell>
          <cell r="D231" t="str">
            <v>0537</v>
          </cell>
          <cell r="E231" t="str">
            <v>Q</v>
          </cell>
          <cell r="F231">
            <v>4</v>
          </cell>
        </row>
        <row r="232">
          <cell r="A232" t="str">
            <v>995000537</v>
          </cell>
          <cell r="B232" t="str">
            <v>99</v>
          </cell>
          <cell r="C232">
            <v>500</v>
          </cell>
          <cell r="D232" t="str">
            <v>0537</v>
          </cell>
          <cell r="E232" t="str">
            <v>D</v>
          </cell>
          <cell r="F232">
            <v>1</v>
          </cell>
        </row>
        <row r="233">
          <cell r="A233" t="str">
            <v>995010537</v>
          </cell>
          <cell r="B233" t="str">
            <v>99</v>
          </cell>
          <cell r="C233">
            <v>501</v>
          </cell>
          <cell r="D233" t="str">
            <v>0537</v>
          </cell>
          <cell r="E233" t="str">
            <v>Q</v>
          </cell>
          <cell r="F233">
            <v>1</v>
          </cell>
        </row>
        <row r="234">
          <cell r="A234" t="str">
            <v>996010537</v>
          </cell>
          <cell r="B234" t="str">
            <v>99</v>
          </cell>
          <cell r="C234">
            <v>601</v>
          </cell>
          <cell r="D234" t="str">
            <v>0537</v>
          </cell>
          <cell r="E234" t="str">
            <v>Q</v>
          </cell>
          <cell r="F234">
            <v>5</v>
          </cell>
        </row>
        <row r="235">
          <cell r="A235" t="str">
            <v>996020537</v>
          </cell>
          <cell r="B235" t="str">
            <v>99</v>
          </cell>
          <cell r="C235">
            <v>602</v>
          </cell>
          <cell r="D235" t="str">
            <v>0537</v>
          </cell>
          <cell r="E235" t="str">
            <v>R</v>
          </cell>
          <cell r="F235">
            <v>6</v>
          </cell>
        </row>
        <row r="236">
          <cell r="A236" t="str">
            <v>996030537</v>
          </cell>
          <cell r="B236" t="str">
            <v>99</v>
          </cell>
          <cell r="C236">
            <v>603</v>
          </cell>
          <cell r="D236" t="str">
            <v>0537</v>
          </cell>
          <cell r="E236" t="str">
            <v>S</v>
          </cell>
          <cell r="F236">
            <v>6</v>
          </cell>
        </row>
        <row r="237">
          <cell r="A237" t="str">
            <v>992000538</v>
          </cell>
          <cell r="B237">
            <v>99</v>
          </cell>
          <cell r="C237">
            <v>200</v>
          </cell>
          <cell r="D237" t="str">
            <v>0538</v>
          </cell>
          <cell r="E237" t="str">
            <v>Q</v>
          </cell>
          <cell r="F237">
            <v>4</v>
          </cell>
        </row>
        <row r="238">
          <cell r="A238" t="str">
            <v>993000538</v>
          </cell>
          <cell r="B238">
            <v>99</v>
          </cell>
          <cell r="C238">
            <v>300</v>
          </cell>
          <cell r="D238" t="str">
            <v>0538</v>
          </cell>
          <cell r="E238" t="str">
            <v>Q</v>
          </cell>
          <cell r="F238">
            <v>4</v>
          </cell>
        </row>
        <row r="239">
          <cell r="A239" t="str">
            <v>994000538</v>
          </cell>
          <cell r="B239">
            <v>99</v>
          </cell>
          <cell r="C239">
            <v>400</v>
          </cell>
          <cell r="D239" t="str">
            <v>0538</v>
          </cell>
          <cell r="E239" t="str">
            <v>N</v>
          </cell>
          <cell r="F239">
            <v>5</v>
          </cell>
        </row>
        <row r="240">
          <cell r="A240" t="str">
            <v>995000538</v>
          </cell>
          <cell r="B240">
            <v>99</v>
          </cell>
          <cell r="C240">
            <v>500</v>
          </cell>
          <cell r="D240" t="str">
            <v>0538</v>
          </cell>
          <cell r="E240" t="str">
            <v>D</v>
          </cell>
          <cell r="F240">
            <v>3</v>
          </cell>
        </row>
        <row r="241">
          <cell r="A241" t="str">
            <v>995010538</v>
          </cell>
          <cell r="B241">
            <v>99</v>
          </cell>
          <cell r="C241">
            <v>501</v>
          </cell>
          <cell r="D241" t="str">
            <v>0538</v>
          </cell>
          <cell r="E241" t="str">
            <v>Q</v>
          </cell>
          <cell r="F241">
            <v>3</v>
          </cell>
        </row>
        <row r="242">
          <cell r="A242" t="str">
            <v>996000538</v>
          </cell>
          <cell r="B242">
            <v>99</v>
          </cell>
          <cell r="C242">
            <v>600</v>
          </cell>
          <cell r="D242" t="str">
            <v>0538</v>
          </cell>
          <cell r="E242" t="str">
            <v>N</v>
          </cell>
          <cell r="F242">
            <v>5</v>
          </cell>
        </row>
        <row r="243">
          <cell r="A243" t="str">
            <v>996010538</v>
          </cell>
          <cell r="B243">
            <v>99</v>
          </cell>
          <cell r="C243">
            <v>601</v>
          </cell>
          <cell r="D243" t="str">
            <v>0538</v>
          </cell>
          <cell r="E243" t="str">
            <v>Q</v>
          </cell>
          <cell r="F243">
            <v>5</v>
          </cell>
        </row>
        <row r="244">
          <cell r="A244" t="str">
            <v>996020538</v>
          </cell>
          <cell r="B244">
            <v>99</v>
          </cell>
          <cell r="C244">
            <v>602</v>
          </cell>
          <cell r="D244" t="str">
            <v>0538</v>
          </cell>
          <cell r="E244" t="str">
            <v>R</v>
          </cell>
          <cell r="F244">
            <v>6</v>
          </cell>
        </row>
        <row r="245">
          <cell r="A245" t="str">
            <v>996030538</v>
          </cell>
          <cell r="B245">
            <v>99</v>
          </cell>
          <cell r="C245">
            <v>603</v>
          </cell>
          <cell r="D245" t="str">
            <v>0538</v>
          </cell>
          <cell r="E245" t="str">
            <v>S</v>
          </cell>
          <cell r="F245">
            <v>6</v>
          </cell>
        </row>
        <row r="246">
          <cell r="A246" t="str">
            <v>092000538</v>
          </cell>
          <cell r="B246" t="str">
            <v>09</v>
          </cell>
          <cell r="C246">
            <v>200</v>
          </cell>
          <cell r="D246" t="str">
            <v>0538</v>
          </cell>
          <cell r="E246" t="str">
            <v>Q</v>
          </cell>
          <cell r="F246">
            <v>4</v>
          </cell>
        </row>
        <row r="247">
          <cell r="A247" t="str">
            <v>093000538</v>
          </cell>
          <cell r="B247" t="str">
            <v>09</v>
          </cell>
          <cell r="C247">
            <v>300</v>
          </cell>
          <cell r="D247" t="str">
            <v>0538</v>
          </cell>
          <cell r="E247" t="str">
            <v>Q</v>
          </cell>
          <cell r="F247">
            <v>4</v>
          </cell>
        </row>
        <row r="248">
          <cell r="A248" t="str">
            <v>094000538</v>
          </cell>
          <cell r="B248" t="str">
            <v>09</v>
          </cell>
          <cell r="C248">
            <v>400</v>
          </cell>
          <cell r="D248" t="str">
            <v>0538</v>
          </cell>
          <cell r="E248" t="str">
            <v>N</v>
          </cell>
          <cell r="F248">
            <v>5</v>
          </cell>
        </row>
        <row r="249">
          <cell r="A249" t="str">
            <v>095000538</v>
          </cell>
          <cell r="B249" t="str">
            <v>09</v>
          </cell>
          <cell r="C249">
            <v>500</v>
          </cell>
          <cell r="D249" t="str">
            <v>0538</v>
          </cell>
          <cell r="E249" t="str">
            <v>D</v>
          </cell>
          <cell r="F249">
            <v>3</v>
          </cell>
        </row>
        <row r="250">
          <cell r="A250" t="str">
            <v>095010538</v>
          </cell>
          <cell r="B250" t="str">
            <v>09</v>
          </cell>
          <cell r="C250">
            <v>501</v>
          </cell>
          <cell r="D250" t="str">
            <v>0538</v>
          </cell>
          <cell r="E250" t="str">
            <v>Q</v>
          </cell>
          <cell r="F250">
            <v>3</v>
          </cell>
        </row>
        <row r="251">
          <cell r="A251" t="str">
            <v>096000538</v>
          </cell>
          <cell r="B251" t="str">
            <v>09</v>
          </cell>
          <cell r="C251">
            <v>600</v>
          </cell>
          <cell r="D251" t="str">
            <v>0538</v>
          </cell>
          <cell r="E251" t="str">
            <v>N</v>
          </cell>
          <cell r="F251">
            <v>5</v>
          </cell>
        </row>
        <row r="252">
          <cell r="A252" t="str">
            <v>096010538</v>
          </cell>
          <cell r="B252" t="str">
            <v>09</v>
          </cell>
          <cell r="C252">
            <v>601</v>
          </cell>
          <cell r="D252" t="str">
            <v>0538</v>
          </cell>
          <cell r="E252" t="str">
            <v>Q</v>
          </cell>
          <cell r="F252">
            <v>5</v>
          </cell>
        </row>
        <row r="253">
          <cell r="A253" t="str">
            <v>096020538</v>
          </cell>
          <cell r="B253" t="str">
            <v>09</v>
          </cell>
          <cell r="C253">
            <v>602</v>
          </cell>
          <cell r="D253" t="str">
            <v>0538</v>
          </cell>
          <cell r="E253" t="str">
            <v>R</v>
          </cell>
          <cell r="F253">
            <v>6</v>
          </cell>
        </row>
        <row r="254">
          <cell r="A254" t="str">
            <v>096030538</v>
          </cell>
          <cell r="B254" t="str">
            <v>09</v>
          </cell>
          <cell r="C254">
            <v>603</v>
          </cell>
          <cell r="D254" t="str">
            <v>0538</v>
          </cell>
          <cell r="E254" t="str">
            <v>S</v>
          </cell>
          <cell r="F254">
            <v>6</v>
          </cell>
        </row>
        <row r="255">
          <cell r="A255" t="str">
            <v>992000539</v>
          </cell>
          <cell r="B255">
            <v>99</v>
          </cell>
          <cell r="C255">
            <v>200</v>
          </cell>
          <cell r="D255" t="str">
            <v>0539</v>
          </cell>
          <cell r="E255" t="str">
            <v>Q</v>
          </cell>
          <cell r="F255">
            <v>4</v>
          </cell>
        </row>
        <row r="256">
          <cell r="A256" t="str">
            <v>993000539</v>
          </cell>
          <cell r="B256">
            <v>99</v>
          </cell>
          <cell r="C256">
            <v>300</v>
          </cell>
          <cell r="D256" t="str">
            <v>0539</v>
          </cell>
          <cell r="E256" t="str">
            <v>Q</v>
          </cell>
          <cell r="F256">
            <v>4</v>
          </cell>
        </row>
        <row r="257">
          <cell r="A257" t="str">
            <v>995000539</v>
          </cell>
          <cell r="B257">
            <v>99</v>
          </cell>
          <cell r="C257">
            <v>500</v>
          </cell>
          <cell r="D257" t="str">
            <v>0539</v>
          </cell>
          <cell r="E257" t="str">
            <v>D</v>
          </cell>
          <cell r="F257">
            <v>1</v>
          </cell>
        </row>
        <row r="258">
          <cell r="A258" t="str">
            <v>995010539</v>
          </cell>
          <cell r="B258">
            <v>99</v>
          </cell>
          <cell r="C258">
            <v>501</v>
          </cell>
          <cell r="D258" t="str">
            <v>0539</v>
          </cell>
          <cell r="E258" t="str">
            <v>Q</v>
          </cell>
          <cell r="F258">
            <v>1</v>
          </cell>
        </row>
        <row r="259">
          <cell r="A259" t="str">
            <v>996000539</v>
          </cell>
          <cell r="B259">
            <v>99</v>
          </cell>
          <cell r="C259">
            <v>600</v>
          </cell>
          <cell r="D259" t="str">
            <v>0539</v>
          </cell>
          <cell r="E259" t="str">
            <v>M</v>
          </cell>
          <cell r="F259">
            <v>5</v>
          </cell>
        </row>
        <row r="260">
          <cell r="A260" t="str">
            <v>996010539</v>
          </cell>
          <cell r="B260">
            <v>99</v>
          </cell>
          <cell r="C260">
            <v>601</v>
          </cell>
          <cell r="D260" t="str">
            <v>0539</v>
          </cell>
          <cell r="E260" t="str">
            <v>Q</v>
          </cell>
          <cell r="F260">
            <v>5</v>
          </cell>
        </row>
        <row r="261">
          <cell r="A261" t="str">
            <v>996020539</v>
          </cell>
          <cell r="B261">
            <v>99</v>
          </cell>
          <cell r="C261">
            <v>602</v>
          </cell>
          <cell r="D261" t="str">
            <v>0539</v>
          </cell>
          <cell r="E261" t="str">
            <v>R</v>
          </cell>
          <cell r="F261">
            <v>6</v>
          </cell>
        </row>
        <row r="262">
          <cell r="A262" t="str">
            <v>996030539</v>
          </cell>
          <cell r="B262">
            <v>99</v>
          </cell>
          <cell r="C262">
            <v>603</v>
          </cell>
          <cell r="D262" t="str">
            <v>0539</v>
          </cell>
          <cell r="E262" t="str">
            <v>S</v>
          </cell>
          <cell r="F262">
            <v>6</v>
          </cell>
        </row>
        <row r="263">
          <cell r="A263" t="str">
            <v>996100539</v>
          </cell>
          <cell r="B263">
            <v>99</v>
          </cell>
          <cell r="C263">
            <v>610</v>
          </cell>
          <cell r="D263" t="str">
            <v>0539</v>
          </cell>
          <cell r="E263" t="str">
            <v>T</v>
          </cell>
          <cell r="F263">
            <v>5</v>
          </cell>
        </row>
        <row r="264">
          <cell r="A264" t="str">
            <v>092000539</v>
          </cell>
          <cell r="B264" t="str">
            <v>09</v>
          </cell>
          <cell r="C264">
            <v>200</v>
          </cell>
          <cell r="D264" t="str">
            <v>0539</v>
          </cell>
          <cell r="E264" t="str">
            <v>Q</v>
          </cell>
          <cell r="F264">
            <v>4</v>
          </cell>
        </row>
        <row r="265">
          <cell r="A265" t="str">
            <v>093000539</v>
          </cell>
          <cell r="B265" t="str">
            <v>09</v>
          </cell>
          <cell r="C265">
            <v>300</v>
          </cell>
          <cell r="D265" t="str">
            <v>0539</v>
          </cell>
          <cell r="E265" t="str">
            <v>Q</v>
          </cell>
          <cell r="F265">
            <v>4</v>
          </cell>
        </row>
        <row r="266">
          <cell r="A266" t="str">
            <v>095000539</v>
          </cell>
          <cell r="B266" t="str">
            <v>09</v>
          </cell>
          <cell r="C266">
            <v>500</v>
          </cell>
          <cell r="D266" t="str">
            <v>0539</v>
          </cell>
          <cell r="E266" t="str">
            <v>D</v>
          </cell>
          <cell r="F266">
            <v>1</v>
          </cell>
        </row>
        <row r="267">
          <cell r="A267" t="str">
            <v>095010539</v>
          </cell>
          <cell r="B267" t="str">
            <v>09</v>
          </cell>
          <cell r="C267">
            <v>501</v>
          </cell>
          <cell r="D267" t="str">
            <v>0539</v>
          </cell>
          <cell r="E267" t="str">
            <v>Q</v>
          </cell>
          <cell r="F267">
            <v>1</v>
          </cell>
        </row>
        <row r="268">
          <cell r="A268" t="str">
            <v>096010539</v>
          </cell>
          <cell r="B268" t="str">
            <v>09</v>
          </cell>
          <cell r="C268">
            <v>601</v>
          </cell>
          <cell r="D268" t="str">
            <v>0539</v>
          </cell>
          <cell r="E268" t="str">
            <v>Q</v>
          </cell>
          <cell r="F268">
            <v>5</v>
          </cell>
        </row>
        <row r="269">
          <cell r="A269" t="str">
            <v>096020539</v>
          </cell>
          <cell r="B269" t="str">
            <v>09</v>
          </cell>
          <cell r="C269">
            <v>602</v>
          </cell>
          <cell r="D269" t="str">
            <v>0539</v>
          </cell>
          <cell r="E269" t="str">
            <v>R</v>
          </cell>
          <cell r="F269">
            <v>6</v>
          </cell>
        </row>
        <row r="270">
          <cell r="A270" t="str">
            <v>096030539</v>
          </cell>
          <cell r="B270" t="str">
            <v>09</v>
          </cell>
          <cell r="C270">
            <v>603</v>
          </cell>
          <cell r="D270" t="str">
            <v>0539</v>
          </cell>
          <cell r="E270" t="str">
            <v>S</v>
          </cell>
          <cell r="F270">
            <v>6</v>
          </cell>
        </row>
        <row r="271">
          <cell r="A271" t="str">
            <v>992000540</v>
          </cell>
          <cell r="B271">
            <v>99</v>
          </cell>
          <cell r="C271">
            <v>200</v>
          </cell>
          <cell r="D271" t="str">
            <v>0540</v>
          </cell>
          <cell r="E271" t="str">
            <v>Q</v>
          </cell>
          <cell r="F271">
            <v>4</v>
          </cell>
        </row>
        <row r="272">
          <cell r="A272" t="str">
            <v>993000540</v>
          </cell>
          <cell r="B272">
            <v>99</v>
          </cell>
          <cell r="C272">
            <v>300</v>
          </cell>
          <cell r="D272" t="str">
            <v>0540</v>
          </cell>
          <cell r="E272" t="str">
            <v>Q</v>
          </cell>
          <cell r="F272">
            <v>4</v>
          </cell>
        </row>
        <row r="273">
          <cell r="A273" t="str">
            <v>995000540</v>
          </cell>
          <cell r="B273">
            <v>99</v>
          </cell>
          <cell r="C273">
            <v>500</v>
          </cell>
          <cell r="D273" t="str">
            <v>0540</v>
          </cell>
          <cell r="E273" t="str">
            <v>D</v>
          </cell>
          <cell r="F273">
            <v>1</v>
          </cell>
        </row>
        <row r="274">
          <cell r="A274" t="str">
            <v>995010540</v>
          </cell>
          <cell r="B274">
            <v>99</v>
          </cell>
          <cell r="C274">
            <v>501</v>
          </cell>
          <cell r="D274" t="str">
            <v>0540</v>
          </cell>
          <cell r="E274" t="str">
            <v>Q</v>
          </cell>
          <cell r="F274">
            <v>1</v>
          </cell>
        </row>
        <row r="275">
          <cell r="A275" t="str">
            <v>996010540</v>
          </cell>
          <cell r="B275">
            <v>99</v>
          </cell>
          <cell r="C275">
            <v>601</v>
          </cell>
          <cell r="D275" t="str">
            <v>0540</v>
          </cell>
          <cell r="E275" t="str">
            <v>Q</v>
          </cell>
          <cell r="F275">
            <v>5</v>
          </cell>
        </row>
        <row r="276">
          <cell r="A276" t="str">
            <v>996020540</v>
          </cell>
          <cell r="B276">
            <v>99</v>
          </cell>
          <cell r="C276">
            <v>602</v>
          </cell>
          <cell r="D276" t="str">
            <v>0540</v>
          </cell>
          <cell r="E276" t="str">
            <v>R</v>
          </cell>
          <cell r="F276">
            <v>6</v>
          </cell>
        </row>
        <row r="277">
          <cell r="A277" t="str">
            <v>996030540</v>
          </cell>
          <cell r="B277">
            <v>99</v>
          </cell>
          <cell r="C277">
            <v>603</v>
          </cell>
          <cell r="D277" t="str">
            <v>0540</v>
          </cell>
          <cell r="E277" t="str">
            <v>S</v>
          </cell>
          <cell r="F277">
            <v>6</v>
          </cell>
        </row>
        <row r="278">
          <cell r="A278" t="str">
            <v>092000540</v>
          </cell>
          <cell r="B278" t="str">
            <v>09</v>
          </cell>
          <cell r="C278">
            <v>200</v>
          </cell>
          <cell r="D278" t="str">
            <v>0540</v>
          </cell>
          <cell r="E278" t="str">
            <v>Q</v>
          </cell>
          <cell r="F278">
            <v>4</v>
          </cell>
        </row>
        <row r="279">
          <cell r="A279" t="str">
            <v>093000540</v>
          </cell>
          <cell r="B279" t="str">
            <v>09</v>
          </cell>
          <cell r="C279">
            <v>300</v>
          </cell>
          <cell r="D279" t="str">
            <v>0540</v>
          </cell>
          <cell r="E279" t="str">
            <v>Q</v>
          </cell>
          <cell r="F279">
            <v>4</v>
          </cell>
        </row>
        <row r="280">
          <cell r="A280" t="str">
            <v>095000540</v>
          </cell>
          <cell r="B280" t="str">
            <v>09</v>
          </cell>
          <cell r="C280">
            <v>500</v>
          </cell>
          <cell r="D280" t="str">
            <v>0540</v>
          </cell>
          <cell r="E280" t="str">
            <v>D</v>
          </cell>
          <cell r="F280">
            <v>1</v>
          </cell>
        </row>
        <row r="281">
          <cell r="A281" t="str">
            <v>095010540</v>
          </cell>
          <cell r="B281" t="str">
            <v>09</v>
          </cell>
          <cell r="C281">
            <v>501</v>
          </cell>
          <cell r="D281" t="str">
            <v>0540</v>
          </cell>
          <cell r="E281" t="str">
            <v>Q</v>
          </cell>
          <cell r="F281">
            <v>1</v>
          </cell>
        </row>
        <row r="282">
          <cell r="A282" t="str">
            <v>096010540</v>
          </cell>
          <cell r="B282" t="str">
            <v>09</v>
          </cell>
          <cell r="C282">
            <v>601</v>
          </cell>
          <cell r="D282" t="str">
            <v>0540</v>
          </cell>
          <cell r="E282" t="str">
            <v>Q</v>
          </cell>
          <cell r="F282">
            <v>5</v>
          </cell>
        </row>
        <row r="283">
          <cell r="A283" t="str">
            <v>096020540</v>
          </cell>
          <cell r="B283" t="str">
            <v>09</v>
          </cell>
          <cell r="C283">
            <v>602</v>
          </cell>
          <cell r="D283" t="str">
            <v>0540</v>
          </cell>
          <cell r="E283" t="str">
            <v>R</v>
          </cell>
          <cell r="F283">
            <v>6</v>
          </cell>
        </row>
        <row r="284">
          <cell r="A284" t="str">
            <v>096030540</v>
          </cell>
          <cell r="B284" t="str">
            <v>09</v>
          </cell>
          <cell r="C284">
            <v>603</v>
          </cell>
          <cell r="D284" t="str">
            <v>0540</v>
          </cell>
          <cell r="E284" t="str">
            <v>S</v>
          </cell>
          <cell r="F284">
            <v>6</v>
          </cell>
        </row>
        <row r="285">
          <cell r="A285" t="str">
            <v>992000541</v>
          </cell>
          <cell r="B285">
            <v>99</v>
          </cell>
          <cell r="C285">
            <v>200</v>
          </cell>
          <cell r="D285" t="str">
            <v>0541</v>
          </cell>
          <cell r="E285" t="str">
            <v>Q</v>
          </cell>
          <cell r="F285">
            <v>4</v>
          </cell>
        </row>
        <row r="286">
          <cell r="A286" t="str">
            <v>993000541</v>
          </cell>
          <cell r="B286">
            <v>99</v>
          </cell>
          <cell r="C286">
            <v>300</v>
          </cell>
          <cell r="D286" t="str">
            <v>0541</v>
          </cell>
          <cell r="E286" t="str">
            <v>Q</v>
          </cell>
          <cell r="F286">
            <v>4</v>
          </cell>
        </row>
        <row r="287">
          <cell r="A287" t="str">
            <v>995000541</v>
          </cell>
          <cell r="B287">
            <v>99</v>
          </cell>
          <cell r="C287">
            <v>500</v>
          </cell>
          <cell r="D287" t="str">
            <v>0541</v>
          </cell>
          <cell r="E287" t="str">
            <v>D</v>
          </cell>
          <cell r="F287">
            <v>1</v>
          </cell>
        </row>
        <row r="288">
          <cell r="A288" t="str">
            <v>995010541</v>
          </cell>
          <cell r="B288">
            <v>99</v>
          </cell>
          <cell r="C288">
            <v>501</v>
          </cell>
          <cell r="D288" t="str">
            <v>0541</v>
          </cell>
          <cell r="E288" t="str">
            <v>Q</v>
          </cell>
          <cell r="F288">
            <v>1</v>
          </cell>
        </row>
        <row r="289">
          <cell r="A289" t="str">
            <v>996010541</v>
          </cell>
          <cell r="B289">
            <v>99</v>
          </cell>
          <cell r="C289">
            <v>601</v>
          </cell>
          <cell r="D289" t="str">
            <v>0541</v>
          </cell>
          <cell r="E289" t="str">
            <v>Q</v>
          </cell>
          <cell r="F289">
            <v>5</v>
          </cell>
        </row>
        <row r="290">
          <cell r="A290" t="str">
            <v>996020541</v>
          </cell>
          <cell r="B290">
            <v>99</v>
          </cell>
          <cell r="C290">
            <v>602</v>
          </cell>
          <cell r="D290" t="str">
            <v>0541</v>
          </cell>
          <cell r="E290" t="str">
            <v>R</v>
          </cell>
          <cell r="F290">
            <v>6</v>
          </cell>
        </row>
        <row r="291">
          <cell r="A291" t="str">
            <v>996030541</v>
          </cell>
          <cell r="B291">
            <v>99</v>
          </cell>
          <cell r="C291">
            <v>603</v>
          </cell>
          <cell r="D291" t="str">
            <v>0541</v>
          </cell>
          <cell r="E291" t="str">
            <v>S</v>
          </cell>
          <cell r="F291">
            <v>6</v>
          </cell>
        </row>
        <row r="292">
          <cell r="A292" t="str">
            <v>092000541</v>
          </cell>
          <cell r="B292" t="str">
            <v>09</v>
          </cell>
          <cell r="C292">
            <v>200</v>
          </cell>
          <cell r="D292" t="str">
            <v>0541</v>
          </cell>
          <cell r="E292" t="str">
            <v>Q</v>
          </cell>
          <cell r="F292">
            <v>4</v>
          </cell>
        </row>
        <row r="293">
          <cell r="A293" t="str">
            <v>093000541</v>
          </cell>
          <cell r="B293" t="str">
            <v>09</v>
          </cell>
          <cell r="C293">
            <v>300</v>
          </cell>
          <cell r="D293" t="str">
            <v>0541</v>
          </cell>
          <cell r="E293" t="str">
            <v>Q</v>
          </cell>
          <cell r="F293">
            <v>4</v>
          </cell>
        </row>
        <row r="294">
          <cell r="A294" t="str">
            <v>095000541</v>
          </cell>
          <cell r="B294" t="str">
            <v>09</v>
          </cell>
          <cell r="C294">
            <v>500</v>
          </cell>
          <cell r="D294" t="str">
            <v>0541</v>
          </cell>
          <cell r="E294" t="str">
            <v>D</v>
          </cell>
          <cell r="F294">
            <v>1</v>
          </cell>
        </row>
        <row r="295">
          <cell r="A295" t="str">
            <v>095010541</v>
          </cell>
          <cell r="B295" t="str">
            <v>09</v>
          </cell>
          <cell r="C295">
            <v>501</v>
          </cell>
          <cell r="D295" t="str">
            <v>0541</v>
          </cell>
          <cell r="E295" t="str">
            <v>Q</v>
          </cell>
          <cell r="F295">
            <v>1</v>
          </cell>
        </row>
        <row r="296">
          <cell r="A296" t="str">
            <v>096010541</v>
          </cell>
          <cell r="B296" t="str">
            <v>09</v>
          </cell>
          <cell r="C296">
            <v>601</v>
          </cell>
          <cell r="D296" t="str">
            <v>0541</v>
          </cell>
          <cell r="E296" t="str">
            <v>Q</v>
          </cell>
          <cell r="F296">
            <v>5</v>
          </cell>
        </row>
        <row r="297">
          <cell r="A297" t="str">
            <v>096020541</v>
          </cell>
          <cell r="B297" t="str">
            <v>09</v>
          </cell>
          <cell r="C297">
            <v>602</v>
          </cell>
          <cell r="D297" t="str">
            <v>0541</v>
          </cell>
          <cell r="E297" t="str">
            <v>R</v>
          </cell>
          <cell r="F297">
            <v>6</v>
          </cell>
        </row>
        <row r="298">
          <cell r="A298" t="str">
            <v>096030541</v>
          </cell>
          <cell r="B298" t="str">
            <v>09</v>
          </cell>
          <cell r="C298">
            <v>603</v>
          </cell>
          <cell r="D298" t="str">
            <v>0541</v>
          </cell>
          <cell r="E298" t="str">
            <v>S</v>
          </cell>
          <cell r="F298">
            <v>6</v>
          </cell>
        </row>
        <row r="299">
          <cell r="A299" t="str">
            <v>992000542</v>
          </cell>
          <cell r="B299">
            <v>99</v>
          </cell>
          <cell r="C299">
            <v>200</v>
          </cell>
          <cell r="D299" t="str">
            <v>0542</v>
          </cell>
          <cell r="E299" t="str">
            <v>Q</v>
          </cell>
          <cell r="F299">
            <v>4</v>
          </cell>
        </row>
        <row r="300">
          <cell r="A300" t="str">
            <v>993000542</v>
          </cell>
          <cell r="B300">
            <v>99</v>
          </cell>
          <cell r="C300">
            <v>300</v>
          </cell>
          <cell r="D300" t="str">
            <v>0542</v>
          </cell>
          <cell r="E300" t="str">
            <v>Q</v>
          </cell>
          <cell r="F300">
            <v>4</v>
          </cell>
        </row>
        <row r="301">
          <cell r="A301" t="str">
            <v>995000542</v>
          </cell>
          <cell r="B301">
            <v>99</v>
          </cell>
          <cell r="C301">
            <v>500</v>
          </cell>
          <cell r="D301" t="str">
            <v>0542</v>
          </cell>
          <cell r="E301" t="str">
            <v>D</v>
          </cell>
          <cell r="F301">
            <v>1</v>
          </cell>
        </row>
        <row r="302">
          <cell r="A302" t="str">
            <v>995010542</v>
          </cell>
          <cell r="B302">
            <v>99</v>
          </cell>
          <cell r="C302">
            <v>501</v>
          </cell>
          <cell r="D302" t="str">
            <v>0542</v>
          </cell>
          <cell r="E302" t="str">
            <v>Q</v>
          </cell>
          <cell r="F302">
            <v>1</v>
          </cell>
        </row>
        <row r="303">
          <cell r="A303" t="str">
            <v>995090542</v>
          </cell>
          <cell r="B303">
            <v>99</v>
          </cell>
          <cell r="C303">
            <v>509</v>
          </cell>
          <cell r="D303" t="str">
            <v>0542</v>
          </cell>
          <cell r="E303" t="str">
            <v>J</v>
          </cell>
          <cell r="F303">
            <v>1</v>
          </cell>
        </row>
        <row r="304">
          <cell r="A304" t="str">
            <v>996010542</v>
          </cell>
          <cell r="B304">
            <v>99</v>
          </cell>
          <cell r="C304">
            <v>601</v>
          </cell>
          <cell r="D304" t="str">
            <v>0542</v>
          </cell>
          <cell r="E304" t="str">
            <v>Q</v>
          </cell>
          <cell r="F304">
            <v>5</v>
          </cell>
        </row>
        <row r="305">
          <cell r="A305" t="str">
            <v>996020542</v>
          </cell>
          <cell r="B305">
            <v>99</v>
          </cell>
          <cell r="C305">
            <v>602</v>
          </cell>
          <cell r="D305" t="str">
            <v>0542</v>
          </cell>
          <cell r="E305" t="str">
            <v>R</v>
          </cell>
          <cell r="F305">
            <v>6</v>
          </cell>
        </row>
        <row r="306">
          <cell r="A306" t="str">
            <v>996030542</v>
          </cell>
          <cell r="B306">
            <v>99</v>
          </cell>
          <cell r="C306">
            <v>603</v>
          </cell>
          <cell r="D306" t="str">
            <v>0542</v>
          </cell>
          <cell r="E306" t="str">
            <v>S</v>
          </cell>
          <cell r="F306">
            <v>6</v>
          </cell>
        </row>
        <row r="307">
          <cell r="A307" t="str">
            <v>092000542</v>
          </cell>
          <cell r="B307" t="str">
            <v>09</v>
          </cell>
          <cell r="C307">
            <v>200</v>
          </cell>
          <cell r="D307" t="str">
            <v>0542</v>
          </cell>
          <cell r="E307" t="str">
            <v>Q</v>
          </cell>
          <cell r="F307">
            <v>4</v>
          </cell>
        </row>
        <row r="308">
          <cell r="A308" t="str">
            <v>093000542</v>
          </cell>
          <cell r="B308" t="str">
            <v>09</v>
          </cell>
          <cell r="C308">
            <v>300</v>
          </cell>
          <cell r="D308" t="str">
            <v>0542</v>
          </cell>
          <cell r="E308" t="str">
            <v>Q</v>
          </cell>
          <cell r="F308">
            <v>4</v>
          </cell>
        </row>
        <row r="309">
          <cell r="A309" t="str">
            <v>095000542</v>
          </cell>
          <cell r="B309" t="str">
            <v>09</v>
          </cell>
          <cell r="C309">
            <v>500</v>
          </cell>
          <cell r="D309" t="str">
            <v>0542</v>
          </cell>
          <cell r="E309" t="str">
            <v>D</v>
          </cell>
          <cell r="F309">
            <v>1</v>
          </cell>
        </row>
        <row r="310">
          <cell r="A310" t="str">
            <v>095010542</v>
          </cell>
          <cell r="B310" t="str">
            <v>09</v>
          </cell>
          <cell r="C310">
            <v>501</v>
          </cell>
          <cell r="D310" t="str">
            <v>0542</v>
          </cell>
          <cell r="E310" t="str">
            <v>Q</v>
          </cell>
          <cell r="F310">
            <v>1</v>
          </cell>
        </row>
        <row r="311">
          <cell r="A311" t="str">
            <v>096010542</v>
          </cell>
          <cell r="B311" t="str">
            <v>09</v>
          </cell>
          <cell r="C311">
            <v>601</v>
          </cell>
          <cell r="D311" t="str">
            <v>0542</v>
          </cell>
          <cell r="E311" t="str">
            <v>Q</v>
          </cell>
          <cell r="F311">
            <v>5</v>
          </cell>
        </row>
        <row r="312">
          <cell r="A312" t="str">
            <v>096020542</v>
          </cell>
          <cell r="B312" t="str">
            <v>09</v>
          </cell>
          <cell r="C312">
            <v>602</v>
          </cell>
          <cell r="D312" t="str">
            <v>0542</v>
          </cell>
          <cell r="E312" t="str">
            <v>R</v>
          </cell>
          <cell r="F312">
            <v>6</v>
          </cell>
        </row>
        <row r="313">
          <cell r="A313" t="str">
            <v>096030542</v>
          </cell>
          <cell r="B313" t="str">
            <v>09</v>
          </cell>
          <cell r="C313">
            <v>603</v>
          </cell>
          <cell r="D313" t="str">
            <v>0542</v>
          </cell>
          <cell r="E313" t="str">
            <v>S</v>
          </cell>
          <cell r="F313">
            <v>6</v>
          </cell>
        </row>
        <row r="314">
          <cell r="A314" t="str">
            <v>992000543</v>
          </cell>
          <cell r="B314">
            <v>99</v>
          </cell>
          <cell r="C314">
            <v>200</v>
          </cell>
          <cell r="D314" t="str">
            <v>0543</v>
          </cell>
          <cell r="E314" t="str">
            <v>Q</v>
          </cell>
          <cell r="F314">
            <v>4</v>
          </cell>
        </row>
        <row r="315">
          <cell r="A315" t="str">
            <v>993000543</v>
          </cell>
          <cell r="B315">
            <v>99</v>
          </cell>
          <cell r="C315">
            <v>300</v>
          </cell>
          <cell r="D315" t="str">
            <v>0543</v>
          </cell>
          <cell r="E315" t="str">
            <v>Q</v>
          </cell>
          <cell r="F315">
            <v>4</v>
          </cell>
        </row>
        <row r="316">
          <cell r="A316" t="str">
            <v>995000543</v>
          </cell>
          <cell r="B316">
            <v>99</v>
          </cell>
          <cell r="C316">
            <v>500</v>
          </cell>
          <cell r="D316" t="str">
            <v>0543</v>
          </cell>
          <cell r="E316" t="str">
            <v>D</v>
          </cell>
          <cell r="F316">
            <v>1</v>
          </cell>
        </row>
        <row r="317">
          <cell r="A317" t="str">
            <v>995010543</v>
          </cell>
          <cell r="B317">
            <v>99</v>
          </cell>
          <cell r="C317">
            <v>501</v>
          </cell>
          <cell r="D317" t="str">
            <v>0543</v>
          </cell>
          <cell r="E317" t="str">
            <v>Q</v>
          </cell>
          <cell r="F317">
            <v>1</v>
          </cell>
        </row>
        <row r="318">
          <cell r="A318" t="str">
            <v>996010543</v>
          </cell>
          <cell r="B318">
            <v>99</v>
          </cell>
          <cell r="C318">
            <v>601</v>
          </cell>
          <cell r="D318" t="str">
            <v>0543</v>
          </cell>
          <cell r="E318" t="str">
            <v>Q</v>
          </cell>
          <cell r="F318">
            <v>5</v>
          </cell>
        </row>
        <row r="319">
          <cell r="A319" t="str">
            <v>996020543</v>
          </cell>
          <cell r="B319">
            <v>99</v>
          </cell>
          <cell r="C319">
            <v>602</v>
          </cell>
          <cell r="D319" t="str">
            <v>0543</v>
          </cell>
          <cell r="E319" t="str">
            <v>R</v>
          </cell>
          <cell r="F319">
            <v>6</v>
          </cell>
        </row>
        <row r="320">
          <cell r="A320" t="str">
            <v>996030543</v>
          </cell>
          <cell r="B320">
            <v>99</v>
          </cell>
          <cell r="C320">
            <v>603</v>
          </cell>
          <cell r="D320" t="str">
            <v>0543</v>
          </cell>
          <cell r="E320" t="str">
            <v>S</v>
          </cell>
          <cell r="F320">
            <v>6</v>
          </cell>
        </row>
        <row r="321">
          <cell r="A321" t="str">
            <v>092000543</v>
          </cell>
          <cell r="B321" t="str">
            <v>09</v>
          </cell>
          <cell r="C321">
            <v>200</v>
          </cell>
          <cell r="D321" t="str">
            <v>0543</v>
          </cell>
          <cell r="E321" t="str">
            <v>Q</v>
          </cell>
          <cell r="F321">
            <v>4</v>
          </cell>
        </row>
        <row r="322">
          <cell r="A322" t="str">
            <v>093000543</v>
          </cell>
          <cell r="B322" t="str">
            <v>09</v>
          </cell>
          <cell r="C322">
            <v>300</v>
          </cell>
          <cell r="D322" t="str">
            <v>0543</v>
          </cell>
          <cell r="E322" t="str">
            <v>Q</v>
          </cell>
          <cell r="F322">
            <v>4</v>
          </cell>
        </row>
        <row r="323">
          <cell r="A323" t="str">
            <v>095000543</v>
          </cell>
          <cell r="B323" t="str">
            <v>09</v>
          </cell>
          <cell r="C323">
            <v>500</v>
          </cell>
          <cell r="D323" t="str">
            <v>0543</v>
          </cell>
          <cell r="E323" t="str">
            <v>D</v>
          </cell>
          <cell r="F323">
            <v>1</v>
          </cell>
        </row>
        <row r="324">
          <cell r="A324" t="str">
            <v>095010543</v>
          </cell>
          <cell r="B324" t="str">
            <v>09</v>
          </cell>
          <cell r="C324">
            <v>501</v>
          </cell>
          <cell r="D324" t="str">
            <v>0543</v>
          </cell>
          <cell r="E324" t="str">
            <v>Q</v>
          </cell>
          <cell r="F324">
            <v>1</v>
          </cell>
        </row>
        <row r="325">
          <cell r="A325" t="str">
            <v>096010543</v>
          </cell>
          <cell r="B325" t="str">
            <v>09</v>
          </cell>
          <cell r="C325">
            <v>601</v>
          </cell>
          <cell r="D325" t="str">
            <v>0543</v>
          </cell>
          <cell r="E325" t="str">
            <v>Q</v>
          </cell>
          <cell r="F325">
            <v>5</v>
          </cell>
        </row>
        <row r="326">
          <cell r="A326" t="str">
            <v>096020543</v>
          </cell>
          <cell r="B326" t="str">
            <v>09</v>
          </cell>
          <cell r="C326">
            <v>602</v>
          </cell>
          <cell r="D326" t="str">
            <v>0543</v>
          </cell>
          <cell r="E326" t="str">
            <v>R</v>
          </cell>
          <cell r="F326">
            <v>6</v>
          </cell>
        </row>
        <row r="327">
          <cell r="A327" t="str">
            <v>096030543</v>
          </cell>
          <cell r="B327" t="str">
            <v>09</v>
          </cell>
          <cell r="C327">
            <v>603</v>
          </cell>
          <cell r="D327" t="str">
            <v>0543</v>
          </cell>
          <cell r="E327" t="str">
            <v>S</v>
          </cell>
          <cell r="F327">
            <v>6</v>
          </cell>
        </row>
        <row r="328">
          <cell r="A328" t="str">
            <v>992000544</v>
          </cell>
          <cell r="B328">
            <v>99</v>
          </cell>
          <cell r="C328">
            <v>200</v>
          </cell>
          <cell r="D328" t="str">
            <v>0544</v>
          </cell>
          <cell r="E328" t="str">
            <v>Q</v>
          </cell>
          <cell r="F328">
            <v>4</v>
          </cell>
        </row>
        <row r="329">
          <cell r="A329" t="str">
            <v>993000544</v>
          </cell>
          <cell r="B329">
            <v>99</v>
          </cell>
          <cell r="C329">
            <v>300</v>
          </cell>
          <cell r="D329" t="str">
            <v>0544</v>
          </cell>
          <cell r="E329" t="str">
            <v>Q</v>
          </cell>
          <cell r="F329">
            <v>4</v>
          </cell>
        </row>
        <row r="330">
          <cell r="A330" t="str">
            <v>995000544</v>
          </cell>
          <cell r="B330">
            <v>99</v>
          </cell>
          <cell r="C330">
            <v>500</v>
          </cell>
          <cell r="D330" t="str">
            <v>0544</v>
          </cell>
          <cell r="E330" t="str">
            <v>C</v>
          </cell>
          <cell r="F330">
            <v>1</v>
          </cell>
        </row>
        <row r="331">
          <cell r="A331" t="str">
            <v>995010544</v>
          </cell>
          <cell r="B331">
            <v>99</v>
          </cell>
          <cell r="C331">
            <v>501</v>
          </cell>
          <cell r="D331" t="str">
            <v>0544</v>
          </cell>
          <cell r="E331" t="str">
            <v>Q</v>
          </cell>
          <cell r="F331">
            <v>1</v>
          </cell>
        </row>
        <row r="332">
          <cell r="A332" t="str">
            <v>995090544</v>
          </cell>
          <cell r="B332">
            <v>99</v>
          </cell>
          <cell r="C332" t="str">
            <v>509</v>
          </cell>
          <cell r="D332" t="str">
            <v>0544</v>
          </cell>
          <cell r="E332" t="str">
            <v>I</v>
          </cell>
          <cell r="F332">
            <v>1</v>
          </cell>
        </row>
        <row r="333">
          <cell r="A333" t="str">
            <v>996010544</v>
          </cell>
          <cell r="B333">
            <v>99</v>
          </cell>
          <cell r="C333">
            <v>601</v>
          </cell>
          <cell r="D333" t="str">
            <v>0544</v>
          </cell>
          <cell r="E333" t="str">
            <v>Q</v>
          </cell>
          <cell r="F333">
            <v>5</v>
          </cell>
        </row>
        <row r="334">
          <cell r="A334" t="str">
            <v>996020544</v>
          </cell>
          <cell r="B334">
            <v>99</v>
          </cell>
          <cell r="C334">
            <v>602</v>
          </cell>
          <cell r="D334" t="str">
            <v>0544</v>
          </cell>
          <cell r="E334" t="str">
            <v>R</v>
          </cell>
          <cell r="F334">
            <v>6</v>
          </cell>
        </row>
        <row r="335">
          <cell r="A335" t="str">
            <v>996030544</v>
          </cell>
          <cell r="B335">
            <v>99</v>
          </cell>
          <cell r="C335">
            <v>603</v>
          </cell>
          <cell r="D335" t="str">
            <v>0544</v>
          </cell>
          <cell r="E335" t="str">
            <v>S</v>
          </cell>
          <cell r="F335">
            <v>6</v>
          </cell>
        </row>
        <row r="336">
          <cell r="A336" t="str">
            <v>092000544</v>
          </cell>
          <cell r="B336" t="str">
            <v>09</v>
          </cell>
          <cell r="C336">
            <v>200</v>
          </cell>
          <cell r="D336" t="str">
            <v>0544</v>
          </cell>
          <cell r="E336" t="str">
            <v>Q</v>
          </cell>
          <cell r="F336">
            <v>4</v>
          </cell>
        </row>
        <row r="337">
          <cell r="A337" t="str">
            <v>093000544</v>
          </cell>
          <cell r="B337" t="str">
            <v>09</v>
          </cell>
          <cell r="C337">
            <v>300</v>
          </cell>
          <cell r="D337" t="str">
            <v>0544</v>
          </cell>
          <cell r="E337" t="str">
            <v>Q</v>
          </cell>
          <cell r="F337">
            <v>4</v>
          </cell>
        </row>
        <row r="338">
          <cell r="A338" t="str">
            <v>095000544</v>
          </cell>
          <cell r="B338" t="str">
            <v>09</v>
          </cell>
          <cell r="C338">
            <v>500</v>
          </cell>
          <cell r="D338" t="str">
            <v>0544</v>
          </cell>
          <cell r="E338" t="str">
            <v>C</v>
          </cell>
          <cell r="F338">
            <v>1</v>
          </cell>
        </row>
        <row r="339">
          <cell r="A339" t="str">
            <v>095010544</v>
          </cell>
          <cell r="B339" t="str">
            <v>09</v>
          </cell>
          <cell r="C339">
            <v>501</v>
          </cell>
          <cell r="D339" t="str">
            <v>0544</v>
          </cell>
          <cell r="E339" t="str">
            <v>Q</v>
          </cell>
          <cell r="F339">
            <v>1</v>
          </cell>
        </row>
        <row r="340">
          <cell r="A340" t="str">
            <v>096010544</v>
          </cell>
          <cell r="B340" t="str">
            <v>09</v>
          </cell>
          <cell r="C340">
            <v>601</v>
          </cell>
          <cell r="D340" t="str">
            <v>0544</v>
          </cell>
          <cell r="E340" t="str">
            <v>Q</v>
          </cell>
          <cell r="F340">
            <v>5</v>
          </cell>
        </row>
        <row r="341">
          <cell r="A341" t="str">
            <v>096020544</v>
          </cell>
          <cell r="B341" t="str">
            <v>09</v>
          </cell>
          <cell r="C341">
            <v>602</v>
          </cell>
          <cell r="D341" t="str">
            <v>0544</v>
          </cell>
          <cell r="E341" t="str">
            <v>R</v>
          </cell>
          <cell r="F341">
            <v>6</v>
          </cell>
        </row>
        <row r="342">
          <cell r="A342" t="str">
            <v>096030544</v>
          </cell>
          <cell r="B342" t="str">
            <v>09</v>
          </cell>
          <cell r="C342">
            <v>603</v>
          </cell>
          <cell r="D342" t="str">
            <v>0544</v>
          </cell>
          <cell r="E342" t="str">
            <v>S</v>
          </cell>
          <cell r="F342">
            <v>6</v>
          </cell>
        </row>
        <row r="343">
          <cell r="A343" t="str">
            <v>992000545</v>
          </cell>
          <cell r="B343">
            <v>99</v>
          </cell>
          <cell r="C343">
            <v>200</v>
          </cell>
          <cell r="D343" t="str">
            <v>0545</v>
          </cell>
          <cell r="E343" t="str">
            <v>Q</v>
          </cell>
          <cell r="F343">
            <v>4</v>
          </cell>
        </row>
        <row r="344">
          <cell r="A344" t="str">
            <v>993000545</v>
          </cell>
          <cell r="B344">
            <v>99</v>
          </cell>
          <cell r="C344">
            <v>300</v>
          </cell>
          <cell r="D344" t="str">
            <v>0545</v>
          </cell>
          <cell r="E344" t="str">
            <v>Q</v>
          </cell>
          <cell r="F344">
            <v>4</v>
          </cell>
        </row>
        <row r="345">
          <cell r="A345" t="str">
            <v>995000545</v>
          </cell>
          <cell r="B345">
            <v>99</v>
          </cell>
          <cell r="C345">
            <v>500</v>
          </cell>
          <cell r="D345" t="str">
            <v>0545</v>
          </cell>
          <cell r="E345" t="str">
            <v>D</v>
          </cell>
          <cell r="F345">
            <v>1</v>
          </cell>
        </row>
        <row r="346">
          <cell r="A346" t="str">
            <v>995010545</v>
          </cell>
          <cell r="B346">
            <v>99</v>
          </cell>
          <cell r="C346">
            <v>501</v>
          </cell>
          <cell r="D346" t="str">
            <v>0545</v>
          </cell>
          <cell r="E346" t="str">
            <v>Q</v>
          </cell>
          <cell r="F346">
            <v>1</v>
          </cell>
        </row>
        <row r="347">
          <cell r="A347" t="str">
            <v>996010545</v>
          </cell>
          <cell r="B347">
            <v>99</v>
          </cell>
          <cell r="C347">
            <v>601</v>
          </cell>
          <cell r="D347" t="str">
            <v>0545</v>
          </cell>
          <cell r="E347" t="str">
            <v>Q</v>
          </cell>
          <cell r="F347">
            <v>5</v>
          </cell>
        </row>
        <row r="348">
          <cell r="A348" t="str">
            <v>996020545</v>
          </cell>
          <cell r="B348">
            <v>99</v>
          </cell>
          <cell r="C348">
            <v>602</v>
          </cell>
          <cell r="D348" t="str">
            <v>0545</v>
          </cell>
          <cell r="E348" t="str">
            <v>R</v>
          </cell>
          <cell r="F348">
            <v>6</v>
          </cell>
        </row>
        <row r="349">
          <cell r="A349" t="str">
            <v>996030545</v>
          </cell>
          <cell r="B349">
            <v>99</v>
          </cell>
          <cell r="C349">
            <v>603</v>
          </cell>
          <cell r="D349" t="str">
            <v>0545</v>
          </cell>
          <cell r="E349" t="str">
            <v>S</v>
          </cell>
          <cell r="F349">
            <v>6</v>
          </cell>
        </row>
        <row r="350">
          <cell r="A350" t="str">
            <v>092000545</v>
          </cell>
          <cell r="B350" t="str">
            <v>09</v>
          </cell>
          <cell r="C350">
            <v>200</v>
          </cell>
          <cell r="D350" t="str">
            <v>0545</v>
          </cell>
          <cell r="E350" t="str">
            <v>Q</v>
          </cell>
          <cell r="F350">
            <v>4</v>
          </cell>
        </row>
        <row r="351">
          <cell r="A351" t="str">
            <v>093000545</v>
          </cell>
          <cell r="B351" t="str">
            <v>09</v>
          </cell>
          <cell r="C351">
            <v>300</v>
          </cell>
          <cell r="D351" t="str">
            <v>0545</v>
          </cell>
          <cell r="E351" t="str">
            <v>Q</v>
          </cell>
          <cell r="F351">
            <v>4</v>
          </cell>
        </row>
        <row r="352">
          <cell r="A352" t="str">
            <v>095000545</v>
          </cell>
          <cell r="B352" t="str">
            <v>09</v>
          </cell>
          <cell r="C352">
            <v>500</v>
          </cell>
          <cell r="D352" t="str">
            <v>0545</v>
          </cell>
          <cell r="E352" t="str">
            <v>D</v>
          </cell>
          <cell r="F352">
            <v>1</v>
          </cell>
        </row>
        <row r="353">
          <cell r="A353" t="str">
            <v>095010545</v>
          </cell>
          <cell r="B353" t="str">
            <v>09</v>
          </cell>
          <cell r="C353">
            <v>501</v>
          </cell>
          <cell r="D353" t="str">
            <v>0545</v>
          </cell>
          <cell r="E353" t="str">
            <v>Q</v>
          </cell>
          <cell r="F353">
            <v>1</v>
          </cell>
        </row>
        <row r="354">
          <cell r="A354" t="str">
            <v>096010545</v>
          </cell>
          <cell r="B354" t="str">
            <v>09</v>
          </cell>
          <cell r="C354">
            <v>601</v>
          </cell>
          <cell r="D354" t="str">
            <v>0545</v>
          </cell>
          <cell r="E354" t="str">
            <v>Q</v>
          </cell>
          <cell r="F354">
            <v>5</v>
          </cell>
        </row>
        <row r="355">
          <cell r="A355" t="str">
            <v>096020545</v>
          </cell>
          <cell r="B355" t="str">
            <v>09</v>
          </cell>
          <cell r="C355">
            <v>602</v>
          </cell>
          <cell r="D355" t="str">
            <v>0545</v>
          </cell>
          <cell r="E355" t="str">
            <v>R</v>
          </cell>
          <cell r="F355">
            <v>6</v>
          </cell>
        </row>
        <row r="356">
          <cell r="A356" t="str">
            <v>096030545</v>
          </cell>
          <cell r="B356" t="str">
            <v>09</v>
          </cell>
          <cell r="C356">
            <v>603</v>
          </cell>
          <cell r="D356" t="str">
            <v>0545</v>
          </cell>
          <cell r="E356" t="str">
            <v>S</v>
          </cell>
          <cell r="F356">
            <v>6</v>
          </cell>
        </row>
        <row r="357">
          <cell r="A357" t="str">
            <v>992000546</v>
          </cell>
          <cell r="B357">
            <v>99</v>
          </cell>
          <cell r="C357">
            <v>200</v>
          </cell>
          <cell r="D357" t="str">
            <v>0546</v>
          </cell>
          <cell r="E357" t="str">
            <v>Q</v>
          </cell>
          <cell r="F357">
            <v>4</v>
          </cell>
        </row>
        <row r="358">
          <cell r="A358" t="str">
            <v>993000546</v>
          </cell>
          <cell r="B358">
            <v>99</v>
          </cell>
          <cell r="C358">
            <v>300</v>
          </cell>
          <cell r="D358" t="str">
            <v>0546</v>
          </cell>
          <cell r="E358" t="str">
            <v>Q</v>
          </cell>
          <cell r="F358">
            <v>4</v>
          </cell>
        </row>
        <row r="359">
          <cell r="A359" t="str">
            <v>995000546</v>
          </cell>
          <cell r="B359">
            <v>99</v>
          </cell>
          <cell r="C359">
            <v>500</v>
          </cell>
          <cell r="D359" t="str">
            <v>0546</v>
          </cell>
          <cell r="E359" t="str">
            <v>D</v>
          </cell>
          <cell r="F359">
            <v>1</v>
          </cell>
        </row>
        <row r="360">
          <cell r="A360" t="str">
            <v>995010546</v>
          </cell>
          <cell r="B360">
            <v>99</v>
          </cell>
          <cell r="C360">
            <v>501</v>
          </cell>
          <cell r="D360" t="str">
            <v>0546</v>
          </cell>
          <cell r="E360" t="str">
            <v>Q</v>
          </cell>
          <cell r="F360">
            <v>1</v>
          </cell>
        </row>
        <row r="361">
          <cell r="A361" t="str">
            <v>995090546</v>
          </cell>
          <cell r="B361">
            <v>99</v>
          </cell>
          <cell r="C361">
            <v>509</v>
          </cell>
          <cell r="D361" t="str">
            <v>0546</v>
          </cell>
          <cell r="E361" t="str">
            <v>J</v>
          </cell>
          <cell r="F361">
            <v>1</v>
          </cell>
        </row>
        <row r="362">
          <cell r="A362" t="str">
            <v>996010546</v>
          </cell>
          <cell r="B362">
            <v>99</v>
          </cell>
          <cell r="C362">
            <v>601</v>
          </cell>
          <cell r="D362" t="str">
            <v>0546</v>
          </cell>
          <cell r="E362" t="str">
            <v>Q</v>
          </cell>
          <cell r="F362">
            <v>5</v>
          </cell>
        </row>
        <row r="363">
          <cell r="A363" t="str">
            <v>996020546</v>
          </cell>
          <cell r="B363">
            <v>99</v>
          </cell>
          <cell r="C363">
            <v>602</v>
          </cell>
          <cell r="D363" t="str">
            <v>0546</v>
          </cell>
          <cell r="E363" t="str">
            <v>R</v>
          </cell>
          <cell r="F363">
            <v>6</v>
          </cell>
        </row>
        <row r="364">
          <cell r="A364" t="str">
            <v>996030546</v>
          </cell>
          <cell r="B364">
            <v>99</v>
          </cell>
          <cell r="C364">
            <v>603</v>
          </cell>
          <cell r="D364" t="str">
            <v>0546</v>
          </cell>
          <cell r="E364" t="str">
            <v>S</v>
          </cell>
          <cell r="F364">
            <v>6</v>
          </cell>
        </row>
        <row r="365">
          <cell r="A365" t="str">
            <v>092000546</v>
          </cell>
          <cell r="B365" t="str">
            <v>09</v>
          </cell>
          <cell r="C365">
            <v>200</v>
          </cell>
          <cell r="D365" t="str">
            <v>0546</v>
          </cell>
          <cell r="E365" t="str">
            <v>Q</v>
          </cell>
          <cell r="F365">
            <v>4</v>
          </cell>
        </row>
        <row r="366">
          <cell r="A366" t="str">
            <v>093000546</v>
          </cell>
          <cell r="B366" t="str">
            <v>09</v>
          </cell>
          <cell r="C366">
            <v>300</v>
          </cell>
          <cell r="D366" t="str">
            <v>0546</v>
          </cell>
          <cell r="E366" t="str">
            <v>Q</v>
          </cell>
          <cell r="F366">
            <v>4</v>
          </cell>
        </row>
        <row r="367">
          <cell r="A367" t="str">
            <v>095000546</v>
          </cell>
          <cell r="B367" t="str">
            <v>09</v>
          </cell>
          <cell r="C367">
            <v>500</v>
          </cell>
          <cell r="D367" t="str">
            <v>0546</v>
          </cell>
          <cell r="E367" t="str">
            <v>D</v>
          </cell>
          <cell r="F367">
            <v>1</v>
          </cell>
        </row>
        <row r="368">
          <cell r="A368" t="str">
            <v>095010546</v>
          </cell>
          <cell r="B368" t="str">
            <v>09</v>
          </cell>
          <cell r="C368">
            <v>501</v>
          </cell>
          <cell r="D368" t="str">
            <v>0546</v>
          </cell>
          <cell r="E368" t="str">
            <v>Q</v>
          </cell>
          <cell r="F368">
            <v>1</v>
          </cell>
        </row>
        <row r="369">
          <cell r="A369" t="str">
            <v>095090546</v>
          </cell>
          <cell r="B369" t="str">
            <v>09</v>
          </cell>
          <cell r="C369">
            <v>509</v>
          </cell>
          <cell r="D369" t="str">
            <v>0546</v>
          </cell>
          <cell r="E369" t="str">
            <v>J</v>
          </cell>
          <cell r="F369">
            <v>1</v>
          </cell>
        </row>
        <row r="370">
          <cell r="A370" t="str">
            <v>096010546</v>
          </cell>
          <cell r="B370" t="str">
            <v>09</v>
          </cell>
          <cell r="C370">
            <v>601</v>
          </cell>
          <cell r="D370" t="str">
            <v>0546</v>
          </cell>
          <cell r="E370" t="str">
            <v>Q</v>
          </cell>
          <cell r="F370">
            <v>5</v>
          </cell>
        </row>
        <row r="371">
          <cell r="A371" t="str">
            <v>096020546</v>
          </cell>
          <cell r="B371" t="str">
            <v>09</v>
          </cell>
          <cell r="C371">
            <v>602</v>
          </cell>
          <cell r="D371" t="str">
            <v>0546</v>
          </cell>
          <cell r="E371" t="str">
            <v>R</v>
          </cell>
          <cell r="F371">
            <v>6</v>
          </cell>
        </row>
        <row r="372">
          <cell r="A372" t="str">
            <v>096030546</v>
          </cell>
          <cell r="B372" t="str">
            <v>09</v>
          </cell>
          <cell r="C372">
            <v>603</v>
          </cell>
          <cell r="D372" t="str">
            <v>0546</v>
          </cell>
          <cell r="E372" t="str">
            <v>S</v>
          </cell>
          <cell r="F372">
            <v>6</v>
          </cell>
        </row>
        <row r="373">
          <cell r="A373" t="str">
            <v>015000547</v>
          </cell>
          <cell r="B373" t="str">
            <v>01</v>
          </cell>
          <cell r="C373" t="str">
            <v>500</v>
          </cell>
          <cell r="D373" t="str">
            <v>0547</v>
          </cell>
          <cell r="E373" t="str">
            <v>Q</v>
          </cell>
          <cell r="F373">
            <v>3</v>
          </cell>
        </row>
        <row r="374">
          <cell r="A374" t="str">
            <v>015010547</v>
          </cell>
          <cell r="B374" t="str">
            <v>01</v>
          </cell>
          <cell r="C374" t="str">
            <v>501</v>
          </cell>
          <cell r="D374" t="str">
            <v>0547</v>
          </cell>
          <cell r="E374" t="str">
            <v>Q</v>
          </cell>
          <cell r="F374">
            <v>3</v>
          </cell>
        </row>
        <row r="375">
          <cell r="A375" t="str">
            <v>992000547</v>
          </cell>
          <cell r="B375">
            <v>99</v>
          </cell>
          <cell r="C375">
            <v>200</v>
          </cell>
          <cell r="D375" t="str">
            <v>0547</v>
          </cell>
          <cell r="E375" t="str">
            <v>Q</v>
          </cell>
          <cell r="F375">
            <v>4</v>
          </cell>
        </row>
        <row r="376">
          <cell r="A376" t="str">
            <v>993000547</v>
          </cell>
          <cell r="B376">
            <v>99</v>
          </cell>
          <cell r="C376">
            <v>300</v>
          </cell>
          <cell r="D376" t="str">
            <v>0547</v>
          </cell>
          <cell r="E376" t="str">
            <v>Q</v>
          </cell>
          <cell r="F376">
            <v>4</v>
          </cell>
        </row>
        <row r="377">
          <cell r="A377" t="str">
            <v>995000547</v>
          </cell>
          <cell r="B377">
            <v>99</v>
          </cell>
          <cell r="C377">
            <v>500</v>
          </cell>
          <cell r="D377" t="str">
            <v>0547</v>
          </cell>
          <cell r="E377" t="str">
            <v>D</v>
          </cell>
          <cell r="F377">
            <v>1</v>
          </cell>
        </row>
        <row r="378">
          <cell r="A378" t="str">
            <v>995010547</v>
          </cell>
          <cell r="B378">
            <v>99</v>
          </cell>
          <cell r="C378">
            <v>501</v>
          </cell>
          <cell r="D378" t="str">
            <v>0547</v>
          </cell>
          <cell r="E378" t="str">
            <v>Q</v>
          </cell>
          <cell r="F378">
            <v>1</v>
          </cell>
        </row>
        <row r="379">
          <cell r="A379" t="str">
            <v>995090547</v>
          </cell>
          <cell r="B379">
            <v>99</v>
          </cell>
          <cell r="C379">
            <v>509</v>
          </cell>
          <cell r="D379" t="str">
            <v>0547</v>
          </cell>
          <cell r="E379" t="str">
            <v>J</v>
          </cell>
          <cell r="F379">
            <v>1</v>
          </cell>
        </row>
        <row r="380">
          <cell r="A380" t="str">
            <v>996000547</v>
          </cell>
          <cell r="B380">
            <v>99</v>
          </cell>
          <cell r="C380">
            <v>600</v>
          </cell>
          <cell r="D380" t="str">
            <v>0547</v>
          </cell>
          <cell r="E380" t="str">
            <v>M</v>
          </cell>
          <cell r="F380">
            <v>5</v>
          </cell>
        </row>
        <row r="381">
          <cell r="A381" t="str">
            <v>996010547</v>
          </cell>
          <cell r="B381">
            <v>99</v>
          </cell>
          <cell r="C381">
            <v>601</v>
          </cell>
          <cell r="D381" t="str">
            <v>0547</v>
          </cell>
          <cell r="E381" t="str">
            <v>Q</v>
          </cell>
          <cell r="F381">
            <v>5</v>
          </cell>
        </row>
        <row r="382">
          <cell r="A382" t="str">
            <v>996020547</v>
          </cell>
          <cell r="B382">
            <v>99</v>
          </cell>
          <cell r="C382">
            <v>602</v>
          </cell>
          <cell r="D382" t="str">
            <v>0547</v>
          </cell>
          <cell r="E382" t="str">
            <v>R</v>
          </cell>
          <cell r="F382">
            <v>6</v>
          </cell>
        </row>
        <row r="383">
          <cell r="A383" t="str">
            <v>996030547</v>
          </cell>
          <cell r="B383">
            <v>99</v>
          </cell>
          <cell r="C383">
            <v>603</v>
          </cell>
          <cell r="D383" t="str">
            <v>0547</v>
          </cell>
          <cell r="E383" t="str">
            <v>S</v>
          </cell>
          <cell r="F383">
            <v>6</v>
          </cell>
        </row>
        <row r="384">
          <cell r="A384" t="str">
            <v>996100547</v>
          </cell>
          <cell r="B384">
            <v>99</v>
          </cell>
          <cell r="C384">
            <v>610</v>
          </cell>
          <cell r="D384" t="str">
            <v>0547</v>
          </cell>
          <cell r="E384" t="str">
            <v>T</v>
          </cell>
          <cell r="F384">
            <v>5</v>
          </cell>
        </row>
        <row r="385">
          <cell r="A385" t="str">
            <v>092000547</v>
          </cell>
          <cell r="B385" t="str">
            <v>09</v>
          </cell>
          <cell r="C385">
            <v>200</v>
          </cell>
          <cell r="D385" t="str">
            <v>0547</v>
          </cell>
          <cell r="E385" t="str">
            <v>Q</v>
          </cell>
          <cell r="F385">
            <v>4</v>
          </cell>
        </row>
        <row r="386">
          <cell r="A386" t="str">
            <v>093000547</v>
          </cell>
          <cell r="B386" t="str">
            <v>09</v>
          </cell>
          <cell r="C386">
            <v>300</v>
          </cell>
          <cell r="D386" t="str">
            <v>0547</v>
          </cell>
          <cell r="E386" t="str">
            <v>Q</v>
          </cell>
          <cell r="F386">
            <v>4</v>
          </cell>
        </row>
        <row r="387">
          <cell r="A387" t="str">
            <v>095000547</v>
          </cell>
          <cell r="B387" t="str">
            <v>09</v>
          </cell>
          <cell r="C387">
            <v>500</v>
          </cell>
          <cell r="D387" t="str">
            <v>0547</v>
          </cell>
          <cell r="E387" t="str">
            <v>J</v>
          </cell>
          <cell r="F387">
            <v>1</v>
          </cell>
        </row>
        <row r="388">
          <cell r="A388" t="str">
            <v>095010547</v>
          </cell>
          <cell r="B388" t="str">
            <v>09</v>
          </cell>
          <cell r="C388">
            <v>501</v>
          </cell>
          <cell r="D388" t="str">
            <v>0547</v>
          </cell>
          <cell r="E388" t="str">
            <v>Q</v>
          </cell>
          <cell r="F388">
            <v>1</v>
          </cell>
        </row>
        <row r="389">
          <cell r="A389" t="str">
            <v>095090547</v>
          </cell>
          <cell r="B389" t="str">
            <v>09</v>
          </cell>
          <cell r="C389">
            <v>509</v>
          </cell>
          <cell r="D389" t="str">
            <v>0547</v>
          </cell>
          <cell r="E389" t="str">
            <v>J</v>
          </cell>
          <cell r="F389">
            <v>1</v>
          </cell>
        </row>
        <row r="390">
          <cell r="A390" t="str">
            <v>096010547</v>
          </cell>
          <cell r="B390" t="str">
            <v>09</v>
          </cell>
          <cell r="C390">
            <v>601</v>
          </cell>
          <cell r="D390" t="str">
            <v>0547</v>
          </cell>
          <cell r="E390" t="str">
            <v>Q</v>
          </cell>
          <cell r="F390">
            <v>5</v>
          </cell>
        </row>
        <row r="391">
          <cell r="A391" t="str">
            <v>096020547</v>
          </cell>
          <cell r="B391" t="str">
            <v>09</v>
          </cell>
          <cell r="C391">
            <v>602</v>
          </cell>
          <cell r="D391" t="str">
            <v>0547</v>
          </cell>
          <cell r="E391" t="str">
            <v>R</v>
          </cell>
          <cell r="F391">
            <v>6</v>
          </cell>
        </row>
        <row r="392">
          <cell r="A392" t="str">
            <v>096030547</v>
          </cell>
          <cell r="B392" t="str">
            <v>09</v>
          </cell>
          <cell r="C392">
            <v>603</v>
          </cell>
          <cell r="D392" t="str">
            <v>0547</v>
          </cell>
          <cell r="E392" t="str">
            <v>S</v>
          </cell>
          <cell r="F392">
            <v>6</v>
          </cell>
        </row>
        <row r="393">
          <cell r="A393" t="str">
            <v>992000548</v>
          </cell>
          <cell r="B393">
            <v>99</v>
          </cell>
          <cell r="C393">
            <v>200</v>
          </cell>
          <cell r="D393" t="str">
            <v>0548</v>
          </cell>
          <cell r="E393" t="str">
            <v>Q</v>
          </cell>
          <cell r="F393">
            <v>4</v>
          </cell>
        </row>
        <row r="394">
          <cell r="A394" t="str">
            <v>993000548</v>
          </cell>
          <cell r="B394">
            <v>99</v>
          </cell>
          <cell r="C394">
            <v>300</v>
          </cell>
          <cell r="D394" t="str">
            <v>0548</v>
          </cell>
          <cell r="E394" t="str">
            <v>Q</v>
          </cell>
          <cell r="F394">
            <v>4</v>
          </cell>
        </row>
        <row r="395">
          <cell r="A395" t="str">
            <v>995000548</v>
          </cell>
          <cell r="B395">
            <v>99</v>
          </cell>
          <cell r="C395">
            <v>500</v>
          </cell>
          <cell r="D395" t="str">
            <v>0548</v>
          </cell>
          <cell r="E395" t="str">
            <v>B</v>
          </cell>
          <cell r="F395">
            <v>1</v>
          </cell>
        </row>
        <row r="396">
          <cell r="A396" t="str">
            <v>995010548</v>
          </cell>
          <cell r="B396">
            <v>99</v>
          </cell>
          <cell r="C396">
            <v>501</v>
          </cell>
          <cell r="D396" t="str">
            <v>0548</v>
          </cell>
          <cell r="E396" t="str">
            <v>Q</v>
          </cell>
          <cell r="F396">
            <v>1</v>
          </cell>
        </row>
        <row r="397">
          <cell r="A397" t="str">
            <v>996000548</v>
          </cell>
          <cell r="B397">
            <v>99</v>
          </cell>
          <cell r="C397">
            <v>600</v>
          </cell>
          <cell r="D397" t="str">
            <v>0548</v>
          </cell>
          <cell r="E397" t="str">
            <v>M</v>
          </cell>
          <cell r="F397">
            <v>5</v>
          </cell>
        </row>
        <row r="398">
          <cell r="A398" t="str">
            <v>996010548</v>
          </cell>
          <cell r="B398">
            <v>99</v>
          </cell>
          <cell r="C398">
            <v>601</v>
          </cell>
          <cell r="D398" t="str">
            <v>0548</v>
          </cell>
          <cell r="E398" t="str">
            <v>Q</v>
          </cell>
          <cell r="F398">
            <v>5</v>
          </cell>
        </row>
        <row r="399">
          <cell r="A399" t="str">
            <v>996020548</v>
          </cell>
          <cell r="B399">
            <v>99</v>
          </cell>
          <cell r="C399">
            <v>602</v>
          </cell>
          <cell r="D399" t="str">
            <v>0548</v>
          </cell>
          <cell r="E399" t="str">
            <v>R</v>
          </cell>
          <cell r="F399">
            <v>6</v>
          </cell>
        </row>
        <row r="400">
          <cell r="A400" t="str">
            <v>996030548</v>
          </cell>
          <cell r="B400">
            <v>99</v>
          </cell>
          <cell r="C400">
            <v>603</v>
          </cell>
          <cell r="D400" t="str">
            <v>0548</v>
          </cell>
          <cell r="E400" t="str">
            <v>S</v>
          </cell>
          <cell r="F400">
            <v>6</v>
          </cell>
        </row>
        <row r="401">
          <cell r="A401" t="str">
            <v>996100548</v>
          </cell>
          <cell r="B401">
            <v>99</v>
          </cell>
          <cell r="C401">
            <v>610</v>
          </cell>
          <cell r="D401" t="str">
            <v>0548</v>
          </cell>
          <cell r="E401" t="str">
            <v>T</v>
          </cell>
          <cell r="F401">
            <v>5</v>
          </cell>
        </row>
        <row r="402">
          <cell r="A402" t="str">
            <v>092000548</v>
          </cell>
          <cell r="B402" t="str">
            <v>09</v>
          </cell>
          <cell r="C402">
            <v>200</v>
          </cell>
          <cell r="D402" t="str">
            <v>0548</v>
          </cell>
          <cell r="E402" t="str">
            <v>Q</v>
          </cell>
          <cell r="F402">
            <v>4</v>
          </cell>
        </row>
        <row r="403">
          <cell r="A403" t="str">
            <v>093000548</v>
          </cell>
          <cell r="B403" t="str">
            <v>09</v>
          </cell>
          <cell r="C403">
            <v>300</v>
          </cell>
          <cell r="D403" t="str">
            <v>0548</v>
          </cell>
          <cell r="E403" t="str">
            <v>Q</v>
          </cell>
          <cell r="F403">
            <v>4</v>
          </cell>
        </row>
        <row r="404">
          <cell r="A404" t="str">
            <v>095000548</v>
          </cell>
          <cell r="B404" t="str">
            <v>09</v>
          </cell>
          <cell r="C404">
            <v>500</v>
          </cell>
          <cell r="D404" t="str">
            <v>0548</v>
          </cell>
          <cell r="E404" t="str">
            <v>B</v>
          </cell>
          <cell r="F404">
            <v>1</v>
          </cell>
        </row>
        <row r="405">
          <cell r="A405" t="str">
            <v>095010548</v>
          </cell>
          <cell r="B405" t="str">
            <v>09</v>
          </cell>
          <cell r="C405">
            <v>501</v>
          </cell>
          <cell r="D405" t="str">
            <v>0548</v>
          </cell>
          <cell r="E405" t="str">
            <v>Q</v>
          </cell>
          <cell r="F405">
            <v>1</v>
          </cell>
        </row>
        <row r="406">
          <cell r="A406" t="str">
            <v>096010548</v>
          </cell>
          <cell r="B406" t="str">
            <v>09</v>
          </cell>
          <cell r="C406">
            <v>601</v>
          </cell>
          <cell r="D406" t="str">
            <v>0548</v>
          </cell>
          <cell r="E406" t="str">
            <v>Q</v>
          </cell>
          <cell r="F406">
            <v>5</v>
          </cell>
        </row>
        <row r="407">
          <cell r="A407" t="str">
            <v>096020548</v>
          </cell>
          <cell r="B407" t="str">
            <v>09</v>
          </cell>
          <cell r="C407">
            <v>602</v>
          </cell>
          <cell r="D407" t="str">
            <v>0548</v>
          </cell>
          <cell r="E407" t="str">
            <v>R</v>
          </cell>
          <cell r="F407">
            <v>6</v>
          </cell>
        </row>
        <row r="408">
          <cell r="A408" t="str">
            <v>096030548</v>
          </cell>
          <cell r="B408" t="str">
            <v>09</v>
          </cell>
          <cell r="C408">
            <v>603</v>
          </cell>
          <cell r="D408" t="str">
            <v>0548</v>
          </cell>
          <cell r="E408" t="str">
            <v>S</v>
          </cell>
          <cell r="F408">
            <v>6</v>
          </cell>
        </row>
        <row r="409">
          <cell r="A409" t="str">
            <v>992000549</v>
          </cell>
          <cell r="B409">
            <v>99</v>
          </cell>
          <cell r="C409">
            <v>200</v>
          </cell>
          <cell r="D409" t="str">
            <v>0549</v>
          </cell>
          <cell r="E409" t="str">
            <v>Q</v>
          </cell>
          <cell r="F409">
            <v>4</v>
          </cell>
        </row>
        <row r="410">
          <cell r="A410" t="str">
            <v>993000549</v>
          </cell>
          <cell r="B410">
            <v>99</v>
          </cell>
          <cell r="C410">
            <v>300</v>
          </cell>
          <cell r="D410" t="str">
            <v>0549</v>
          </cell>
          <cell r="E410" t="str">
            <v>Q</v>
          </cell>
          <cell r="F410">
            <v>4</v>
          </cell>
        </row>
        <row r="411">
          <cell r="A411" t="str">
            <v>995000549</v>
          </cell>
          <cell r="B411">
            <v>99</v>
          </cell>
          <cell r="C411">
            <v>500</v>
          </cell>
          <cell r="D411" t="str">
            <v>0549</v>
          </cell>
          <cell r="E411" t="str">
            <v>A</v>
          </cell>
          <cell r="F411">
            <v>1</v>
          </cell>
        </row>
        <row r="412">
          <cell r="A412" t="str">
            <v>995010549</v>
          </cell>
          <cell r="B412">
            <v>99</v>
          </cell>
          <cell r="C412">
            <v>501</v>
          </cell>
          <cell r="D412" t="str">
            <v>0549</v>
          </cell>
          <cell r="E412" t="str">
            <v>Q</v>
          </cell>
          <cell r="F412">
            <v>1</v>
          </cell>
        </row>
        <row r="413">
          <cell r="A413" t="str">
            <v>996010549</v>
          </cell>
          <cell r="B413">
            <v>99</v>
          </cell>
          <cell r="C413">
            <v>601</v>
          </cell>
          <cell r="D413" t="str">
            <v>0549</v>
          </cell>
          <cell r="E413" t="str">
            <v>Q</v>
          </cell>
          <cell r="F413">
            <v>5</v>
          </cell>
        </row>
        <row r="414">
          <cell r="A414" t="str">
            <v>996020549</v>
          </cell>
          <cell r="B414">
            <v>99</v>
          </cell>
          <cell r="C414">
            <v>602</v>
          </cell>
          <cell r="D414" t="str">
            <v>0549</v>
          </cell>
          <cell r="E414" t="str">
            <v>R</v>
          </cell>
          <cell r="F414">
            <v>6</v>
          </cell>
        </row>
        <row r="415">
          <cell r="A415" t="str">
            <v>996030549</v>
          </cell>
          <cell r="B415">
            <v>99</v>
          </cell>
          <cell r="C415">
            <v>603</v>
          </cell>
          <cell r="D415" t="str">
            <v>0549</v>
          </cell>
          <cell r="E415" t="str">
            <v>S</v>
          </cell>
          <cell r="F415">
            <v>6</v>
          </cell>
        </row>
        <row r="416">
          <cell r="A416" t="str">
            <v>092000549</v>
          </cell>
          <cell r="B416" t="str">
            <v>09</v>
          </cell>
          <cell r="C416">
            <v>200</v>
          </cell>
          <cell r="D416" t="str">
            <v>0549</v>
          </cell>
          <cell r="E416" t="str">
            <v>Q</v>
          </cell>
          <cell r="F416">
            <v>4</v>
          </cell>
        </row>
        <row r="417">
          <cell r="A417" t="str">
            <v>093000549</v>
          </cell>
          <cell r="B417" t="str">
            <v>09</v>
          </cell>
          <cell r="C417">
            <v>300</v>
          </cell>
          <cell r="D417" t="str">
            <v>0549</v>
          </cell>
          <cell r="E417" t="str">
            <v>Q</v>
          </cell>
          <cell r="F417">
            <v>4</v>
          </cell>
        </row>
        <row r="418">
          <cell r="A418" t="str">
            <v>095000549</v>
          </cell>
          <cell r="B418" t="str">
            <v>09</v>
          </cell>
          <cell r="C418">
            <v>500</v>
          </cell>
          <cell r="D418" t="str">
            <v>0549</v>
          </cell>
          <cell r="E418" t="str">
            <v>A</v>
          </cell>
          <cell r="F418">
            <v>1</v>
          </cell>
        </row>
        <row r="419">
          <cell r="A419" t="str">
            <v>095010549</v>
          </cell>
          <cell r="B419" t="str">
            <v>09</v>
          </cell>
          <cell r="C419">
            <v>501</v>
          </cell>
          <cell r="D419" t="str">
            <v>0549</v>
          </cell>
          <cell r="E419" t="str">
            <v>Q</v>
          </cell>
          <cell r="F419">
            <v>1</v>
          </cell>
        </row>
        <row r="420">
          <cell r="A420" t="str">
            <v>096010549</v>
          </cell>
          <cell r="B420" t="str">
            <v>09</v>
          </cell>
          <cell r="C420">
            <v>601</v>
          </cell>
          <cell r="D420" t="str">
            <v>0549</v>
          </cell>
          <cell r="E420" t="str">
            <v>Q</v>
          </cell>
          <cell r="F420">
            <v>5</v>
          </cell>
        </row>
        <row r="421">
          <cell r="A421" t="str">
            <v>096020549</v>
          </cell>
          <cell r="B421" t="str">
            <v>09</v>
          </cell>
          <cell r="C421">
            <v>602</v>
          </cell>
          <cell r="D421" t="str">
            <v>0549</v>
          </cell>
          <cell r="E421" t="str">
            <v>R</v>
          </cell>
          <cell r="F421">
            <v>6</v>
          </cell>
        </row>
        <row r="422">
          <cell r="A422" t="str">
            <v>096030549</v>
          </cell>
          <cell r="B422" t="str">
            <v>09</v>
          </cell>
          <cell r="C422">
            <v>603</v>
          </cell>
          <cell r="D422" t="str">
            <v>0549</v>
          </cell>
          <cell r="E422" t="str">
            <v>S</v>
          </cell>
          <cell r="F422">
            <v>6</v>
          </cell>
        </row>
        <row r="423">
          <cell r="A423" t="str">
            <v>992000550</v>
          </cell>
          <cell r="B423">
            <v>99</v>
          </cell>
          <cell r="C423">
            <v>200</v>
          </cell>
          <cell r="D423" t="str">
            <v>0550</v>
          </cell>
          <cell r="E423" t="str">
            <v>Q</v>
          </cell>
          <cell r="F423">
            <v>4</v>
          </cell>
        </row>
        <row r="424">
          <cell r="A424" t="str">
            <v>993000550</v>
          </cell>
          <cell r="B424">
            <v>99</v>
          </cell>
          <cell r="C424">
            <v>300</v>
          </cell>
          <cell r="D424" t="str">
            <v>0550</v>
          </cell>
          <cell r="E424" t="str">
            <v>Q</v>
          </cell>
          <cell r="F424">
            <v>4</v>
          </cell>
        </row>
        <row r="425">
          <cell r="A425" t="str">
            <v>995000550</v>
          </cell>
          <cell r="B425">
            <v>99</v>
          </cell>
          <cell r="C425">
            <v>500</v>
          </cell>
          <cell r="D425" t="str">
            <v>0550</v>
          </cell>
          <cell r="E425" t="str">
            <v>A</v>
          </cell>
          <cell r="F425">
            <v>1</v>
          </cell>
        </row>
        <row r="426">
          <cell r="A426" t="str">
            <v>995010550</v>
          </cell>
          <cell r="B426">
            <v>99</v>
          </cell>
          <cell r="C426">
            <v>501</v>
          </cell>
          <cell r="D426" t="str">
            <v>0550</v>
          </cell>
          <cell r="E426" t="str">
            <v>Q</v>
          </cell>
          <cell r="F426">
            <v>1</v>
          </cell>
        </row>
        <row r="427">
          <cell r="A427" t="str">
            <v>996010550</v>
          </cell>
          <cell r="B427">
            <v>99</v>
          </cell>
          <cell r="C427">
            <v>601</v>
          </cell>
          <cell r="D427" t="str">
            <v>0550</v>
          </cell>
          <cell r="E427" t="str">
            <v>Q</v>
          </cell>
          <cell r="F427">
            <v>5</v>
          </cell>
        </row>
        <row r="428">
          <cell r="A428" t="str">
            <v>996020550</v>
          </cell>
          <cell r="B428">
            <v>99</v>
          </cell>
          <cell r="C428">
            <v>602</v>
          </cell>
          <cell r="D428" t="str">
            <v>0550</v>
          </cell>
          <cell r="E428" t="str">
            <v>R</v>
          </cell>
          <cell r="F428">
            <v>6</v>
          </cell>
        </row>
        <row r="429">
          <cell r="A429" t="str">
            <v>996030550</v>
          </cell>
          <cell r="B429">
            <v>99</v>
          </cell>
          <cell r="C429">
            <v>603</v>
          </cell>
          <cell r="D429" t="str">
            <v>0550</v>
          </cell>
          <cell r="E429" t="str">
            <v>S</v>
          </cell>
          <cell r="F429">
            <v>6</v>
          </cell>
        </row>
        <row r="430">
          <cell r="A430" t="str">
            <v>092000550</v>
          </cell>
          <cell r="B430" t="str">
            <v>09</v>
          </cell>
          <cell r="C430">
            <v>200</v>
          </cell>
          <cell r="D430" t="str">
            <v>0550</v>
          </cell>
          <cell r="E430" t="str">
            <v>Q</v>
          </cell>
          <cell r="F430">
            <v>4</v>
          </cell>
        </row>
        <row r="431">
          <cell r="A431" t="str">
            <v>093000550</v>
          </cell>
          <cell r="B431" t="str">
            <v>09</v>
          </cell>
          <cell r="C431">
            <v>300</v>
          </cell>
          <cell r="D431" t="str">
            <v>0550</v>
          </cell>
          <cell r="E431" t="str">
            <v>Q</v>
          </cell>
          <cell r="F431">
            <v>4</v>
          </cell>
        </row>
        <row r="432">
          <cell r="A432" t="str">
            <v>095000550</v>
          </cell>
          <cell r="B432" t="str">
            <v>09</v>
          </cell>
          <cell r="C432">
            <v>500</v>
          </cell>
          <cell r="D432" t="str">
            <v>0550</v>
          </cell>
          <cell r="E432" t="str">
            <v>A</v>
          </cell>
          <cell r="F432">
            <v>1</v>
          </cell>
        </row>
        <row r="433">
          <cell r="A433" t="str">
            <v>095010550</v>
          </cell>
          <cell r="B433" t="str">
            <v>09</v>
          </cell>
          <cell r="C433">
            <v>501</v>
          </cell>
          <cell r="D433" t="str">
            <v>0550</v>
          </cell>
          <cell r="E433" t="str">
            <v>Q</v>
          </cell>
          <cell r="F433">
            <v>1</v>
          </cell>
        </row>
        <row r="434">
          <cell r="A434" t="str">
            <v>096010550</v>
          </cell>
          <cell r="B434" t="str">
            <v>09</v>
          </cell>
          <cell r="C434">
            <v>601</v>
          </cell>
          <cell r="D434" t="str">
            <v>0550</v>
          </cell>
          <cell r="E434" t="str">
            <v>Q</v>
          </cell>
          <cell r="F434">
            <v>5</v>
          </cell>
        </row>
        <row r="435">
          <cell r="A435" t="str">
            <v>096020550</v>
          </cell>
          <cell r="B435" t="str">
            <v>09</v>
          </cell>
          <cell r="C435">
            <v>602</v>
          </cell>
          <cell r="D435" t="str">
            <v>0550</v>
          </cell>
          <cell r="E435" t="str">
            <v>R</v>
          </cell>
          <cell r="F435">
            <v>6</v>
          </cell>
        </row>
        <row r="436">
          <cell r="A436" t="str">
            <v>096030550</v>
          </cell>
          <cell r="B436" t="str">
            <v>09</v>
          </cell>
          <cell r="C436">
            <v>603</v>
          </cell>
          <cell r="D436" t="str">
            <v>0550</v>
          </cell>
          <cell r="E436" t="str">
            <v>S</v>
          </cell>
          <cell r="F436">
            <v>6</v>
          </cell>
        </row>
        <row r="437">
          <cell r="A437" t="str">
            <v>992000554</v>
          </cell>
          <cell r="B437">
            <v>99</v>
          </cell>
          <cell r="C437">
            <v>200</v>
          </cell>
          <cell r="D437" t="str">
            <v>0554</v>
          </cell>
          <cell r="E437" t="str">
            <v>Q</v>
          </cell>
          <cell r="F437">
            <v>4</v>
          </cell>
        </row>
        <row r="438">
          <cell r="A438" t="str">
            <v>993000554</v>
          </cell>
          <cell r="B438">
            <v>99</v>
          </cell>
          <cell r="C438">
            <v>300</v>
          </cell>
          <cell r="D438" t="str">
            <v>0554</v>
          </cell>
          <cell r="E438" t="str">
            <v>Q</v>
          </cell>
          <cell r="F438">
            <v>4</v>
          </cell>
        </row>
        <row r="439">
          <cell r="A439" t="str">
            <v>995000554</v>
          </cell>
          <cell r="B439">
            <v>99</v>
          </cell>
          <cell r="C439">
            <v>500</v>
          </cell>
          <cell r="D439" t="str">
            <v>0554</v>
          </cell>
          <cell r="E439" t="str">
            <v>A</v>
          </cell>
          <cell r="F439">
            <v>1</v>
          </cell>
        </row>
        <row r="440">
          <cell r="A440" t="str">
            <v>995010554</v>
          </cell>
          <cell r="B440">
            <v>99</v>
          </cell>
          <cell r="C440">
            <v>501</v>
          </cell>
          <cell r="D440" t="str">
            <v>0554</v>
          </cell>
          <cell r="E440" t="str">
            <v>Q</v>
          </cell>
          <cell r="F440">
            <v>1</v>
          </cell>
        </row>
        <row r="441">
          <cell r="A441" t="str">
            <v>995090554</v>
          </cell>
          <cell r="B441">
            <v>99</v>
          </cell>
          <cell r="C441">
            <v>509</v>
          </cell>
          <cell r="D441" t="str">
            <v>0554</v>
          </cell>
          <cell r="E441" t="str">
            <v>G</v>
          </cell>
          <cell r="F441">
            <v>1</v>
          </cell>
        </row>
        <row r="442">
          <cell r="A442" t="str">
            <v>996010554</v>
          </cell>
          <cell r="B442">
            <v>99</v>
          </cell>
          <cell r="C442">
            <v>601</v>
          </cell>
          <cell r="D442" t="str">
            <v>0554</v>
          </cell>
          <cell r="E442" t="str">
            <v>Q</v>
          </cell>
          <cell r="F442">
            <v>5</v>
          </cell>
        </row>
        <row r="443">
          <cell r="A443" t="str">
            <v>996020554</v>
          </cell>
          <cell r="B443">
            <v>99</v>
          </cell>
          <cell r="C443">
            <v>602</v>
          </cell>
          <cell r="D443" t="str">
            <v>0554</v>
          </cell>
          <cell r="E443" t="str">
            <v>R</v>
          </cell>
          <cell r="F443">
            <v>6</v>
          </cell>
        </row>
        <row r="444">
          <cell r="A444" t="str">
            <v>996030554</v>
          </cell>
          <cell r="B444">
            <v>99</v>
          </cell>
          <cell r="C444">
            <v>603</v>
          </cell>
          <cell r="D444" t="str">
            <v>0554</v>
          </cell>
          <cell r="E444" t="str">
            <v>S</v>
          </cell>
          <cell r="F444">
            <v>6</v>
          </cell>
        </row>
        <row r="445">
          <cell r="A445" t="str">
            <v>092000554</v>
          </cell>
          <cell r="B445" t="str">
            <v>09</v>
          </cell>
          <cell r="C445">
            <v>200</v>
          </cell>
          <cell r="D445" t="str">
            <v>0554</v>
          </cell>
          <cell r="E445" t="str">
            <v>Q</v>
          </cell>
          <cell r="F445">
            <v>4</v>
          </cell>
        </row>
        <row r="446">
          <cell r="A446" t="str">
            <v>093000554</v>
          </cell>
          <cell r="B446" t="str">
            <v>09</v>
          </cell>
          <cell r="C446">
            <v>300</v>
          </cell>
          <cell r="D446" t="str">
            <v>0554</v>
          </cell>
          <cell r="E446" t="str">
            <v>Q</v>
          </cell>
          <cell r="F446">
            <v>4</v>
          </cell>
        </row>
        <row r="447">
          <cell r="A447" t="str">
            <v>095000554</v>
          </cell>
          <cell r="B447" t="str">
            <v>09</v>
          </cell>
          <cell r="C447">
            <v>500</v>
          </cell>
          <cell r="D447" t="str">
            <v>0554</v>
          </cell>
          <cell r="E447" t="str">
            <v>A</v>
          </cell>
          <cell r="F447">
            <v>1</v>
          </cell>
        </row>
        <row r="448">
          <cell r="A448" t="str">
            <v>095010554</v>
          </cell>
          <cell r="B448" t="str">
            <v>09</v>
          </cell>
          <cell r="C448">
            <v>501</v>
          </cell>
          <cell r="D448" t="str">
            <v>0554</v>
          </cell>
          <cell r="E448" t="str">
            <v>Q</v>
          </cell>
          <cell r="F448">
            <v>1</v>
          </cell>
        </row>
        <row r="449">
          <cell r="A449" t="str">
            <v>096010554</v>
          </cell>
          <cell r="B449" t="str">
            <v>09</v>
          </cell>
          <cell r="C449">
            <v>601</v>
          </cell>
          <cell r="D449" t="str">
            <v>0554</v>
          </cell>
          <cell r="E449" t="str">
            <v>Q</v>
          </cell>
          <cell r="F449">
            <v>5</v>
          </cell>
        </row>
        <row r="450">
          <cell r="A450" t="str">
            <v>096020554</v>
          </cell>
          <cell r="B450" t="str">
            <v>09</v>
          </cell>
          <cell r="C450">
            <v>602</v>
          </cell>
          <cell r="D450" t="str">
            <v>0554</v>
          </cell>
          <cell r="E450" t="str">
            <v>R</v>
          </cell>
          <cell r="F450">
            <v>6</v>
          </cell>
        </row>
        <row r="451">
          <cell r="A451" t="str">
            <v>096030554</v>
          </cell>
          <cell r="B451" t="str">
            <v>09</v>
          </cell>
          <cell r="C451">
            <v>603</v>
          </cell>
          <cell r="D451" t="str">
            <v>0554</v>
          </cell>
          <cell r="E451" t="str">
            <v>S</v>
          </cell>
          <cell r="F451">
            <v>6</v>
          </cell>
        </row>
        <row r="452">
          <cell r="A452" t="str">
            <v>992000555</v>
          </cell>
          <cell r="B452">
            <v>99</v>
          </cell>
          <cell r="C452">
            <v>200</v>
          </cell>
          <cell r="D452" t="str">
            <v>0555</v>
          </cell>
          <cell r="E452" t="str">
            <v>Q</v>
          </cell>
          <cell r="F452">
            <v>4</v>
          </cell>
        </row>
        <row r="453">
          <cell r="A453" t="str">
            <v>993000555</v>
          </cell>
          <cell r="B453">
            <v>99</v>
          </cell>
          <cell r="C453">
            <v>300</v>
          </cell>
          <cell r="D453" t="str">
            <v>0555</v>
          </cell>
          <cell r="E453" t="str">
            <v>Q</v>
          </cell>
          <cell r="F453">
            <v>4</v>
          </cell>
        </row>
        <row r="454">
          <cell r="A454" t="str">
            <v>995000555</v>
          </cell>
          <cell r="B454">
            <v>99</v>
          </cell>
          <cell r="C454">
            <v>500</v>
          </cell>
          <cell r="D454" t="str">
            <v>0555</v>
          </cell>
          <cell r="E454" t="str">
            <v>A</v>
          </cell>
          <cell r="F454">
            <v>1</v>
          </cell>
        </row>
        <row r="455">
          <cell r="A455" t="str">
            <v>995010555</v>
          </cell>
          <cell r="B455">
            <v>99</v>
          </cell>
          <cell r="C455">
            <v>501</v>
          </cell>
          <cell r="D455" t="str">
            <v>0555</v>
          </cell>
          <cell r="E455" t="str">
            <v>Q</v>
          </cell>
          <cell r="F455">
            <v>1</v>
          </cell>
        </row>
        <row r="456">
          <cell r="A456" t="str">
            <v>995090555</v>
          </cell>
          <cell r="B456">
            <v>99</v>
          </cell>
          <cell r="C456" t="str">
            <v>509</v>
          </cell>
          <cell r="D456" t="str">
            <v>0555</v>
          </cell>
          <cell r="E456" t="str">
            <v>G</v>
          </cell>
          <cell r="F456">
            <v>1</v>
          </cell>
        </row>
        <row r="457">
          <cell r="A457" t="str">
            <v>996010555</v>
          </cell>
          <cell r="B457">
            <v>99</v>
          </cell>
          <cell r="C457">
            <v>601</v>
          </cell>
          <cell r="D457" t="str">
            <v>0555</v>
          </cell>
          <cell r="E457" t="str">
            <v>Q</v>
          </cell>
          <cell r="F457">
            <v>5</v>
          </cell>
        </row>
        <row r="458">
          <cell r="A458" t="str">
            <v>996020555</v>
          </cell>
          <cell r="B458">
            <v>99</v>
          </cell>
          <cell r="C458">
            <v>602</v>
          </cell>
          <cell r="D458" t="str">
            <v>0555</v>
          </cell>
          <cell r="E458" t="str">
            <v>R</v>
          </cell>
          <cell r="F458">
            <v>6</v>
          </cell>
        </row>
        <row r="459">
          <cell r="A459" t="str">
            <v>996030555</v>
          </cell>
          <cell r="B459">
            <v>99</v>
          </cell>
          <cell r="C459">
            <v>603</v>
          </cell>
          <cell r="D459" t="str">
            <v>0555</v>
          </cell>
          <cell r="E459" t="str">
            <v>S</v>
          </cell>
          <cell r="F459">
            <v>6</v>
          </cell>
        </row>
        <row r="460">
          <cell r="A460" t="str">
            <v>092000555</v>
          </cell>
          <cell r="B460" t="str">
            <v>09</v>
          </cell>
          <cell r="C460">
            <v>200</v>
          </cell>
          <cell r="D460" t="str">
            <v>0555</v>
          </cell>
          <cell r="E460" t="str">
            <v>Q</v>
          </cell>
          <cell r="F460">
            <v>4</v>
          </cell>
        </row>
        <row r="461">
          <cell r="A461" t="str">
            <v>093000555</v>
          </cell>
          <cell r="B461" t="str">
            <v>09</v>
          </cell>
          <cell r="C461">
            <v>300</v>
          </cell>
          <cell r="D461" t="str">
            <v>0555</v>
          </cell>
          <cell r="E461" t="str">
            <v>Q</v>
          </cell>
          <cell r="F461">
            <v>4</v>
          </cell>
        </row>
        <row r="462">
          <cell r="A462" t="str">
            <v>095000555</v>
          </cell>
          <cell r="B462" t="str">
            <v>09</v>
          </cell>
          <cell r="C462">
            <v>500</v>
          </cell>
          <cell r="D462" t="str">
            <v>0555</v>
          </cell>
          <cell r="E462" t="str">
            <v>A</v>
          </cell>
          <cell r="F462">
            <v>1</v>
          </cell>
        </row>
        <row r="463">
          <cell r="A463" t="str">
            <v>095010555</v>
          </cell>
          <cell r="B463" t="str">
            <v>09</v>
          </cell>
          <cell r="C463">
            <v>501</v>
          </cell>
          <cell r="D463" t="str">
            <v>0555</v>
          </cell>
          <cell r="E463" t="str">
            <v>Q</v>
          </cell>
          <cell r="F463">
            <v>1</v>
          </cell>
        </row>
        <row r="464">
          <cell r="A464" t="str">
            <v>096010555</v>
          </cell>
          <cell r="B464" t="str">
            <v>09</v>
          </cell>
          <cell r="C464">
            <v>601</v>
          </cell>
          <cell r="D464" t="str">
            <v>0555</v>
          </cell>
          <cell r="E464" t="str">
            <v>Q</v>
          </cell>
          <cell r="F464">
            <v>5</v>
          </cell>
        </row>
        <row r="465">
          <cell r="A465" t="str">
            <v>096020555</v>
          </cell>
          <cell r="B465" t="str">
            <v>09</v>
          </cell>
          <cell r="C465">
            <v>602</v>
          </cell>
          <cell r="D465" t="str">
            <v>0555</v>
          </cell>
          <cell r="E465" t="str">
            <v>R</v>
          </cell>
          <cell r="F465">
            <v>6</v>
          </cell>
        </row>
        <row r="466">
          <cell r="A466" t="str">
            <v>096030555</v>
          </cell>
          <cell r="B466" t="str">
            <v>09</v>
          </cell>
          <cell r="C466">
            <v>603</v>
          </cell>
          <cell r="D466" t="str">
            <v>0555</v>
          </cell>
          <cell r="E466" t="str">
            <v>S</v>
          </cell>
          <cell r="F466">
            <v>6</v>
          </cell>
        </row>
        <row r="467">
          <cell r="A467" t="str">
            <v>992000556</v>
          </cell>
          <cell r="B467">
            <v>99</v>
          </cell>
          <cell r="C467">
            <v>200</v>
          </cell>
          <cell r="D467" t="str">
            <v>0556</v>
          </cell>
          <cell r="E467" t="str">
            <v>Q</v>
          </cell>
          <cell r="F467">
            <v>4</v>
          </cell>
        </row>
        <row r="468">
          <cell r="A468" t="str">
            <v>993000556</v>
          </cell>
          <cell r="B468">
            <v>99</v>
          </cell>
          <cell r="C468">
            <v>300</v>
          </cell>
          <cell r="D468" t="str">
            <v>0556</v>
          </cell>
          <cell r="E468" t="str">
            <v>Q</v>
          </cell>
          <cell r="F468">
            <v>4</v>
          </cell>
        </row>
        <row r="469">
          <cell r="A469" t="str">
            <v>995000556</v>
          </cell>
          <cell r="B469">
            <v>99</v>
          </cell>
          <cell r="C469">
            <v>500</v>
          </cell>
          <cell r="D469" t="str">
            <v>0556</v>
          </cell>
          <cell r="E469" t="str">
            <v>A</v>
          </cell>
          <cell r="F469">
            <v>1</v>
          </cell>
        </row>
        <row r="470">
          <cell r="A470" t="str">
            <v>995010556</v>
          </cell>
          <cell r="B470">
            <v>99</v>
          </cell>
          <cell r="C470">
            <v>501</v>
          </cell>
          <cell r="D470" t="str">
            <v>0556</v>
          </cell>
          <cell r="E470" t="str">
            <v>Q</v>
          </cell>
          <cell r="F470">
            <v>1</v>
          </cell>
        </row>
        <row r="471">
          <cell r="A471" t="str">
            <v>995090556</v>
          </cell>
          <cell r="B471">
            <v>99</v>
          </cell>
          <cell r="C471">
            <v>509</v>
          </cell>
          <cell r="D471" t="str">
            <v>0556</v>
          </cell>
          <cell r="E471" t="str">
            <v>G</v>
          </cell>
          <cell r="F471">
            <v>1</v>
          </cell>
        </row>
        <row r="472">
          <cell r="A472" t="str">
            <v>996010556</v>
          </cell>
          <cell r="B472">
            <v>99</v>
          </cell>
          <cell r="C472">
            <v>601</v>
          </cell>
          <cell r="D472" t="str">
            <v>0556</v>
          </cell>
          <cell r="E472" t="str">
            <v>Q</v>
          </cell>
          <cell r="F472">
            <v>5</v>
          </cell>
        </row>
        <row r="473">
          <cell r="A473" t="str">
            <v>996020556</v>
          </cell>
          <cell r="B473">
            <v>99</v>
          </cell>
          <cell r="C473">
            <v>602</v>
          </cell>
          <cell r="D473" t="str">
            <v>0556</v>
          </cell>
          <cell r="E473" t="str">
            <v>R</v>
          </cell>
          <cell r="F473">
            <v>6</v>
          </cell>
        </row>
        <row r="474">
          <cell r="A474" t="str">
            <v>996030556</v>
          </cell>
          <cell r="B474">
            <v>99</v>
          </cell>
          <cell r="C474">
            <v>603</v>
          </cell>
          <cell r="D474" t="str">
            <v>0556</v>
          </cell>
          <cell r="E474" t="str">
            <v>S</v>
          </cell>
          <cell r="F474">
            <v>6</v>
          </cell>
        </row>
        <row r="475">
          <cell r="A475" t="str">
            <v>092000556</v>
          </cell>
          <cell r="B475" t="str">
            <v>09</v>
          </cell>
          <cell r="C475">
            <v>200</v>
          </cell>
          <cell r="D475" t="str">
            <v>0556</v>
          </cell>
          <cell r="E475" t="str">
            <v>Q</v>
          </cell>
          <cell r="F475">
            <v>4</v>
          </cell>
        </row>
        <row r="476">
          <cell r="A476" t="str">
            <v>093000556</v>
          </cell>
          <cell r="B476" t="str">
            <v>09</v>
          </cell>
          <cell r="C476">
            <v>300</v>
          </cell>
          <cell r="D476" t="str">
            <v>0556</v>
          </cell>
          <cell r="E476" t="str">
            <v>Q</v>
          </cell>
          <cell r="F476">
            <v>4</v>
          </cell>
        </row>
        <row r="477">
          <cell r="A477" t="str">
            <v>095000556</v>
          </cell>
          <cell r="B477" t="str">
            <v>09</v>
          </cell>
          <cell r="C477">
            <v>500</v>
          </cell>
          <cell r="D477" t="str">
            <v>0556</v>
          </cell>
          <cell r="E477" t="str">
            <v>A</v>
          </cell>
          <cell r="F477">
            <v>1</v>
          </cell>
        </row>
        <row r="478">
          <cell r="A478" t="str">
            <v>095010556</v>
          </cell>
          <cell r="B478" t="str">
            <v>09</v>
          </cell>
          <cell r="C478">
            <v>501</v>
          </cell>
          <cell r="D478" t="str">
            <v>0556</v>
          </cell>
          <cell r="E478" t="str">
            <v>Q</v>
          </cell>
          <cell r="F478">
            <v>1</v>
          </cell>
        </row>
        <row r="479">
          <cell r="A479" t="str">
            <v>096010556</v>
          </cell>
          <cell r="B479" t="str">
            <v>09</v>
          </cell>
          <cell r="C479">
            <v>601</v>
          </cell>
          <cell r="D479" t="str">
            <v>0556</v>
          </cell>
          <cell r="E479" t="str">
            <v>Q</v>
          </cell>
          <cell r="F479">
            <v>5</v>
          </cell>
        </row>
        <row r="480">
          <cell r="A480" t="str">
            <v>096020556</v>
          </cell>
          <cell r="B480" t="str">
            <v>09</v>
          </cell>
          <cell r="C480">
            <v>602</v>
          </cell>
          <cell r="D480" t="str">
            <v>0556</v>
          </cell>
          <cell r="E480" t="str">
            <v>R</v>
          </cell>
          <cell r="F480">
            <v>6</v>
          </cell>
        </row>
        <row r="481">
          <cell r="A481" t="str">
            <v>096030556</v>
          </cell>
          <cell r="B481" t="str">
            <v>09</v>
          </cell>
          <cell r="C481">
            <v>603</v>
          </cell>
          <cell r="D481" t="str">
            <v>0556</v>
          </cell>
          <cell r="E481" t="str">
            <v>S</v>
          </cell>
          <cell r="F481">
            <v>6</v>
          </cell>
        </row>
        <row r="482">
          <cell r="A482" t="str">
            <v>992000557</v>
          </cell>
          <cell r="B482">
            <v>99</v>
          </cell>
          <cell r="C482">
            <v>200</v>
          </cell>
          <cell r="D482" t="str">
            <v>0557</v>
          </cell>
          <cell r="E482" t="str">
            <v>Q</v>
          </cell>
          <cell r="F482">
            <v>4</v>
          </cell>
        </row>
        <row r="483">
          <cell r="A483" t="str">
            <v>993000557</v>
          </cell>
          <cell r="B483">
            <v>99</v>
          </cell>
          <cell r="C483">
            <v>300</v>
          </cell>
          <cell r="D483" t="str">
            <v>0557</v>
          </cell>
          <cell r="E483" t="str">
            <v>Q</v>
          </cell>
          <cell r="F483">
            <v>4</v>
          </cell>
        </row>
        <row r="484">
          <cell r="A484" t="str">
            <v>995000557</v>
          </cell>
          <cell r="B484">
            <v>99</v>
          </cell>
          <cell r="C484">
            <v>500</v>
          </cell>
          <cell r="D484" t="str">
            <v>0557</v>
          </cell>
          <cell r="E484" t="str">
            <v>A</v>
          </cell>
          <cell r="F484">
            <v>1</v>
          </cell>
        </row>
        <row r="485">
          <cell r="A485" t="str">
            <v>995010557</v>
          </cell>
          <cell r="B485">
            <v>99</v>
          </cell>
          <cell r="C485">
            <v>501</v>
          </cell>
          <cell r="D485" t="str">
            <v>0557</v>
          </cell>
          <cell r="E485" t="str">
            <v>Q</v>
          </cell>
          <cell r="F485">
            <v>1</v>
          </cell>
        </row>
        <row r="486">
          <cell r="A486" t="str">
            <v>995090557</v>
          </cell>
          <cell r="B486">
            <v>99</v>
          </cell>
          <cell r="C486">
            <v>509</v>
          </cell>
          <cell r="D486" t="str">
            <v>0557</v>
          </cell>
          <cell r="E486" t="str">
            <v>G</v>
          </cell>
          <cell r="F486">
            <v>1</v>
          </cell>
        </row>
        <row r="487">
          <cell r="A487" t="str">
            <v>996010557</v>
          </cell>
          <cell r="B487">
            <v>99</v>
          </cell>
          <cell r="C487">
            <v>601</v>
          </cell>
          <cell r="D487" t="str">
            <v>0557</v>
          </cell>
          <cell r="E487" t="str">
            <v>Q</v>
          </cell>
          <cell r="F487">
            <v>5</v>
          </cell>
        </row>
        <row r="488">
          <cell r="A488" t="str">
            <v>996020557</v>
          </cell>
          <cell r="B488">
            <v>99</v>
          </cell>
          <cell r="C488">
            <v>602</v>
          </cell>
          <cell r="D488" t="str">
            <v>0557</v>
          </cell>
          <cell r="E488" t="str">
            <v>R</v>
          </cell>
          <cell r="F488">
            <v>6</v>
          </cell>
        </row>
        <row r="489">
          <cell r="A489" t="str">
            <v>996030557</v>
          </cell>
          <cell r="B489">
            <v>99</v>
          </cell>
          <cell r="C489">
            <v>603</v>
          </cell>
          <cell r="D489" t="str">
            <v>0557</v>
          </cell>
          <cell r="E489" t="str">
            <v>S</v>
          </cell>
          <cell r="F489">
            <v>6</v>
          </cell>
        </row>
        <row r="490">
          <cell r="A490" t="str">
            <v>092000557</v>
          </cell>
          <cell r="B490" t="str">
            <v>09</v>
          </cell>
          <cell r="C490">
            <v>200</v>
          </cell>
          <cell r="D490" t="str">
            <v>0557</v>
          </cell>
          <cell r="E490" t="str">
            <v>Q</v>
          </cell>
          <cell r="F490">
            <v>4</v>
          </cell>
        </row>
        <row r="491">
          <cell r="A491" t="str">
            <v>093000557</v>
          </cell>
          <cell r="B491" t="str">
            <v>09</v>
          </cell>
          <cell r="C491">
            <v>300</v>
          </cell>
          <cell r="D491" t="str">
            <v>0557</v>
          </cell>
          <cell r="E491" t="str">
            <v>Q</v>
          </cell>
          <cell r="F491">
            <v>4</v>
          </cell>
        </row>
        <row r="492">
          <cell r="A492" t="str">
            <v>095000557</v>
          </cell>
          <cell r="B492" t="str">
            <v>09</v>
          </cell>
          <cell r="C492">
            <v>500</v>
          </cell>
          <cell r="D492" t="str">
            <v>0557</v>
          </cell>
          <cell r="E492" t="str">
            <v>A</v>
          </cell>
          <cell r="F492">
            <v>1</v>
          </cell>
        </row>
        <row r="493">
          <cell r="A493" t="str">
            <v>095010557</v>
          </cell>
          <cell r="B493" t="str">
            <v>09</v>
          </cell>
          <cell r="C493">
            <v>501</v>
          </cell>
          <cell r="D493" t="str">
            <v>0557</v>
          </cell>
          <cell r="E493" t="str">
            <v>Q</v>
          </cell>
          <cell r="F493">
            <v>1</v>
          </cell>
        </row>
        <row r="494">
          <cell r="A494" t="str">
            <v>095090557</v>
          </cell>
          <cell r="B494" t="str">
            <v>09</v>
          </cell>
          <cell r="C494">
            <v>509</v>
          </cell>
          <cell r="D494" t="str">
            <v>0557</v>
          </cell>
          <cell r="E494" t="str">
            <v>G</v>
          </cell>
          <cell r="F494">
            <v>1</v>
          </cell>
        </row>
        <row r="495">
          <cell r="A495" t="str">
            <v>096010557</v>
          </cell>
          <cell r="B495" t="str">
            <v>09</v>
          </cell>
          <cell r="C495">
            <v>601</v>
          </cell>
          <cell r="D495" t="str">
            <v>0557</v>
          </cell>
          <cell r="E495" t="str">
            <v>Q</v>
          </cell>
          <cell r="F495">
            <v>5</v>
          </cell>
        </row>
        <row r="496">
          <cell r="A496" t="str">
            <v>096020557</v>
          </cell>
          <cell r="B496" t="str">
            <v>09</v>
          </cell>
          <cell r="C496">
            <v>602</v>
          </cell>
          <cell r="D496" t="str">
            <v>0557</v>
          </cell>
          <cell r="E496" t="str">
            <v>R</v>
          </cell>
          <cell r="F496">
            <v>6</v>
          </cell>
        </row>
        <row r="497">
          <cell r="A497" t="str">
            <v>096030557</v>
          </cell>
          <cell r="B497" t="str">
            <v>09</v>
          </cell>
          <cell r="C497">
            <v>603</v>
          </cell>
          <cell r="D497" t="str">
            <v>0557</v>
          </cell>
          <cell r="E497" t="str">
            <v>S</v>
          </cell>
          <cell r="F497">
            <v>6</v>
          </cell>
        </row>
        <row r="498">
          <cell r="A498" t="str">
            <v>992000558</v>
          </cell>
          <cell r="B498">
            <v>99</v>
          </cell>
          <cell r="C498">
            <v>200</v>
          </cell>
          <cell r="D498" t="str">
            <v>0558</v>
          </cell>
          <cell r="E498" t="str">
            <v>Q</v>
          </cell>
          <cell r="F498">
            <v>4</v>
          </cell>
        </row>
        <row r="499">
          <cell r="A499" t="str">
            <v>993000558</v>
          </cell>
          <cell r="B499">
            <v>99</v>
          </cell>
          <cell r="C499">
            <v>300</v>
          </cell>
          <cell r="D499" t="str">
            <v>0558</v>
          </cell>
          <cell r="E499" t="str">
            <v>Q</v>
          </cell>
          <cell r="F499">
            <v>4</v>
          </cell>
        </row>
        <row r="500">
          <cell r="A500" t="str">
            <v>995000558</v>
          </cell>
          <cell r="B500">
            <v>99</v>
          </cell>
          <cell r="C500">
            <v>500</v>
          </cell>
          <cell r="D500" t="str">
            <v>0558</v>
          </cell>
          <cell r="E500" t="str">
            <v>A</v>
          </cell>
          <cell r="F500">
            <v>1</v>
          </cell>
        </row>
        <row r="501">
          <cell r="A501" t="str">
            <v>995010558</v>
          </cell>
          <cell r="B501">
            <v>99</v>
          </cell>
          <cell r="C501">
            <v>501</v>
          </cell>
          <cell r="D501" t="str">
            <v>0558</v>
          </cell>
          <cell r="E501" t="str">
            <v>Q</v>
          </cell>
          <cell r="F501">
            <v>1</v>
          </cell>
        </row>
        <row r="502">
          <cell r="A502" t="str">
            <v>996010558</v>
          </cell>
          <cell r="B502">
            <v>99</v>
          </cell>
          <cell r="C502">
            <v>601</v>
          </cell>
          <cell r="D502" t="str">
            <v>0558</v>
          </cell>
          <cell r="E502" t="str">
            <v>Q</v>
          </cell>
          <cell r="F502">
            <v>5</v>
          </cell>
        </row>
        <row r="503">
          <cell r="A503" t="str">
            <v>996020558</v>
          </cell>
          <cell r="B503">
            <v>99</v>
          </cell>
          <cell r="C503">
            <v>602</v>
          </cell>
          <cell r="D503" t="str">
            <v>0558</v>
          </cell>
          <cell r="E503" t="str">
            <v>R</v>
          </cell>
          <cell r="F503">
            <v>6</v>
          </cell>
        </row>
        <row r="504">
          <cell r="A504" t="str">
            <v>996030558</v>
          </cell>
          <cell r="B504">
            <v>99</v>
          </cell>
          <cell r="C504">
            <v>603</v>
          </cell>
          <cell r="D504" t="str">
            <v>0558</v>
          </cell>
          <cell r="E504" t="str">
            <v>S</v>
          </cell>
          <cell r="F504">
            <v>6</v>
          </cell>
        </row>
        <row r="505">
          <cell r="A505" t="str">
            <v>092000558</v>
          </cell>
          <cell r="B505" t="str">
            <v>09</v>
          </cell>
          <cell r="C505">
            <v>200</v>
          </cell>
          <cell r="D505" t="str">
            <v>0558</v>
          </cell>
          <cell r="E505" t="str">
            <v>Q</v>
          </cell>
          <cell r="F505">
            <v>4</v>
          </cell>
        </row>
        <row r="506">
          <cell r="A506" t="str">
            <v>093000558</v>
          </cell>
          <cell r="B506" t="str">
            <v>09</v>
          </cell>
          <cell r="C506">
            <v>300</v>
          </cell>
          <cell r="D506" t="str">
            <v>0558</v>
          </cell>
          <cell r="E506" t="str">
            <v>Q</v>
          </cell>
          <cell r="F506">
            <v>4</v>
          </cell>
        </row>
        <row r="507">
          <cell r="A507" t="str">
            <v>095000558</v>
          </cell>
          <cell r="B507" t="str">
            <v>09</v>
          </cell>
          <cell r="C507">
            <v>500</v>
          </cell>
          <cell r="D507" t="str">
            <v>0558</v>
          </cell>
          <cell r="E507" t="str">
            <v>A</v>
          </cell>
          <cell r="F507">
            <v>1</v>
          </cell>
        </row>
        <row r="508">
          <cell r="A508" t="str">
            <v>095010558</v>
          </cell>
          <cell r="B508" t="str">
            <v>09</v>
          </cell>
          <cell r="C508">
            <v>501</v>
          </cell>
          <cell r="D508" t="str">
            <v>0558</v>
          </cell>
          <cell r="E508" t="str">
            <v>Q</v>
          </cell>
          <cell r="F508">
            <v>1</v>
          </cell>
        </row>
        <row r="509">
          <cell r="A509" t="str">
            <v>096010558</v>
          </cell>
          <cell r="B509" t="str">
            <v>09</v>
          </cell>
          <cell r="C509">
            <v>601</v>
          </cell>
          <cell r="D509" t="str">
            <v>0558</v>
          </cell>
          <cell r="E509" t="str">
            <v>Q</v>
          </cell>
          <cell r="F509">
            <v>5</v>
          </cell>
        </row>
        <row r="510">
          <cell r="A510" t="str">
            <v>096020558</v>
          </cell>
          <cell r="B510" t="str">
            <v>09</v>
          </cell>
          <cell r="C510">
            <v>602</v>
          </cell>
          <cell r="D510" t="str">
            <v>0558</v>
          </cell>
          <cell r="E510" t="str">
            <v>R</v>
          </cell>
          <cell r="F510">
            <v>6</v>
          </cell>
        </row>
        <row r="511">
          <cell r="A511" t="str">
            <v>096030558</v>
          </cell>
          <cell r="B511" t="str">
            <v>09</v>
          </cell>
          <cell r="C511">
            <v>603</v>
          </cell>
          <cell r="D511" t="str">
            <v>0558</v>
          </cell>
          <cell r="E511" t="str">
            <v>S</v>
          </cell>
          <cell r="F511">
            <v>6</v>
          </cell>
        </row>
        <row r="512">
          <cell r="A512" t="str">
            <v>992000559</v>
          </cell>
          <cell r="B512">
            <v>99</v>
          </cell>
          <cell r="C512">
            <v>200</v>
          </cell>
          <cell r="D512" t="str">
            <v>0559</v>
          </cell>
          <cell r="E512" t="str">
            <v>Q</v>
          </cell>
          <cell r="F512">
            <v>4</v>
          </cell>
        </row>
        <row r="513">
          <cell r="A513" t="str">
            <v>993000559</v>
          </cell>
          <cell r="B513">
            <v>99</v>
          </cell>
          <cell r="C513">
            <v>300</v>
          </cell>
          <cell r="D513" t="str">
            <v>0559</v>
          </cell>
          <cell r="E513" t="str">
            <v>Q</v>
          </cell>
          <cell r="F513">
            <v>4</v>
          </cell>
        </row>
        <row r="514">
          <cell r="A514" t="str">
            <v>995000559</v>
          </cell>
          <cell r="B514">
            <v>99</v>
          </cell>
          <cell r="C514">
            <v>500</v>
          </cell>
          <cell r="D514" t="str">
            <v>0559</v>
          </cell>
          <cell r="E514" t="str">
            <v>A</v>
          </cell>
          <cell r="F514">
            <v>1</v>
          </cell>
        </row>
        <row r="515">
          <cell r="A515" t="str">
            <v>995010559</v>
          </cell>
          <cell r="B515">
            <v>99</v>
          </cell>
          <cell r="C515">
            <v>501</v>
          </cell>
          <cell r="D515" t="str">
            <v>0559</v>
          </cell>
          <cell r="E515" t="str">
            <v>Q</v>
          </cell>
          <cell r="F515">
            <v>1</v>
          </cell>
        </row>
        <row r="516">
          <cell r="A516" t="str">
            <v>995090559</v>
          </cell>
          <cell r="B516">
            <v>99</v>
          </cell>
          <cell r="C516" t="str">
            <v>509</v>
          </cell>
          <cell r="D516" t="str">
            <v>0559</v>
          </cell>
          <cell r="E516" t="str">
            <v>G</v>
          </cell>
          <cell r="F516">
            <v>1</v>
          </cell>
        </row>
        <row r="517">
          <cell r="A517" t="str">
            <v>996010559</v>
          </cell>
          <cell r="B517">
            <v>99</v>
          </cell>
          <cell r="C517">
            <v>601</v>
          </cell>
          <cell r="D517" t="str">
            <v>0559</v>
          </cell>
          <cell r="E517" t="str">
            <v>Q</v>
          </cell>
          <cell r="F517">
            <v>5</v>
          </cell>
        </row>
        <row r="518">
          <cell r="A518" t="str">
            <v>996020559</v>
          </cell>
          <cell r="B518">
            <v>99</v>
          </cell>
          <cell r="C518">
            <v>602</v>
          </cell>
          <cell r="D518" t="str">
            <v>0559</v>
          </cell>
          <cell r="E518" t="str">
            <v>R</v>
          </cell>
          <cell r="F518">
            <v>6</v>
          </cell>
        </row>
        <row r="519">
          <cell r="A519" t="str">
            <v>996030559</v>
          </cell>
          <cell r="B519">
            <v>99</v>
          </cell>
          <cell r="C519">
            <v>603</v>
          </cell>
          <cell r="D519" t="str">
            <v>0559</v>
          </cell>
          <cell r="E519" t="str">
            <v>S</v>
          </cell>
          <cell r="F519">
            <v>6</v>
          </cell>
        </row>
        <row r="520">
          <cell r="A520" t="str">
            <v>092000559</v>
          </cell>
          <cell r="B520" t="str">
            <v>09</v>
          </cell>
          <cell r="C520">
            <v>200</v>
          </cell>
          <cell r="D520" t="str">
            <v>0559</v>
          </cell>
          <cell r="E520" t="str">
            <v>Q</v>
          </cell>
          <cell r="F520">
            <v>4</v>
          </cell>
        </row>
        <row r="521">
          <cell r="A521" t="str">
            <v>093000559</v>
          </cell>
          <cell r="B521" t="str">
            <v>09</v>
          </cell>
          <cell r="C521">
            <v>300</v>
          </cell>
          <cell r="D521" t="str">
            <v>0559</v>
          </cell>
          <cell r="E521" t="str">
            <v>Q</v>
          </cell>
          <cell r="F521">
            <v>4</v>
          </cell>
        </row>
        <row r="522">
          <cell r="A522" t="str">
            <v>095000559</v>
          </cell>
          <cell r="B522" t="str">
            <v>09</v>
          </cell>
          <cell r="C522">
            <v>500</v>
          </cell>
          <cell r="D522" t="str">
            <v>0559</v>
          </cell>
          <cell r="E522" t="str">
            <v>A</v>
          </cell>
          <cell r="F522">
            <v>1</v>
          </cell>
        </row>
        <row r="523">
          <cell r="A523" t="str">
            <v>095010559</v>
          </cell>
          <cell r="B523" t="str">
            <v>09</v>
          </cell>
          <cell r="C523">
            <v>501</v>
          </cell>
          <cell r="D523" t="str">
            <v>0559</v>
          </cell>
          <cell r="E523" t="str">
            <v>Q</v>
          </cell>
          <cell r="F523">
            <v>1</v>
          </cell>
        </row>
        <row r="524">
          <cell r="A524" t="str">
            <v>096010559</v>
          </cell>
          <cell r="B524" t="str">
            <v>09</v>
          </cell>
          <cell r="C524">
            <v>601</v>
          </cell>
          <cell r="D524" t="str">
            <v>0559</v>
          </cell>
          <cell r="E524" t="str">
            <v>Q</v>
          </cell>
          <cell r="F524">
            <v>5</v>
          </cell>
        </row>
        <row r="525">
          <cell r="A525" t="str">
            <v>096020559</v>
          </cell>
          <cell r="B525" t="str">
            <v>09</v>
          </cell>
          <cell r="C525">
            <v>602</v>
          </cell>
          <cell r="D525" t="str">
            <v>0559</v>
          </cell>
          <cell r="E525" t="str">
            <v>R</v>
          </cell>
          <cell r="F525">
            <v>6</v>
          </cell>
        </row>
        <row r="526">
          <cell r="A526" t="str">
            <v>096030559</v>
          </cell>
          <cell r="B526" t="str">
            <v>09</v>
          </cell>
          <cell r="C526">
            <v>603</v>
          </cell>
          <cell r="D526" t="str">
            <v>0559</v>
          </cell>
          <cell r="E526" t="str">
            <v>S</v>
          </cell>
          <cell r="F526">
            <v>6</v>
          </cell>
        </row>
        <row r="527">
          <cell r="A527" t="str">
            <v>992000570</v>
          </cell>
          <cell r="B527">
            <v>99</v>
          </cell>
          <cell r="C527">
            <v>200</v>
          </cell>
          <cell r="D527" t="str">
            <v>0570</v>
          </cell>
          <cell r="E527" t="str">
            <v>Q</v>
          </cell>
          <cell r="F527">
            <v>4</v>
          </cell>
        </row>
        <row r="528">
          <cell r="A528" t="str">
            <v>993000570</v>
          </cell>
          <cell r="B528">
            <v>99</v>
          </cell>
          <cell r="C528">
            <v>300</v>
          </cell>
          <cell r="D528" t="str">
            <v>0570</v>
          </cell>
          <cell r="E528" t="str">
            <v>Q</v>
          </cell>
          <cell r="F528">
            <v>4</v>
          </cell>
        </row>
        <row r="529">
          <cell r="A529" t="str">
            <v>995000570</v>
          </cell>
          <cell r="B529">
            <v>99</v>
          </cell>
          <cell r="C529">
            <v>500</v>
          </cell>
          <cell r="D529" t="str">
            <v>0570</v>
          </cell>
          <cell r="E529" t="str">
            <v>J</v>
          </cell>
          <cell r="F529">
            <v>1</v>
          </cell>
        </row>
        <row r="530">
          <cell r="A530" t="str">
            <v>995010570</v>
          </cell>
          <cell r="B530">
            <v>99</v>
          </cell>
          <cell r="C530">
            <v>501</v>
          </cell>
          <cell r="D530" t="str">
            <v>0570</v>
          </cell>
          <cell r="E530" t="str">
            <v>Q</v>
          </cell>
          <cell r="F530">
            <v>1</v>
          </cell>
        </row>
        <row r="531">
          <cell r="A531" t="str">
            <v>996010570</v>
          </cell>
          <cell r="B531">
            <v>99</v>
          </cell>
          <cell r="C531">
            <v>601</v>
          </cell>
          <cell r="D531" t="str">
            <v>0570</v>
          </cell>
          <cell r="E531" t="str">
            <v>Q</v>
          </cell>
          <cell r="F531">
            <v>5</v>
          </cell>
        </row>
        <row r="532">
          <cell r="A532" t="str">
            <v>996020570</v>
          </cell>
          <cell r="B532">
            <v>99</v>
          </cell>
          <cell r="C532">
            <v>602</v>
          </cell>
          <cell r="D532" t="str">
            <v>0570</v>
          </cell>
          <cell r="E532" t="str">
            <v>R</v>
          </cell>
          <cell r="F532">
            <v>6</v>
          </cell>
        </row>
        <row r="533">
          <cell r="A533" t="str">
            <v>996030570</v>
          </cell>
          <cell r="B533">
            <v>99</v>
          </cell>
          <cell r="C533">
            <v>603</v>
          </cell>
          <cell r="D533" t="str">
            <v>0570</v>
          </cell>
          <cell r="E533" t="str">
            <v>S</v>
          </cell>
          <cell r="F533">
            <v>6</v>
          </cell>
        </row>
        <row r="534">
          <cell r="A534" t="str">
            <v>092000570</v>
          </cell>
          <cell r="B534" t="str">
            <v>09</v>
          </cell>
          <cell r="C534">
            <v>200</v>
          </cell>
          <cell r="D534" t="str">
            <v>0570</v>
          </cell>
          <cell r="E534" t="str">
            <v>Q</v>
          </cell>
          <cell r="F534">
            <v>4</v>
          </cell>
        </row>
        <row r="535">
          <cell r="A535" t="str">
            <v>093000570</v>
          </cell>
          <cell r="B535" t="str">
            <v>09</v>
          </cell>
          <cell r="C535">
            <v>300</v>
          </cell>
          <cell r="D535" t="str">
            <v>0570</v>
          </cell>
          <cell r="E535" t="str">
            <v>Q</v>
          </cell>
          <cell r="F535">
            <v>4</v>
          </cell>
        </row>
        <row r="536">
          <cell r="A536" t="str">
            <v>095000570</v>
          </cell>
          <cell r="B536" t="str">
            <v>09</v>
          </cell>
          <cell r="C536">
            <v>500</v>
          </cell>
          <cell r="D536" t="str">
            <v>0570</v>
          </cell>
          <cell r="E536" t="str">
            <v>J</v>
          </cell>
          <cell r="F536">
            <v>1</v>
          </cell>
        </row>
        <row r="537">
          <cell r="A537" t="str">
            <v>095010570</v>
          </cell>
          <cell r="B537" t="str">
            <v>09</v>
          </cell>
          <cell r="C537">
            <v>501</v>
          </cell>
          <cell r="D537" t="str">
            <v>0570</v>
          </cell>
          <cell r="E537" t="str">
            <v>Q</v>
          </cell>
          <cell r="F537">
            <v>1</v>
          </cell>
        </row>
        <row r="538">
          <cell r="A538" t="str">
            <v>096010570</v>
          </cell>
          <cell r="B538" t="str">
            <v>09</v>
          </cell>
          <cell r="C538">
            <v>601</v>
          </cell>
          <cell r="D538" t="str">
            <v>0570</v>
          </cell>
          <cell r="E538" t="str">
            <v>Q</v>
          </cell>
          <cell r="F538">
            <v>5</v>
          </cell>
        </row>
        <row r="539">
          <cell r="A539" t="str">
            <v>096020570</v>
          </cell>
          <cell r="B539" t="str">
            <v>09</v>
          </cell>
          <cell r="C539">
            <v>602</v>
          </cell>
          <cell r="D539" t="str">
            <v>0570</v>
          </cell>
          <cell r="E539" t="str">
            <v>R</v>
          </cell>
          <cell r="F539">
            <v>6</v>
          </cell>
        </row>
        <row r="540">
          <cell r="A540" t="str">
            <v>096030570</v>
          </cell>
          <cell r="B540" t="str">
            <v>09</v>
          </cell>
          <cell r="C540">
            <v>603</v>
          </cell>
          <cell r="D540" t="str">
            <v>0570</v>
          </cell>
          <cell r="E540" t="str">
            <v>S</v>
          </cell>
          <cell r="F540">
            <v>6</v>
          </cell>
        </row>
        <row r="541">
          <cell r="A541" t="str">
            <v>015000571</v>
          </cell>
          <cell r="B541" t="str">
            <v>01</v>
          </cell>
          <cell r="C541" t="str">
            <v>500</v>
          </cell>
          <cell r="D541" t="str">
            <v>0571</v>
          </cell>
          <cell r="E541" t="str">
            <v>Q</v>
          </cell>
          <cell r="F541">
            <v>3</v>
          </cell>
        </row>
        <row r="542">
          <cell r="A542" t="str">
            <v>992000571</v>
          </cell>
          <cell r="B542">
            <v>99</v>
          </cell>
          <cell r="C542">
            <v>200</v>
          </cell>
          <cell r="D542" t="str">
            <v>0571</v>
          </cell>
          <cell r="E542" t="str">
            <v>Q</v>
          </cell>
          <cell r="F542">
            <v>4</v>
          </cell>
        </row>
        <row r="543">
          <cell r="A543" t="str">
            <v>993000571</v>
          </cell>
          <cell r="B543">
            <v>99</v>
          </cell>
          <cell r="C543">
            <v>300</v>
          </cell>
          <cell r="D543" t="str">
            <v>0571</v>
          </cell>
          <cell r="E543" t="str">
            <v>Q</v>
          </cell>
          <cell r="F543">
            <v>4</v>
          </cell>
        </row>
        <row r="544">
          <cell r="A544" t="str">
            <v>995000571</v>
          </cell>
          <cell r="B544">
            <v>99</v>
          </cell>
          <cell r="C544">
            <v>500</v>
          </cell>
          <cell r="D544" t="str">
            <v>0571</v>
          </cell>
          <cell r="E544" t="str">
            <v>D</v>
          </cell>
          <cell r="F544">
            <v>1</v>
          </cell>
        </row>
        <row r="545">
          <cell r="A545" t="str">
            <v>995010571</v>
          </cell>
          <cell r="B545">
            <v>99</v>
          </cell>
          <cell r="C545">
            <v>501</v>
          </cell>
          <cell r="D545" t="str">
            <v>0571</v>
          </cell>
          <cell r="E545" t="str">
            <v>Q</v>
          </cell>
          <cell r="F545">
            <v>1</v>
          </cell>
        </row>
        <row r="546">
          <cell r="A546" t="str">
            <v>996010571</v>
          </cell>
          <cell r="B546">
            <v>99</v>
          </cell>
          <cell r="C546">
            <v>601</v>
          </cell>
          <cell r="D546" t="str">
            <v>0571</v>
          </cell>
          <cell r="E546" t="str">
            <v>Q</v>
          </cell>
          <cell r="F546">
            <v>5</v>
          </cell>
        </row>
        <row r="547">
          <cell r="A547" t="str">
            <v>996020571</v>
          </cell>
          <cell r="B547">
            <v>99</v>
          </cell>
          <cell r="C547">
            <v>602</v>
          </cell>
          <cell r="D547" t="str">
            <v>0571</v>
          </cell>
          <cell r="E547" t="str">
            <v>R</v>
          </cell>
          <cell r="F547">
            <v>6</v>
          </cell>
        </row>
        <row r="548">
          <cell r="A548" t="str">
            <v>996030571</v>
          </cell>
          <cell r="B548">
            <v>99</v>
          </cell>
          <cell r="C548">
            <v>603</v>
          </cell>
          <cell r="D548" t="str">
            <v>0571</v>
          </cell>
          <cell r="E548" t="str">
            <v>S</v>
          </cell>
          <cell r="F548">
            <v>6</v>
          </cell>
        </row>
        <row r="549">
          <cell r="A549" t="str">
            <v>092000571</v>
          </cell>
          <cell r="B549" t="str">
            <v>09</v>
          </cell>
          <cell r="C549">
            <v>200</v>
          </cell>
          <cell r="D549" t="str">
            <v>0571</v>
          </cell>
          <cell r="E549" t="str">
            <v>Q</v>
          </cell>
          <cell r="F549">
            <v>4</v>
          </cell>
        </row>
        <row r="550">
          <cell r="A550" t="str">
            <v>093000571</v>
          </cell>
          <cell r="B550" t="str">
            <v>09</v>
          </cell>
          <cell r="C550">
            <v>300</v>
          </cell>
          <cell r="D550" t="str">
            <v>0571</v>
          </cell>
          <cell r="E550" t="str">
            <v>Q</v>
          </cell>
          <cell r="F550">
            <v>4</v>
          </cell>
        </row>
        <row r="551">
          <cell r="A551" t="str">
            <v>095000571</v>
          </cell>
          <cell r="B551" t="str">
            <v>09</v>
          </cell>
          <cell r="C551">
            <v>500</v>
          </cell>
          <cell r="D551" t="str">
            <v>0571</v>
          </cell>
          <cell r="E551" t="str">
            <v>J</v>
          </cell>
          <cell r="F551">
            <v>1</v>
          </cell>
        </row>
        <row r="552">
          <cell r="A552" t="str">
            <v>095010571</v>
          </cell>
          <cell r="B552" t="str">
            <v>09</v>
          </cell>
          <cell r="C552">
            <v>501</v>
          </cell>
          <cell r="D552" t="str">
            <v>0571</v>
          </cell>
          <cell r="E552" t="str">
            <v>Q</v>
          </cell>
          <cell r="F552">
            <v>1</v>
          </cell>
        </row>
        <row r="553">
          <cell r="A553" t="str">
            <v>096010571</v>
          </cell>
          <cell r="B553" t="str">
            <v>09</v>
          </cell>
          <cell r="C553">
            <v>601</v>
          </cell>
          <cell r="D553" t="str">
            <v>0571</v>
          </cell>
          <cell r="E553" t="str">
            <v>Q</v>
          </cell>
          <cell r="F553">
            <v>5</v>
          </cell>
        </row>
        <row r="554">
          <cell r="A554" t="str">
            <v>096020571</v>
          </cell>
          <cell r="B554" t="str">
            <v>09</v>
          </cell>
          <cell r="C554">
            <v>602</v>
          </cell>
          <cell r="D554" t="str">
            <v>0571</v>
          </cell>
          <cell r="E554" t="str">
            <v>R</v>
          </cell>
          <cell r="F554">
            <v>6</v>
          </cell>
        </row>
        <row r="555">
          <cell r="A555" t="str">
            <v>096030571</v>
          </cell>
          <cell r="B555" t="str">
            <v>09</v>
          </cell>
          <cell r="C555">
            <v>603</v>
          </cell>
          <cell r="D555" t="str">
            <v>0571</v>
          </cell>
          <cell r="E555" t="str">
            <v>S</v>
          </cell>
          <cell r="F555">
            <v>6</v>
          </cell>
        </row>
        <row r="556">
          <cell r="A556" t="str">
            <v>992000572</v>
          </cell>
          <cell r="B556">
            <v>99</v>
          </cell>
          <cell r="C556">
            <v>200</v>
          </cell>
          <cell r="D556" t="str">
            <v>0572</v>
          </cell>
          <cell r="E556" t="str">
            <v>Q</v>
          </cell>
          <cell r="F556">
            <v>4</v>
          </cell>
        </row>
        <row r="557">
          <cell r="A557" t="str">
            <v>993000572</v>
          </cell>
          <cell r="B557">
            <v>99</v>
          </cell>
          <cell r="C557">
            <v>300</v>
          </cell>
          <cell r="D557" t="str">
            <v>0572</v>
          </cell>
          <cell r="E557" t="str">
            <v>Q</v>
          </cell>
          <cell r="F557">
            <v>4</v>
          </cell>
        </row>
        <row r="558">
          <cell r="A558" t="str">
            <v>994000572</v>
          </cell>
          <cell r="B558">
            <v>99</v>
          </cell>
          <cell r="C558">
            <v>400</v>
          </cell>
          <cell r="D558" t="str">
            <v>0572</v>
          </cell>
          <cell r="E558" t="str">
            <v>M</v>
          </cell>
          <cell r="F558">
            <v>5</v>
          </cell>
        </row>
        <row r="559">
          <cell r="A559" t="str">
            <v>995000572</v>
          </cell>
          <cell r="B559">
            <v>99</v>
          </cell>
          <cell r="C559">
            <v>500</v>
          </cell>
          <cell r="D559" t="str">
            <v>0572</v>
          </cell>
          <cell r="E559" t="str">
            <v>H</v>
          </cell>
          <cell r="F559">
            <v>2</v>
          </cell>
        </row>
        <row r="560">
          <cell r="A560" t="str">
            <v>995010572</v>
          </cell>
          <cell r="B560">
            <v>99</v>
          </cell>
          <cell r="C560">
            <v>501</v>
          </cell>
          <cell r="D560" t="str">
            <v>0572</v>
          </cell>
          <cell r="E560" t="str">
            <v>Q</v>
          </cell>
          <cell r="F560">
            <v>2</v>
          </cell>
        </row>
        <row r="561">
          <cell r="A561" t="str">
            <v>996000572</v>
          </cell>
          <cell r="B561">
            <v>99</v>
          </cell>
          <cell r="C561">
            <v>600</v>
          </cell>
          <cell r="D561" t="str">
            <v>0572</v>
          </cell>
          <cell r="E561" t="str">
            <v>M</v>
          </cell>
          <cell r="F561">
            <v>5</v>
          </cell>
        </row>
        <row r="562">
          <cell r="A562" t="str">
            <v>996010572</v>
          </cell>
          <cell r="B562">
            <v>99</v>
          </cell>
          <cell r="C562">
            <v>601</v>
          </cell>
          <cell r="D562" t="str">
            <v>0572</v>
          </cell>
          <cell r="E562" t="str">
            <v>Q</v>
          </cell>
          <cell r="F562">
            <v>5</v>
          </cell>
        </row>
        <row r="563">
          <cell r="A563" t="str">
            <v>996020572</v>
          </cell>
          <cell r="B563">
            <v>99</v>
          </cell>
          <cell r="C563">
            <v>602</v>
          </cell>
          <cell r="D563" t="str">
            <v>0572</v>
          </cell>
          <cell r="E563" t="str">
            <v>R</v>
          </cell>
          <cell r="F563">
            <v>6</v>
          </cell>
        </row>
        <row r="564">
          <cell r="A564" t="str">
            <v>996030572</v>
          </cell>
          <cell r="B564">
            <v>99</v>
          </cell>
          <cell r="C564">
            <v>603</v>
          </cell>
          <cell r="D564" t="str">
            <v>0572</v>
          </cell>
          <cell r="E564" t="str">
            <v>S</v>
          </cell>
          <cell r="F564">
            <v>6</v>
          </cell>
        </row>
        <row r="565">
          <cell r="A565" t="str">
            <v>092000572</v>
          </cell>
          <cell r="B565" t="str">
            <v>09</v>
          </cell>
          <cell r="C565">
            <v>200</v>
          </cell>
          <cell r="D565" t="str">
            <v>0572</v>
          </cell>
          <cell r="E565" t="str">
            <v>Q</v>
          </cell>
          <cell r="F565">
            <v>4</v>
          </cell>
        </row>
        <row r="566">
          <cell r="A566" t="str">
            <v>093000572</v>
          </cell>
          <cell r="B566" t="str">
            <v>09</v>
          </cell>
          <cell r="C566">
            <v>300</v>
          </cell>
          <cell r="D566" t="str">
            <v>0572</v>
          </cell>
          <cell r="E566" t="str">
            <v>Q</v>
          </cell>
          <cell r="F566">
            <v>4</v>
          </cell>
        </row>
        <row r="567">
          <cell r="A567" t="str">
            <v>094000572</v>
          </cell>
          <cell r="B567" t="str">
            <v>09</v>
          </cell>
          <cell r="C567">
            <v>400</v>
          </cell>
          <cell r="D567" t="str">
            <v>0572</v>
          </cell>
          <cell r="E567" t="str">
            <v>M</v>
          </cell>
          <cell r="F567">
            <v>5</v>
          </cell>
        </row>
        <row r="568">
          <cell r="A568" t="str">
            <v>095000572</v>
          </cell>
          <cell r="B568" t="str">
            <v>09</v>
          </cell>
          <cell r="C568">
            <v>500</v>
          </cell>
          <cell r="D568" t="str">
            <v>0572</v>
          </cell>
          <cell r="E568" t="str">
            <v>H</v>
          </cell>
          <cell r="F568">
            <v>2</v>
          </cell>
        </row>
        <row r="569">
          <cell r="A569" t="str">
            <v>095010572</v>
          </cell>
          <cell r="B569" t="str">
            <v>09</v>
          </cell>
          <cell r="C569">
            <v>501</v>
          </cell>
          <cell r="D569" t="str">
            <v>0572</v>
          </cell>
          <cell r="E569" t="str">
            <v>Q</v>
          </cell>
          <cell r="F569">
            <v>2</v>
          </cell>
        </row>
        <row r="570">
          <cell r="A570" t="str">
            <v>096000572</v>
          </cell>
          <cell r="B570" t="str">
            <v>09</v>
          </cell>
          <cell r="C570">
            <v>600</v>
          </cell>
          <cell r="D570" t="str">
            <v>0572</v>
          </cell>
          <cell r="E570" t="str">
            <v>M</v>
          </cell>
          <cell r="F570">
            <v>5</v>
          </cell>
        </row>
        <row r="571">
          <cell r="A571" t="str">
            <v>096010572</v>
          </cell>
          <cell r="B571" t="str">
            <v>09</v>
          </cell>
          <cell r="C571">
            <v>601</v>
          </cell>
          <cell r="D571" t="str">
            <v>0572</v>
          </cell>
          <cell r="E571" t="str">
            <v>Q</v>
          </cell>
          <cell r="F571">
            <v>5</v>
          </cell>
        </row>
        <row r="572">
          <cell r="A572" t="str">
            <v>096020572</v>
          </cell>
          <cell r="B572" t="str">
            <v>09</v>
          </cell>
          <cell r="C572">
            <v>602</v>
          </cell>
          <cell r="D572" t="str">
            <v>0572</v>
          </cell>
          <cell r="E572" t="str">
            <v>R</v>
          </cell>
          <cell r="F572">
            <v>6</v>
          </cell>
        </row>
        <row r="573">
          <cell r="A573" t="str">
            <v>096030572</v>
          </cell>
          <cell r="B573" t="str">
            <v>09</v>
          </cell>
          <cell r="C573">
            <v>603</v>
          </cell>
          <cell r="D573" t="str">
            <v>0572</v>
          </cell>
          <cell r="E573" t="str">
            <v>S</v>
          </cell>
          <cell r="F573">
            <v>6</v>
          </cell>
        </row>
        <row r="574">
          <cell r="A574" t="str">
            <v>992000573</v>
          </cell>
          <cell r="B574">
            <v>99</v>
          </cell>
          <cell r="C574">
            <v>200</v>
          </cell>
          <cell r="D574" t="str">
            <v>0573</v>
          </cell>
          <cell r="E574" t="str">
            <v>Q</v>
          </cell>
          <cell r="F574">
            <v>4</v>
          </cell>
        </row>
        <row r="575">
          <cell r="A575" t="str">
            <v>993000573</v>
          </cell>
          <cell r="B575">
            <v>99</v>
          </cell>
          <cell r="C575">
            <v>300</v>
          </cell>
          <cell r="D575" t="str">
            <v>0573</v>
          </cell>
          <cell r="E575" t="str">
            <v>Q</v>
          </cell>
          <cell r="F575">
            <v>4</v>
          </cell>
        </row>
        <row r="576">
          <cell r="A576" t="str">
            <v>995000573</v>
          </cell>
          <cell r="B576">
            <v>99</v>
          </cell>
          <cell r="C576">
            <v>500</v>
          </cell>
          <cell r="D576" t="str">
            <v>0573</v>
          </cell>
          <cell r="E576" t="str">
            <v>J</v>
          </cell>
          <cell r="F576">
            <v>1</v>
          </cell>
        </row>
        <row r="577">
          <cell r="A577" t="str">
            <v>995010573</v>
          </cell>
          <cell r="B577">
            <v>99</v>
          </cell>
          <cell r="C577">
            <v>501</v>
          </cell>
          <cell r="D577" t="str">
            <v>0573</v>
          </cell>
          <cell r="E577" t="str">
            <v>Q</v>
          </cell>
          <cell r="F577">
            <v>1</v>
          </cell>
        </row>
        <row r="578">
          <cell r="A578" t="str">
            <v>996010573</v>
          </cell>
          <cell r="B578">
            <v>99</v>
          </cell>
          <cell r="C578">
            <v>601</v>
          </cell>
          <cell r="D578" t="str">
            <v>0573</v>
          </cell>
          <cell r="E578" t="str">
            <v>Q</v>
          </cell>
          <cell r="F578">
            <v>5</v>
          </cell>
        </row>
        <row r="579">
          <cell r="A579" t="str">
            <v>996020573</v>
          </cell>
          <cell r="B579">
            <v>99</v>
          </cell>
          <cell r="C579">
            <v>602</v>
          </cell>
          <cell r="D579" t="str">
            <v>0573</v>
          </cell>
          <cell r="E579" t="str">
            <v>R</v>
          </cell>
          <cell r="F579">
            <v>6</v>
          </cell>
        </row>
        <row r="580">
          <cell r="A580" t="str">
            <v>996030573</v>
          </cell>
          <cell r="B580">
            <v>99</v>
          </cell>
          <cell r="C580">
            <v>603</v>
          </cell>
          <cell r="D580" t="str">
            <v>0573</v>
          </cell>
          <cell r="E580" t="str">
            <v>S</v>
          </cell>
          <cell r="F580">
            <v>6</v>
          </cell>
        </row>
        <row r="581">
          <cell r="A581" t="str">
            <v>996100573</v>
          </cell>
          <cell r="B581">
            <v>99</v>
          </cell>
          <cell r="C581">
            <v>610</v>
          </cell>
          <cell r="D581" t="str">
            <v>0573</v>
          </cell>
          <cell r="E581" t="str">
            <v>T</v>
          </cell>
          <cell r="F581">
            <v>5</v>
          </cell>
        </row>
        <row r="582">
          <cell r="A582" t="str">
            <v>996110573</v>
          </cell>
          <cell r="B582">
            <v>99</v>
          </cell>
          <cell r="C582">
            <v>611</v>
          </cell>
          <cell r="D582" t="str">
            <v>0573</v>
          </cell>
          <cell r="E582" t="str">
            <v>U</v>
          </cell>
          <cell r="F582">
            <v>6</v>
          </cell>
        </row>
        <row r="583">
          <cell r="A583" t="str">
            <v>092000573</v>
          </cell>
          <cell r="B583" t="str">
            <v>09</v>
          </cell>
          <cell r="C583">
            <v>200</v>
          </cell>
          <cell r="D583" t="str">
            <v>0573</v>
          </cell>
          <cell r="E583" t="str">
            <v>Q</v>
          </cell>
          <cell r="F583">
            <v>4</v>
          </cell>
        </row>
        <row r="584">
          <cell r="A584" t="str">
            <v>093000573</v>
          </cell>
          <cell r="B584" t="str">
            <v>09</v>
          </cell>
          <cell r="C584">
            <v>300</v>
          </cell>
          <cell r="D584" t="str">
            <v>0573</v>
          </cell>
          <cell r="E584" t="str">
            <v>Q</v>
          </cell>
          <cell r="F584">
            <v>4</v>
          </cell>
        </row>
        <row r="585">
          <cell r="A585" t="str">
            <v>094000573</v>
          </cell>
          <cell r="B585" t="str">
            <v>09</v>
          </cell>
          <cell r="C585">
            <v>400</v>
          </cell>
          <cell r="D585" t="str">
            <v>0573</v>
          </cell>
          <cell r="E585" t="str">
            <v>M</v>
          </cell>
          <cell r="F585">
            <v>5</v>
          </cell>
        </row>
        <row r="586">
          <cell r="A586" t="str">
            <v>095000573</v>
          </cell>
          <cell r="B586" t="str">
            <v>09</v>
          </cell>
          <cell r="C586">
            <v>500</v>
          </cell>
          <cell r="D586" t="str">
            <v>0573</v>
          </cell>
          <cell r="E586" t="str">
            <v>J</v>
          </cell>
          <cell r="F586">
            <v>1</v>
          </cell>
        </row>
        <row r="587">
          <cell r="A587" t="str">
            <v>095010573</v>
          </cell>
          <cell r="B587" t="str">
            <v>09</v>
          </cell>
          <cell r="C587">
            <v>501</v>
          </cell>
          <cell r="D587" t="str">
            <v>0573</v>
          </cell>
          <cell r="E587" t="str">
            <v>Q</v>
          </cell>
          <cell r="F587">
            <v>1</v>
          </cell>
        </row>
        <row r="588">
          <cell r="A588" t="str">
            <v>095090573</v>
          </cell>
          <cell r="B588" t="str">
            <v>09</v>
          </cell>
          <cell r="C588">
            <v>509</v>
          </cell>
          <cell r="D588" t="str">
            <v>0573</v>
          </cell>
          <cell r="E588" t="str">
            <v>J</v>
          </cell>
          <cell r="F588">
            <v>1</v>
          </cell>
        </row>
        <row r="589">
          <cell r="A589" t="str">
            <v>096000573</v>
          </cell>
          <cell r="B589" t="str">
            <v>09</v>
          </cell>
          <cell r="C589">
            <v>600</v>
          </cell>
          <cell r="D589" t="str">
            <v>0573</v>
          </cell>
          <cell r="E589" t="str">
            <v>M</v>
          </cell>
          <cell r="F589">
            <v>5</v>
          </cell>
        </row>
        <row r="590">
          <cell r="A590" t="str">
            <v>096010573</v>
          </cell>
          <cell r="B590" t="str">
            <v>09</v>
          </cell>
          <cell r="C590">
            <v>601</v>
          </cell>
          <cell r="D590" t="str">
            <v>0573</v>
          </cell>
          <cell r="E590" t="str">
            <v>Q</v>
          </cell>
          <cell r="F590">
            <v>5</v>
          </cell>
        </row>
        <row r="591">
          <cell r="A591" t="str">
            <v>096020573</v>
          </cell>
          <cell r="B591" t="str">
            <v>09</v>
          </cell>
          <cell r="C591">
            <v>602</v>
          </cell>
          <cell r="D591" t="str">
            <v>0573</v>
          </cell>
          <cell r="E591" t="str">
            <v>R</v>
          </cell>
          <cell r="F591">
            <v>6</v>
          </cell>
        </row>
        <row r="592">
          <cell r="A592" t="str">
            <v>096030573</v>
          </cell>
          <cell r="B592" t="str">
            <v>09</v>
          </cell>
          <cell r="C592">
            <v>603</v>
          </cell>
          <cell r="D592" t="str">
            <v>0573</v>
          </cell>
          <cell r="E592" t="str">
            <v>S</v>
          </cell>
          <cell r="F592">
            <v>6</v>
          </cell>
        </row>
        <row r="593">
          <cell r="A593" t="str">
            <v>096100573</v>
          </cell>
          <cell r="B593" t="str">
            <v>09</v>
          </cell>
          <cell r="C593">
            <v>610</v>
          </cell>
          <cell r="D593" t="str">
            <v>0573</v>
          </cell>
          <cell r="E593" t="str">
            <v>T</v>
          </cell>
          <cell r="F593">
            <v>5</v>
          </cell>
        </row>
        <row r="594">
          <cell r="A594" t="str">
            <v>096110573</v>
          </cell>
          <cell r="B594" t="str">
            <v>09</v>
          </cell>
          <cell r="C594">
            <v>611</v>
          </cell>
          <cell r="D594" t="str">
            <v>0573</v>
          </cell>
          <cell r="E594" t="str">
            <v>U</v>
          </cell>
          <cell r="F594">
            <v>6</v>
          </cell>
        </row>
        <row r="595">
          <cell r="A595" t="str">
            <v>992000574</v>
          </cell>
          <cell r="B595">
            <v>99</v>
          </cell>
          <cell r="C595">
            <v>200</v>
          </cell>
          <cell r="D595" t="str">
            <v>0574</v>
          </cell>
          <cell r="E595" t="str">
            <v>Q</v>
          </cell>
          <cell r="F595">
            <v>4</v>
          </cell>
        </row>
        <row r="596">
          <cell r="A596" t="str">
            <v>993000574</v>
          </cell>
          <cell r="B596">
            <v>99</v>
          </cell>
          <cell r="C596">
            <v>300</v>
          </cell>
          <cell r="D596" t="str">
            <v>0574</v>
          </cell>
          <cell r="E596" t="str">
            <v>Q</v>
          </cell>
          <cell r="F596">
            <v>4</v>
          </cell>
        </row>
        <row r="597">
          <cell r="A597" t="str">
            <v>995000574</v>
          </cell>
          <cell r="B597">
            <v>99</v>
          </cell>
          <cell r="C597">
            <v>500</v>
          </cell>
          <cell r="D597" t="str">
            <v>0574</v>
          </cell>
          <cell r="E597" t="str">
            <v>J</v>
          </cell>
          <cell r="F597">
            <v>1</v>
          </cell>
        </row>
        <row r="598">
          <cell r="A598" t="str">
            <v>995010574</v>
          </cell>
          <cell r="B598">
            <v>99</v>
          </cell>
          <cell r="C598">
            <v>501</v>
          </cell>
          <cell r="D598" t="str">
            <v>0574</v>
          </cell>
          <cell r="E598" t="str">
            <v>Q</v>
          </cell>
          <cell r="F598">
            <v>1</v>
          </cell>
        </row>
        <row r="599">
          <cell r="A599" t="str">
            <v>996010574</v>
          </cell>
          <cell r="B599">
            <v>99</v>
          </cell>
          <cell r="C599">
            <v>601</v>
          </cell>
          <cell r="D599" t="str">
            <v>0574</v>
          </cell>
          <cell r="E599" t="str">
            <v>Q</v>
          </cell>
          <cell r="F599">
            <v>5</v>
          </cell>
        </row>
        <row r="600">
          <cell r="A600" t="str">
            <v>996020574</v>
          </cell>
          <cell r="B600">
            <v>99</v>
          </cell>
          <cell r="C600">
            <v>602</v>
          </cell>
          <cell r="D600" t="str">
            <v>0574</v>
          </cell>
          <cell r="E600" t="str">
            <v>R</v>
          </cell>
          <cell r="F600">
            <v>6</v>
          </cell>
        </row>
        <row r="601">
          <cell r="A601" t="str">
            <v>996030574</v>
          </cell>
          <cell r="B601">
            <v>99</v>
          </cell>
          <cell r="C601">
            <v>603</v>
          </cell>
          <cell r="D601" t="str">
            <v>0574</v>
          </cell>
          <cell r="E601" t="str">
            <v>S</v>
          </cell>
          <cell r="F601">
            <v>6</v>
          </cell>
        </row>
        <row r="602">
          <cell r="A602" t="str">
            <v>092000574</v>
          </cell>
          <cell r="B602" t="str">
            <v>09</v>
          </cell>
          <cell r="C602">
            <v>200</v>
          </cell>
          <cell r="D602" t="str">
            <v>0574</v>
          </cell>
          <cell r="E602" t="str">
            <v>Q</v>
          </cell>
          <cell r="F602">
            <v>4</v>
          </cell>
        </row>
        <row r="603">
          <cell r="A603" t="str">
            <v>093000574</v>
          </cell>
          <cell r="B603" t="str">
            <v>09</v>
          </cell>
          <cell r="C603">
            <v>300</v>
          </cell>
          <cell r="D603" t="str">
            <v>0574</v>
          </cell>
          <cell r="E603" t="str">
            <v>Q</v>
          </cell>
          <cell r="F603">
            <v>4</v>
          </cell>
        </row>
        <row r="604">
          <cell r="A604" t="str">
            <v>095000574</v>
          </cell>
          <cell r="B604" t="str">
            <v>09</v>
          </cell>
          <cell r="C604">
            <v>500</v>
          </cell>
          <cell r="D604" t="str">
            <v>0574</v>
          </cell>
          <cell r="E604" t="str">
            <v>J</v>
          </cell>
          <cell r="F604">
            <v>1</v>
          </cell>
        </row>
        <row r="605">
          <cell r="A605" t="str">
            <v>095010574</v>
          </cell>
          <cell r="B605" t="str">
            <v>09</v>
          </cell>
          <cell r="C605">
            <v>501</v>
          </cell>
          <cell r="D605" t="str">
            <v>0574</v>
          </cell>
          <cell r="E605" t="str">
            <v>Q</v>
          </cell>
          <cell r="F605">
            <v>1</v>
          </cell>
        </row>
        <row r="606">
          <cell r="A606" t="str">
            <v>095090574</v>
          </cell>
          <cell r="B606" t="str">
            <v>09</v>
          </cell>
          <cell r="C606">
            <v>509</v>
          </cell>
          <cell r="D606" t="str">
            <v>0574</v>
          </cell>
          <cell r="E606" t="str">
            <v>J</v>
          </cell>
          <cell r="F606">
            <v>1</v>
          </cell>
        </row>
        <row r="607">
          <cell r="A607" t="str">
            <v>096010574</v>
          </cell>
          <cell r="B607" t="str">
            <v>09</v>
          </cell>
          <cell r="C607">
            <v>601</v>
          </cell>
          <cell r="D607" t="str">
            <v>0574</v>
          </cell>
          <cell r="E607" t="str">
            <v>Q</v>
          </cell>
          <cell r="F607">
            <v>5</v>
          </cell>
        </row>
        <row r="608">
          <cell r="A608" t="str">
            <v>096020574</v>
          </cell>
          <cell r="B608" t="str">
            <v>09</v>
          </cell>
          <cell r="C608">
            <v>602</v>
          </cell>
          <cell r="D608" t="str">
            <v>0574</v>
          </cell>
          <cell r="E608" t="str">
            <v>R</v>
          </cell>
          <cell r="F608">
            <v>6</v>
          </cell>
        </row>
        <row r="609">
          <cell r="A609" t="str">
            <v>096030574</v>
          </cell>
          <cell r="B609" t="str">
            <v>09</v>
          </cell>
          <cell r="C609">
            <v>603</v>
          </cell>
          <cell r="D609" t="str">
            <v>0574</v>
          </cell>
          <cell r="E609" t="str">
            <v>S</v>
          </cell>
          <cell r="F609">
            <v>6</v>
          </cell>
        </row>
        <row r="610">
          <cell r="A610" t="str">
            <v>992000577</v>
          </cell>
          <cell r="B610">
            <v>99</v>
          </cell>
          <cell r="C610">
            <v>200</v>
          </cell>
          <cell r="D610" t="str">
            <v>0577</v>
          </cell>
          <cell r="E610" t="str">
            <v>Q</v>
          </cell>
          <cell r="F610">
            <v>4</v>
          </cell>
        </row>
        <row r="611">
          <cell r="A611" t="str">
            <v>993000577</v>
          </cell>
          <cell r="B611">
            <v>99</v>
          </cell>
          <cell r="C611">
            <v>300</v>
          </cell>
          <cell r="D611" t="str">
            <v>0577</v>
          </cell>
          <cell r="E611" t="str">
            <v>Q</v>
          </cell>
          <cell r="F611">
            <v>4</v>
          </cell>
        </row>
        <row r="612">
          <cell r="A612" t="str">
            <v>994000577</v>
          </cell>
          <cell r="B612">
            <v>99</v>
          </cell>
          <cell r="C612">
            <v>400</v>
          </cell>
          <cell r="D612" t="str">
            <v>0577</v>
          </cell>
          <cell r="E612" t="str">
            <v>R</v>
          </cell>
          <cell r="F612">
            <v>5</v>
          </cell>
        </row>
        <row r="613">
          <cell r="A613" t="str">
            <v>995000577</v>
          </cell>
          <cell r="B613">
            <v>99</v>
          </cell>
          <cell r="C613">
            <v>500</v>
          </cell>
          <cell r="D613" t="str">
            <v>0577</v>
          </cell>
          <cell r="E613" t="str">
            <v>R</v>
          </cell>
          <cell r="F613">
            <v>1</v>
          </cell>
        </row>
        <row r="614">
          <cell r="A614" t="str">
            <v>995010577</v>
          </cell>
          <cell r="B614">
            <v>99</v>
          </cell>
          <cell r="C614">
            <v>501</v>
          </cell>
          <cell r="D614" t="str">
            <v>0577</v>
          </cell>
          <cell r="E614" t="str">
            <v>Q</v>
          </cell>
          <cell r="F614">
            <v>1</v>
          </cell>
        </row>
        <row r="615">
          <cell r="A615" t="str">
            <v>996000577</v>
          </cell>
          <cell r="B615">
            <v>99</v>
          </cell>
          <cell r="C615">
            <v>600</v>
          </cell>
          <cell r="D615" t="str">
            <v>0577</v>
          </cell>
          <cell r="E615" t="str">
            <v>R</v>
          </cell>
          <cell r="F615">
            <v>5</v>
          </cell>
        </row>
        <row r="616">
          <cell r="A616" t="str">
            <v>996010577</v>
          </cell>
          <cell r="B616">
            <v>99</v>
          </cell>
          <cell r="C616">
            <v>601</v>
          </cell>
          <cell r="D616" t="str">
            <v>0577</v>
          </cell>
          <cell r="E616" t="str">
            <v>Q</v>
          </cell>
          <cell r="F616">
            <v>5</v>
          </cell>
        </row>
        <row r="617">
          <cell r="A617" t="str">
            <v>996020577</v>
          </cell>
          <cell r="B617">
            <v>99</v>
          </cell>
          <cell r="C617">
            <v>602</v>
          </cell>
          <cell r="D617" t="str">
            <v>0577</v>
          </cell>
          <cell r="E617" t="str">
            <v>R</v>
          </cell>
          <cell r="F617">
            <v>6</v>
          </cell>
        </row>
        <row r="618">
          <cell r="A618" t="str">
            <v>996030577</v>
          </cell>
          <cell r="B618">
            <v>99</v>
          </cell>
          <cell r="C618">
            <v>603</v>
          </cell>
          <cell r="D618" t="str">
            <v>0577</v>
          </cell>
          <cell r="E618" t="str">
            <v>S</v>
          </cell>
          <cell r="F618">
            <v>6</v>
          </cell>
        </row>
        <row r="619">
          <cell r="A619" t="str">
            <v>092000577</v>
          </cell>
          <cell r="B619" t="str">
            <v>09</v>
          </cell>
          <cell r="C619">
            <v>200</v>
          </cell>
          <cell r="D619" t="str">
            <v>0577</v>
          </cell>
          <cell r="E619" t="str">
            <v>Q</v>
          </cell>
          <cell r="F619">
            <v>4</v>
          </cell>
        </row>
        <row r="620">
          <cell r="A620" t="str">
            <v>093000577</v>
          </cell>
          <cell r="B620" t="str">
            <v>09</v>
          </cell>
          <cell r="C620">
            <v>300</v>
          </cell>
          <cell r="D620" t="str">
            <v>0577</v>
          </cell>
          <cell r="E620" t="str">
            <v>Q</v>
          </cell>
          <cell r="F620">
            <v>4</v>
          </cell>
        </row>
        <row r="621">
          <cell r="A621" t="str">
            <v>094000577</v>
          </cell>
          <cell r="B621" t="str">
            <v>09</v>
          </cell>
          <cell r="C621">
            <v>400</v>
          </cell>
          <cell r="D621" t="str">
            <v>0577</v>
          </cell>
          <cell r="E621" t="str">
            <v>R</v>
          </cell>
          <cell r="F621">
            <v>5</v>
          </cell>
        </row>
        <row r="622">
          <cell r="A622" t="str">
            <v>095000577</v>
          </cell>
          <cell r="B622" t="str">
            <v>09</v>
          </cell>
          <cell r="C622">
            <v>500</v>
          </cell>
          <cell r="D622" t="str">
            <v>0577</v>
          </cell>
          <cell r="E622" t="str">
            <v>R</v>
          </cell>
          <cell r="F622">
            <v>1</v>
          </cell>
        </row>
        <row r="623">
          <cell r="A623" t="str">
            <v>095010577</v>
          </cell>
          <cell r="B623" t="str">
            <v>09</v>
          </cell>
          <cell r="C623">
            <v>501</v>
          </cell>
          <cell r="D623" t="str">
            <v>0577</v>
          </cell>
          <cell r="E623" t="str">
            <v>Q</v>
          </cell>
          <cell r="F623">
            <v>1</v>
          </cell>
        </row>
        <row r="624">
          <cell r="A624" t="str">
            <v>096000577</v>
          </cell>
          <cell r="B624" t="str">
            <v>09</v>
          </cell>
          <cell r="C624">
            <v>600</v>
          </cell>
          <cell r="D624" t="str">
            <v>0577</v>
          </cell>
          <cell r="E624" t="str">
            <v>R</v>
          </cell>
          <cell r="F624">
            <v>5</v>
          </cell>
        </row>
        <row r="625">
          <cell r="A625" t="str">
            <v>096010577</v>
          </cell>
          <cell r="B625" t="str">
            <v>09</v>
          </cell>
          <cell r="C625">
            <v>601</v>
          </cell>
          <cell r="D625" t="str">
            <v>0577</v>
          </cell>
          <cell r="E625" t="str">
            <v>Q</v>
          </cell>
          <cell r="F625">
            <v>5</v>
          </cell>
        </row>
        <row r="626">
          <cell r="A626" t="str">
            <v>096020577</v>
          </cell>
          <cell r="B626" t="str">
            <v>09</v>
          </cell>
          <cell r="C626">
            <v>602</v>
          </cell>
          <cell r="D626" t="str">
            <v>0577</v>
          </cell>
          <cell r="E626" t="str">
            <v>R</v>
          </cell>
          <cell r="F626">
            <v>6</v>
          </cell>
        </row>
        <row r="627">
          <cell r="A627" t="str">
            <v>096030577</v>
          </cell>
          <cell r="B627" t="str">
            <v>09</v>
          </cell>
          <cell r="C627">
            <v>603</v>
          </cell>
          <cell r="D627" t="str">
            <v>0577</v>
          </cell>
          <cell r="E627" t="str">
            <v>S</v>
          </cell>
          <cell r="F627">
            <v>6</v>
          </cell>
        </row>
        <row r="628">
          <cell r="A628" t="str">
            <v>992000578</v>
          </cell>
          <cell r="B628">
            <v>99</v>
          </cell>
          <cell r="C628">
            <v>200</v>
          </cell>
          <cell r="D628" t="str">
            <v>0578</v>
          </cell>
          <cell r="E628" t="str">
            <v>Q</v>
          </cell>
          <cell r="F628">
            <v>4</v>
          </cell>
        </row>
        <row r="629">
          <cell r="A629" t="str">
            <v>993000578</v>
          </cell>
          <cell r="B629">
            <v>99</v>
          </cell>
          <cell r="C629">
            <v>300</v>
          </cell>
          <cell r="D629" t="str">
            <v>0578</v>
          </cell>
          <cell r="E629" t="str">
            <v>Q</v>
          </cell>
          <cell r="F629">
            <v>4</v>
          </cell>
        </row>
        <row r="630">
          <cell r="A630" t="str">
            <v>994000578</v>
          </cell>
          <cell r="B630">
            <v>99</v>
          </cell>
          <cell r="C630">
            <v>400</v>
          </cell>
          <cell r="D630" t="str">
            <v>0578</v>
          </cell>
          <cell r="E630" t="str">
            <v>M</v>
          </cell>
          <cell r="F630">
            <v>5</v>
          </cell>
        </row>
        <row r="631">
          <cell r="A631" t="str">
            <v>995000578</v>
          </cell>
          <cell r="B631">
            <v>99</v>
          </cell>
          <cell r="C631">
            <v>500</v>
          </cell>
          <cell r="D631" t="str">
            <v>0578</v>
          </cell>
          <cell r="E631" t="str">
            <v>H</v>
          </cell>
          <cell r="F631">
            <v>2</v>
          </cell>
        </row>
        <row r="632">
          <cell r="A632" t="str">
            <v>995010578</v>
          </cell>
          <cell r="B632">
            <v>99</v>
          </cell>
          <cell r="C632">
            <v>501</v>
          </cell>
          <cell r="D632" t="str">
            <v>0578</v>
          </cell>
          <cell r="E632" t="str">
            <v>Q</v>
          </cell>
          <cell r="F632">
            <v>2</v>
          </cell>
        </row>
        <row r="633">
          <cell r="A633" t="str">
            <v>996000578</v>
          </cell>
          <cell r="B633">
            <v>99</v>
          </cell>
          <cell r="C633">
            <v>600</v>
          </cell>
          <cell r="D633" t="str">
            <v>0578</v>
          </cell>
          <cell r="E633" t="str">
            <v>M</v>
          </cell>
          <cell r="F633">
            <v>5</v>
          </cell>
        </row>
        <row r="634">
          <cell r="A634" t="str">
            <v>996010578</v>
          </cell>
          <cell r="B634">
            <v>99</v>
          </cell>
          <cell r="C634">
            <v>601</v>
          </cell>
          <cell r="D634" t="str">
            <v>0578</v>
          </cell>
          <cell r="E634" t="str">
            <v>Q</v>
          </cell>
          <cell r="F634">
            <v>5</v>
          </cell>
        </row>
        <row r="635">
          <cell r="A635" t="str">
            <v>996020578</v>
          </cell>
          <cell r="B635">
            <v>99</v>
          </cell>
          <cell r="C635">
            <v>602</v>
          </cell>
          <cell r="D635" t="str">
            <v>0578</v>
          </cell>
          <cell r="E635" t="str">
            <v>R</v>
          </cell>
          <cell r="F635">
            <v>6</v>
          </cell>
        </row>
        <row r="636">
          <cell r="A636" t="str">
            <v>996030578</v>
          </cell>
          <cell r="B636">
            <v>99</v>
          </cell>
          <cell r="C636">
            <v>603</v>
          </cell>
          <cell r="D636" t="str">
            <v>0578</v>
          </cell>
          <cell r="E636" t="str">
            <v>S</v>
          </cell>
          <cell r="F636">
            <v>6</v>
          </cell>
        </row>
        <row r="637">
          <cell r="A637" t="str">
            <v>092000578</v>
          </cell>
          <cell r="B637" t="str">
            <v>09</v>
          </cell>
          <cell r="C637">
            <v>200</v>
          </cell>
          <cell r="D637" t="str">
            <v>0578</v>
          </cell>
          <cell r="E637" t="str">
            <v>Q</v>
          </cell>
          <cell r="F637">
            <v>4</v>
          </cell>
        </row>
        <row r="638">
          <cell r="A638" t="str">
            <v>093000578</v>
          </cell>
          <cell r="B638" t="str">
            <v>09</v>
          </cell>
          <cell r="C638">
            <v>300</v>
          </cell>
          <cell r="D638" t="str">
            <v>0578</v>
          </cell>
          <cell r="E638" t="str">
            <v>Q</v>
          </cell>
          <cell r="F638">
            <v>4</v>
          </cell>
        </row>
        <row r="639">
          <cell r="A639" t="str">
            <v>094000578</v>
          </cell>
          <cell r="B639" t="str">
            <v>09</v>
          </cell>
          <cell r="C639">
            <v>400</v>
          </cell>
          <cell r="D639" t="str">
            <v>0578</v>
          </cell>
          <cell r="E639" t="str">
            <v>M</v>
          </cell>
          <cell r="F639">
            <v>5</v>
          </cell>
        </row>
        <row r="640">
          <cell r="A640" t="str">
            <v>095000578</v>
          </cell>
          <cell r="B640" t="str">
            <v>09</v>
          </cell>
          <cell r="C640">
            <v>500</v>
          </cell>
          <cell r="D640" t="str">
            <v>0578</v>
          </cell>
          <cell r="E640" t="str">
            <v>H</v>
          </cell>
          <cell r="F640">
            <v>2</v>
          </cell>
        </row>
        <row r="641">
          <cell r="A641" t="str">
            <v>095010578</v>
          </cell>
          <cell r="B641" t="str">
            <v>09</v>
          </cell>
          <cell r="C641">
            <v>501</v>
          </cell>
          <cell r="D641" t="str">
            <v>0578</v>
          </cell>
          <cell r="E641" t="str">
            <v>Q</v>
          </cell>
          <cell r="F641">
            <v>2</v>
          </cell>
        </row>
        <row r="642">
          <cell r="A642" t="str">
            <v>096000578</v>
          </cell>
          <cell r="B642" t="str">
            <v>09</v>
          </cell>
          <cell r="C642">
            <v>600</v>
          </cell>
          <cell r="D642" t="str">
            <v>0578</v>
          </cell>
          <cell r="E642" t="str">
            <v>M</v>
          </cell>
          <cell r="F642">
            <v>5</v>
          </cell>
        </row>
        <row r="643">
          <cell r="A643" t="str">
            <v>096010578</v>
          </cell>
          <cell r="B643" t="str">
            <v>09</v>
          </cell>
          <cell r="C643">
            <v>601</v>
          </cell>
          <cell r="D643" t="str">
            <v>0578</v>
          </cell>
          <cell r="E643" t="str">
            <v>Q</v>
          </cell>
          <cell r="F643">
            <v>5</v>
          </cell>
        </row>
        <row r="644">
          <cell r="A644" t="str">
            <v>096020578</v>
          </cell>
          <cell r="B644" t="str">
            <v>09</v>
          </cell>
          <cell r="C644">
            <v>602</v>
          </cell>
          <cell r="D644" t="str">
            <v>0578</v>
          </cell>
          <cell r="E644" t="str">
            <v>R</v>
          </cell>
          <cell r="F644">
            <v>6</v>
          </cell>
        </row>
        <row r="645">
          <cell r="A645" t="str">
            <v>096030578</v>
          </cell>
          <cell r="B645" t="str">
            <v>09</v>
          </cell>
          <cell r="C645">
            <v>603</v>
          </cell>
          <cell r="D645" t="str">
            <v>0578</v>
          </cell>
          <cell r="E645" t="str">
            <v>S</v>
          </cell>
          <cell r="F645">
            <v>6</v>
          </cell>
        </row>
        <row r="646">
          <cell r="A646" t="str">
            <v>992000581</v>
          </cell>
          <cell r="B646">
            <v>99</v>
          </cell>
          <cell r="C646">
            <v>200</v>
          </cell>
          <cell r="D646" t="str">
            <v>0581</v>
          </cell>
          <cell r="E646" t="str">
            <v>Q</v>
          </cell>
          <cell r="F646">
            <v>4</v>
          </cell>
        </row>
        <row r="647">
          <cell r="A647" t="str">
            <v>993000581</v>
          </cell>
          <cell r="B647">
            <v>99</v>
          </cell>
          <cell r="C647">
            <v>300</v>
          </cell>
          <cell r="D647" t="str">
            <v>0581</v>
          </cell>
          <cell r="E647" t="str">
            <v>Q</v>
          </cell>
          <cell r="F647">
            <v>4</v>
          </cell>
        </row>
        <row r="648">
          <cell r="A648" t="str">
            <v>994000581</v>
          </cell>
          <cell r="B648">
            <v>99</v>
          </cell>
          <cell r="C648">
            <v>400</v>
          </cell>
          <cell r="D648" t="str">
            <v>0581</v>
          </cell>
          <cell r="E648" t="str">
            <v>S</v>
          </cell>
          <cell r="F648">
            <v>5</v>
          </cell>
        </row>
        <row r="649">
          <cell r="A649" t="str">
            <v>995000581</v>
          </cell>
          <cell r="B649">
            <v>99</v>
          </cell>
          <cell r="C649">
            <v>500</v>
          </cell>
          <cell r="D649" t="str">
            <v>0581</v>
          </cell>
          <cell r="E649" t="str">
            <v>S</v>
          </cell>
          <cell r="F649">
            <v>1</v>
          </cell>
        </row>
        <row r="650">
          <cell r="A650" t="str">
            <v>995010581</v>
          </cell>
          <cell r="B650">
            <v>99</v>
          </cell>
          <cell r="C650">
            <v>501</v>
          </cell>
          <cell r="D650" t="str">
            <v>0581</v>
          </cell>
          <cell r="E650" t="str">
            <v>Q</v>
          </cell>
          <cell r="F650">
            <v>1</v>
          </cell>
        </row>
        <row r="651">
          <cell r="A651" t="str">
            <v>996000581</v>
          </cell>
          <cell r="B651">
            <v>99</v>
          </cell>
          <cell r="C651">
            <v>600</v>
          </cell>
          <cell r="D651" t="str">
            <v>0581</v>
          </cell>
          <cell r="E651" t="str">
            <v>S</v>
          </cell>
          <cell r="F651">
            <v>5</v>
          </cell>
        </row>
        <row r="652">
          <cell r="A652" t="str">
            <v>996010581</v>
          </cell>
          <cell r="B652">
            <v>99</v>
          </cell>
          <cell r="C652">
            <v>601</v>
          </cell>
          <cell r="D652" t="str">
            <v>0581</v>
          </cell>
          <cell r="E652" t="str">
            <v>Q</v>
          </cell>
          <cell r="F652">
            <v>5</v>
          </cell>
        </row>
        <row r="653">
          <cell r="A653" t="str">
            <v>996020581</v>
          </cell>
          <cell r="B653">
            <v>99</v>
          </cell>
          <cell r="C653">
            <v>602</v>
          </cell>
          <cell r="D653" t="str">
            <v>0581</v>
          </cell>
          <cell r="E653" t="str">
            <v>R</v>
          </cell>
          <cell r="F653">
            <v>6</v>
          </cell>
        </row>
        <row r="654">
          <cell r="A654" t="str">
            <v>996030581</v>
          </cell>
          <cell r="B654">
            <v>99</v>
          </cell>
          <cell r="C654">
            <v>603</v>
          </cell>
          <cell r="D654" t="str">
            <v>0581</v>
          </cell>
          <cell r="E654" t="str">
            <v>S</v>
          </cell>
          <cell r="F654">
            <v>6</v>
          </cell>
        </row>
        <row r="655">
          <cell r="A655" t="str">
            <v>092000581</v>
          </cell>
          <cell r="B655" t="str">
            <v>09</v>
          </cell>
          <cell r="C655">
            <v>200</v>
          </cell>
          <cell r="D655" t="str">
            <v>0581</v>
          </cell>
          <cell r="E655" t="str">
            <v>Q</v>
          </cell>
          <cell r="F655">
            <v>4</v>
          </cell>
        </row>
        <row r="656">
          <cell r="A656" t="str">
            <v>093000581</v>
          </cell>
          <cell r="B656" t="str">
            <v>09</v>
          </cell>
          <cell r="C656">
            <v>300</v>
          </cell>
          <cell r="D656" t="str">
            <v>0581</v>
          </cell>
          <cell r="E656" t="str">
            <v>Q</v>
          </cell>
          <cell r="F656">
            <v>4</v>
          </cell>
        </row>
        <row r="657">
          <cell r="A657" t="str">
            <v>094000581</v>
          </cell>
          <cell r="B657" t="str">
            <v>09</v>
          </cell>
          <cell r="C657">
            <v>400</v>
          </cell>
          <cell r="D657" t="str">
            <v>0581</v>
          </cell>
          <cell r="E657" t="str">
            <v>S</v>
          </cell>
          <cell r="F657">
            <v>5</v>
          </cell>
        </row>
        <row r="658">
          <cell r="A658" t="str">
            <v>095000581</v>
          </cell>
          <cell r="B658" t="str">
            <v>09</v>
          </cell>
          <cell r="C658">
            <v>500</v>
          </cell>
          <cell r="D658" t="str">
            <v>0581</v>
          </cell>
          <cell r="E658" t="str">
            <v>S</v>
          </cell>
          <cell r="F658">
            <v>1</v>
          </cell>
        </row>
        <row r="659">
          <cell r="A659" t="str">
            <v>095010581</v>
          </cell>
          <cell r="B659" t="str">
            <v>09</v>
          </cell>
          <cell r="C659">
            <v>501</v>
          </cell>
          <cell r="D659" t="str">
            <v>0581</v>
          </cell>
          <cell r="E659" t="str">
            <v>Q</v>
          </cell>
          <cell r="F659">
            <v>1</v>
          </cell>
        </row>
        <row r="660">
          <cell r="A660" t="str">
            <v>096000581</v>
          </cell>
          <cell r="B660" t="str">
            <v>09</v>
          </cell>
          <cell r="C660">
            <v>600</v>
          </cell>
          <cell r="D660" t="str">
            <v>0581</v>
          </cell>
          <cell r="E660" t="str">
            <v>S</v>
          </cell>
          <cell r="F660">
            <v>5</v>
          </cell>
        </row>
        <row r="661">
          <cell r="A661" t="str">
            <v>096010581</v>
          </cell>
          <cell r="B661" t="str">
            <v>09</v>
          </cell>
          <cell r="C661">
            <v>601</v>
          </cell>
          <cell r="D661" t="str">
            <v>0581</v>
          </cell>
          <cell r="E661" t="str">
            <v>Q</v>
          </cell>
          <cell r="F661">
            <v>5</v>
          </cell>
        </row>
        <row r="662">
          <cell r="A662" t="str">
            <v>096020581</v>
          </cell>
          <cell r="B662" t="str">
            <v>09</v>
          </cell>
          <cell r="C662">
            <v>602</v>
          </cell>
          <cell r="D662" t="str">
            <v>0581</v>
          </cell>
          <cell r="E662" t="str">
            <v>R</v>
          </cell>
          <cell r="F662">
            <v>6</v>
          </cell>
        </row>
        <row r="663">
          <cell r="A663" t="str">
            <v>096030581</v>
          </cell>
          <cell r="B663" t="str">
            <v>09</v>
          </cell>
          <cell r="C663">
            <v>603</v>
          </cell>
          <cell r="D663" t="str">
            <v>0581</v>
          </cell>
          <cell r="E663" t="str">
            <v>S</v>
          </cell>
          <cell r="F663">
            <v>6</v>
          </cell>
        </row>
        <row r="664">
          <cell r="A664" t="str">
            <v>992001999</v>
          </cell>
          <cell r="B664">
            <v>99</v>
          </cell>
          <cell r="C664">
            <v>200</v>
          </cell>
          <cell r="D664" t="str">
            <v>1999</v>
          </cell>
          <cell r="E664" t="str">
            <v>Q</v>
          </cell>
          <cell r="F664">
            <v>4</v>
          </cell>
        </row>
        <row r="665">
          <cell r="A665" t="str">
            <v>993001999</v>
          </cell>
          <cell r="B665">
            <v>99</v>
          </cell>
          <cell r="C665">
            <v>300</v>
          </cell>
          <cell r="D665" t="str">
            <v>1999</v>
          </cell>
          <cell r="E665" t="str">
            <v>Q</v>
          </cell>
          <cell r="F665">
            <v>4</v>
          </cell>
        </row>
        <row r="666">
          <cell r="A666" t="str">
            <v>994001999</v>
          </cell>
          <cell r="B666">
            <v>99</v>
          </cell>
          <cell r="C666">
            <v>400</v>
          </cell>
          <cell r="D666" t="str">
            <v>1999</v>
          </cell>
          <cell r="E666" t="str">
            <v>M</v>
          </cell>
          <cell r="F666">
            <v>5</v>
          </cell>
        </row>
        <row r="667">
          <cell r="A667" t="str">
            <v>995001999</v>
          </cell>
          <cell r="B667">
            <v>99</v>
          </cell>
          <cell r="C667">
            <v>500</v>
          </cell>
          <cell r="D667" t="str">
            <v>1999</v>
          </cell>
          <cell r="E667" t="str">
            <v>Q</v>
          </cell>
          <cell r="F667">
            <v>4</v>
          </cell>
        </row>
        <row r="668">
          <cell r="A668" t="str">
            <v>995011999</v>
          </cell>
          <cell r="B668">
            <v>99</v>
          </cell>
          <cell r="C668">
            <v>501</v>
          </cell>
          <cell r="D668" t="str">
            <v>1999</v>
          </cell>
          <cell r="E668" t="str">
            <v>Q</v>
          </cell>
          <cell r="F668">
            <v>4</v>
          </cell>
        </row>
        <row r="669">
          <cell r="A669" t="str">
            <v>996001999</v>
          </cell>
          <cell r="B669">
            <v>99</v>
          </cell>
          <cell r="C669">
            <v>600</v>
          </cell>
          <cell r="D669" t="str">
            <v>1999</v>
          </cell>
          <cell r="E669" t="str">
            <v>M</v>
          </cell>
          <cell r="F669">
            <v>5</v>
          </cell>
        </row>
        <row r="670">
          <cell r="A670" t="str">
            <v>996011999</v>
          </cell>
          <cell r="B670">
            <v>99</v>
          </cell>
          <cell r="C670">
            <v>601</v>
          </cell>
          <cell r="D670" t="str">
            <v>1999</v>
          </cell>
          <cell r="E670" t="str">
            <v>Q</v>
          </cell>
          <cell r="F670">
            <v>5</v>
          </cell>
        </row>
        <row r="671">
          <cell r="A671" t="str">
            <v>996021999</v>
          </cell>
          <cell r="B671">
            <v>99</v>
          </cell>
          <cell r="C671">
            <v>602</v>
          </cell>
          <cell r="D671" t="str">
            <v>1999</v>
          </cell>
          <cell r="E671" t="str">
            <v>R</v>
          </cell>
          <cell r="F671">
            <v>6</v>
          </cell>
        </row>
        <row r="672">
          <cell r="A672" t="str">
            <v>996031999</v>
          </cell>
          <cell r="B672">
            <v>99</v>
          </cell>
          <cell r="C672">
            <v>603</v>
          </cell>
          <cell r="D672" t="str">
            <v>1999</v>
          </cell>
          <cell r="E672" t="str">
            <v>S</v>
          </cell>
          <cell r="F672">
            <v>6</v>
          </cell>
        </row>
        <row r="673">
          <cell r="A673" t="str">
            <v>092001999</v>
          </cell>
          <cell r="B673" t="str">
            <v>09</v>
          </cell>
          <cell r="C673">
            <v>200</v>
          </cell>
          <cell r="D673" t="str">
            <v>1999</v>
          </cell>
          <cell r="E673" t="str">
            <v>Q</v>
          </cell>
          <cell r="F673">
            <v>4</v>
          </cell>
        </row>
        <row r="674">
          <cell r="A674" t="str">
            <v>093001999</v>
          </cell>
          <cell r="B674" t="str">
            <v>09</v>
          </cell>
          <cell r="C674">
            <v>300</v>
          </cell>
          <cell r="D674" t="str">
            <v>1999</v>
          </cell>
          <cell r="E674" t="str">
            <v>Q</v>
          </cell>
          <cell r="F674">
            <v>4</v>
          </cell>
        </row>
        <row r="675">
          <cell r="A675" t="str">
            <v>094001999</v>
          </cell>
          <cell r="B675" t="str">
            <v>09</v>
          </cell>
          <cell r="C675">
            <v>400</v>
          </cell>
          <cell r="D675" t="str">
            <v>1999</v>
          </cell>
          <cell r="E675" t="str">
            <v>M</v>
          </cell>
          <cell r="F675">
            <v>5</v>
          </cell>
        </row>
        <row r="676">
          <cell r="A676" t="str">
            <v>095001999</v>
          </cell>
          <cell r="B676" t="str">
            <v>09</v>
          </cell>
          <cell r="C676">
            <v>500</v>
          </cell>
          <cell r="D676" t="str">
            <v>1999</v>
          </cell>
          <cell r="E676" t="str">
            <v>Q</v>
          </cell>
          <cell r="F676">
            <v>4</v>
          </cell>
        </row>
        <row r="677">
          <cell r="A677" t="str">
            <v>095011999</v>
          </cell>
          <cell r="B677" t="str">
            <v>09</v>
          </cell>
          <cell r="C677">
            <v>501</v>
          </cell>
          <cell r="D677" t="str">
            <v>1999</v>
          </cell>
          <cell r="E677" t="str">
            <v>Q</v>
          </cell>
          <cell r="F677">
            <v>4</v>
          </cell>
        </row>
        <row r="678">
          <cell r="A678" t="str">
            <v>096001999</v>
          </cell>
          <cell r="B678" t="str">
            <v>09</v>
          </cell>
          <cell r="C678">
            <v>600</v>
          </cell>
          <cell r="D678" t="str">
            <v>1999</v>
          </cell>
          <cell r="E678" t="str">
            <v>M</v>
          </cell>
          <cell r="F678">
            <v>5</v>
          </cell>
        </row>
        <row r="679">
          <cell r="A679" t="str">
            <v>096011999</v>
          </cell>
          <cell r="B679" t="str">
            <v>09</v>
          </cell>
          <cell r="C679">
            <v>601</v>
          </cell>
          <cell r="D679" t="str">
            <v>1999</v>
          </cell>
          <cell r="E679" t="str">
            <v>Q</v>
          </cell>
          <cell r="F679">
            <v>5</v>
          </cell>
        </row>
        <row r="680">
          <cell r="A680" t="str">
            <v>096021999</v>
          </cell>
          <cell r="B680" t="str">
            <v>09</v>
          </cell>
          <cell r="C680">
            <v>602</v>
          </cell>
          <cell r="D680" t="str">
            <v>1999</v>
          </cell>
          <cell r="E680" t="str">
            <v>R</v>
          </cell>
          <cell r="F680">
            <v>6</v>
          </cell>
        </row>
        <row r="681">
          <cell r="A681" t="str">
            <v>096031999</v>
          </cell>
          <cell r="B681" t="str">
            <v>09</v>
          </cell>
          <cell r="C681">
            <v>603</v>
          </cell>
          <cell r="D681" t="str">
            <v>1999</v>
          </cell>
          <cell r="E681" t="str">
            <v>S</v>
          </cell>
          <cell r="F681">
            <v>6</v>
          </cell>
        </row>
        <row r="682">
          <cell r="A682" t="str">
            <v>992002001</v>
          </cell>
          <cell r="B682">
            <v>99</v>
          </cell>
          <cell r="C682">
            <v>200</v>
          </cell>
          <cell r="D682" t="str">
            <v>2001</v>
          </cell>
          <cell r="E682" t="str">
            <v>Q</v>
          </cell>
          <cell r="F682">
            <v>4</v>
          </cell>
        </row>
        <row r="683">
          <cell r="A683" t="str">
            <v>993002001</v>
          </cell>
          <cell r="B683">
            <v>99</v>
          </cell>
          <cell r="C683">
            <v>300</v>
          </cell>
          <cell r="D683" t="str">
            <v>2001</v>
          </cell>
          <cell r="E683" t="str">
            <v>Q</v>
          </cell>
          <cell r="F683">
            <v>4</v>
          </cell>
        </row>
        <row r="684">
          <cell r="A684" t="str">
            <v>994002001</v>
          </cell>
          <cell r="B684">
            <v>99</v>
          </cell>
          <cell r="C684">
            <v>400</v>
          </cell>
          <cell r="D684" t="str">
            <v>2001</v>
          </cell>
          <cell r="E684" t="str">
            <v>M</v>
          </cell>
          <cell r="F684">
            <v>5</v>
          </cell>
        </row>
        <row r="685">
          <cell r="A685" t="str">
            <v>995002001</v>
          </cell>
          <cell r="B685">
            <v>99</v>
          </cell>
          <cell r="C685">
            <v>500</v>
          </cell>
          <cell r="D685" t="str">
            <v>2001</v>
          </cell>
          <cell r="E685" t="str">
            <v>Q</v>
          </cell>
          <cell r="F685">
            <v>4</v>
          </cell>
        </row>
        <row r="686">
          <cell r="A686" t="str">
            <v>995012001</v>
          </cell>
          <cell r="B686">
            <v>99</v>
          </cell>
          <cell r="C686">
            <v>501</v>
          </cell>
          <cell r="D686" t="str">
            <v>2001</v>
          </cell>
          <cell r="E686" t="str">
            <v>Q</v>
          </cell>
          <cell r="F686">
            <v>4</v>
          </cell>
        </row>
        <row r="687">
          <cell r="A687" t="str">
            <v>996002001</v>
          </cell>
          <cell r="B687">
            <v>99</v>
          </cell>
          <cell r="C687">
            <v>600</v>
          </cell>
          <cell r="D687" t="str">
            <v>2001</v>
          </cell>
          <cell r="E687" t="str">
            <v>M</v>
          </cell>
          <cell r="F687">
            <v>5</v>
          </cell>
        </row>
        <row r="688">
          <cell r="A688" t="str">
            <v>996012001</v>
          </cell>
          <cell r="B688">
            <v>99</v>
          </cell>
          <cell r="C688">
            <v>601</v>
          </cell>
          <cell r="D688" t="str">
            <v>2001</v>
          </cell>
          <cell r="E688" t="str">
            <v>Q</v>
          </cell>
          <cell r="F688">
            <v>5</v>
          </cell>
        </row>
        <row r="689">
          <cell r="A689" t="str">
            <v>996022001</v>
          </cell>
          <cell r="B689">
            <v>99</v>
          </cell>
          <cell r="C689">
            <v>602</v>
          </cell>
          <cell r="D689" t="str">
            <v>2001</v>
          </cell>
          <cell r="E689" t="str">
            <v>R</v>
          </cell>
          <cell r="F689">
            <v>6</v>
          </cell>
        </row>
        <row r="690">
          <cell r="A690" t="str">
            <v>996032001</v>
          </cell>
          <cell r="B690">
            <v>99</v>
          </cell>
          <cell r="C690">
            <v>603</v>
          </cell>
          <cell r="D690" t="str">
            <v>2001</v>
          </cell>
          <cell r="E690" t="str">
            <v>S</v>
          </cell>
          <cell r="F690">
            <v>6</v>
          </cell>
        </row>
        <row r="691">
          <cell r="A691" t="str">
            <v>092002001</v>
          </cell>
          <cell r="B691" t="str">
            <v>09</v>
          </cell>
          <cell r="C691">
            <v>200</v>
          </cell>
          <cell r="D691" t="str">
            <v>2001</v>
          </cell>
          <cell r="E691" t="str">
            <v>Q</v>
          </cell>
          <cell r="F691">
            <v>4</v>
          </cell>
        </row>
        <row r="692">
          <cell r="A692" t="str">
            <v>093002001</v>
          </cell>
          <cell r="B692" t="str">
            <v>09</v>
          </cell>
          <cell r="C692">
            <v>300</v>
          </cell>
          <cell r="D692" t="str">
            <v>2001</v>
          </cell>
          <cell r="E692" t="str">
            <v>Q</v>
          </cell>
          <cell r="F692">
            <v>4</v>
          </cell>
        </row>
        <row r="693">
          <cell r="A693" t="str">
            <v>094002001</v>
          </cell>
          <cell r="B693" t="str">
            <v>09</v>
          </cell>
          <cell r="C693">
            <v>400</v>
          </cell>
          <cell r="D693" t="str">
            <v>2001</v>
          </cell>
          <cell r="E693" t="str">
            <v>M</v>
          </cell>
          <cell r="F693">
            <v>5</v>
          </cell>
        </row>
        <row r="694">
          <cell r="A694" t="str">
            <v>095002001</v>
          </cell>
          <cell r="B694" t="str">
            <v>09</v>
          </cell>
          <cell r="C694">
            <v>500</v>
          </cell>
          <cell r="D694" t="str">
            <v>2001</v>
          </cell>
          <cell r="E694" t="str">
            <v>Q</v>
          </cell>
          <cell r="F694">
            <v>4</v>
          </cell>
        </row>
        <row r="695">
          <cell r="A695" t="str">
            <v>095012001</v>
          </cell>
          <cell r="B695" t="str">
            <v>09</v>
          </cell>
          <cell r="C695">
            <v>501</v>
          </cell>
          <cell r="D695" t="str">
            <v>2001</v>
          </cell>
          <cell r="E695" t="str">
            <v>Q</v>
          </cell>
          <cell r="F695">
            <v>4</v>
          </cell>
        </row>
        <row r="696">
          <cell r="A696" t="str">
            <v>096002001</v>
          </cell>
          <cell r="B696" t="str">
            <v>09</v>
          </cell>
          <cell r="C696">
            <v>600</v>
          </cell>
          <cell r="D696" t="str">
            <v>2001</v>
          </cell>
          <cell r="E696" t="str">
            <v>M</v>
          </cell>
          <cell r="F696">
            <v>5</v>
          </cell>
        </row>
        <row r="697">
          <cell r="A697" t="str">
            <v>096012001</v>
          </cell>
          <cell r="B697" t="str">
            <v>09</v>
          </cell>
          <cell r="C697">
            <v>601</v>
          </cell>
          <cell r="D697" t="str">
            <v>2001</v>
          </cell>
          <cell r="E697" t="str">
            <v>Q</v>
          </cell>
          <cell r="F697">
            <v>5</v>
          </cell>
        </row>
        <row r="698">
          <cell r="A698" t="str">
            <v>096022001</v>
          </cell>
          <cell r="B698" t="str">
            <v>09</v>
          </cell>
          <cell r="C698">
            <v>602</v>
          </cell>
          <cell r="D698" t="str">
            <v>2001</v>
          </cell>
          <cell r="E698" t="str">
            <v>R</v>
          </cell>
          <cell r="F698">
            <v>6</v>
          </cell>
        </row>
        <row r="699">
          <cell r="A699" t="str">
            <v>096032001</v>
          </cell>
          <cell r="B699" t="str">
            <v>09</v>
          </cell>
          <cell r="C699">
            <v>603</v>
          </cell>
          <cell r="D699" t="str">
            <v>2001</v>
          </cell>
          <cell r="E699" t="str">
            <v>S</v>
          </cell>
          <cell r="F699">
            <v>6</v>
          </cell>
        </row>
        <row r="700">
          <cell r="A700" t="str">
            <v>992002002</v>
          </cell>
          <cell r="B700">
            <v>99</v>
          </cell>
          <cell r="C700">
            <v>200</v>
          </cell>
          <cell r="D700" t="str">
            <v>2002</v>
          </cell>
          <cell r="E700" t="str">
            <v>Q</v>
          </cell>
          <cell r="F700">
            <v>4</v>
          </cell>
        </row>
        <row r="701">
          <cell r="A701" t="str">
            <v>993002002</v>
          </cell>
          <cell r="B701">
            <v>99</v>
          </cell>
          <cell r="C701">
            <v>300</v>
          </cell>
          <cell r="D701" t="str">
            <v>2002</v>
          </cell>
          <cell r="E701" t="str">
            <v>Q</v>
          </cell>
          <cell r="F701">
            <v>4</v>
          </cell>
        </row>
        <row r="702">
          <cell r="A702" t="str">
            <v>995002002</v>
          </cell>
          <cell r="B702">
            <v>99</v>
          </cell>
          <cell r="C702">
            <v>500</v>
          </cell>
          <cell r="D702" t="str">
            <v>2002</v>
          </cell>
          <cell r="E702" t="str">
            <v>Q</v>
          </cell>
          <cell r="F702">
            <v>4</v>
          </cell>
        </row>
        <row r="703">
          <cell r="A703" t="str">
            <v>995012002</v>
          </cell>
          <cell r="B703">
            <v>99</v>
          </cell>
          <cell r="C703">
            <v>501</v>
          </cell>
          <cell r="D703" t="str">
            <v>2002</v>
          </cell>
          <cell r="E703" t="str">
            <v>Q</v>
          </cell>
          <cell r="F703">
            <v>4</v>
          </cell>
        </row>
        <row r="704">
          <cell r="A704" t="str">
            <v>996012002</v>
          </cell>
          <cell r="B704">
            <v>99</v>
          </cell>
          <cell r="C704">
            <v>601</v>
          </cell>
          <cell r="D704" t="str">
            <v>2002</v>
          </cell>
          <cell r="E704" t="str">
            <v>Q</v>
          </cell>
          <cell r="F704">
            <v>5</v>
          </cell>
        </row>
        <row r="705">
          <cell r="A705" t="str">
            <v>996022002</v>
          </cell>
          <cell r="B705">
            <v>99</v>
          </cell>
          <cell r="C705">
            <v>602</v>
          </cell>
          <cell r="D705" t="str">
            <v>2002</v>
          </cell>
          <cell r="E705" t="str">
            <v>R</v>
          </cell>
          <cell r="F705">
            <v>6</v>
          </cell>
        </row>
        <row r="706">
          <cell r="A706" t="str">
            <v>996032002</v>
          </cell>
          <cell r="B706">
            <v>99</v>
          </cell>
          <cell r="C706">
            <v>603</v>
          </cell>
          <cell r="D706" t="str">
            <v>2002</v>
          </cell>
          <cell r="E706" t="str">
            <v>S</v>
          </cell>
          <cell r="F706">
            <v>6</v>
          </cell>
        </row>
        <row r="707">
          <cell r="A707" t="str">
            <v>092002002</v>
          </cell>
          <cell r="B707" t="str">
            <v>09</v>
          </cell>
          <cell r="C707">
            <v>200</v>
          </cell>
          <cell r="D707" t="str">
            <v>2002</v>
          </cell>
          <cell r="E707" t="str">
            <v>Q</v>
          </cell>
          <cell r="F707">
            <v>4</v>
          </cell>
        </row>
        <row r="708">
          <cell r="A708" t="str">
            <v>093002002</v>
          </cell>
          <cell r="B708" t="str">
            <v>09</v>
          </cell>
          <cell r="C708">
            <v>300</v>
          </cell>
          <cell r="D708" t="str">
            <v>2002</v>
          </cell>
          <cell r="E708" t="str">
            <v>Q</v>
          </cell>
          <cell r="F708">
            <v>4</v>
          </cell>
        </row>
        <row r="709">
          <cell r="A709" t="str">
            <v>095002002</v>
          </cell>
          <cell r="B709" t="str">
            <v>09</v>
          </cell>
          <cell r="C709">
            <v>500</v>
          </cell>
          <cell r="D709" t="str">
            <v>2002</v>
          </cell>
          <cell r="E709" t="str">
            <v>Q</v>
          </cell>
          <cell r="F709">
            <v>4</v>
          </cell>
        </row>
        <row r="710">
          <cell r="A710" t="str">
            <v>095012002</v>
          </cell>
          <cell r="B710" t="str">
            <v>09</v>
          </cell>
          <cell r="C710">
            <v>501</v>
          </cell>
          <cell r="D710" t="str">
            <v>2002</v>
          </cell>
          <cell r="E710" t="str">
            <v>Q</v>
          </cell>
          <cell r="F710">
            <v>4</v>
          </cell>
        </row>
        <row r="711">
          <cell r="A711" t="str">
            <v>096012002</v>
          </cell>
          <cell r="B711" t="str">
            <v>09</v>
          </cell>
          <cell r="C711">
            <v>601</v>
          </cell>
          <cell r="D711" t="str">
            <v>2002</v>
          </cell>
          <cell r="E711" t="str">
            <v>Q</v>
          </cell>
          <cell r="F711">
            <v>5</v>
          </cell>
        </row>
        <row r="712">
          <cell r="A712" t="str">
            <v>096022002</v>
          </cell>
          <cell r="B712" t="str">
            <v>09</v>
          </cell>
          <cell r="C712">
            <v>602</v>
          </cell>
          <cell r="D712" t="str">
            <v>2002</v>
          </cell>
          <cell r="E712" t="str">
            <v>R</v>
          </cell>
          <cell r="F712">
            <v>6</v>
          </cell>
        </row>
        <row r="713">
          <cell r="A713" t="str">
            <v>096032002</v>
          </cell>
          <cell r="B713" t="str">
            <v>09</v>
          </cell>
          <cell r="C713">
            <v>603</v>
          </cell>
          <cell r="D713" t="str">
            <v>2002</v>
          </cell>
          <cell r="E713" t="str">
            <v>S</v>
          </cell>
          <cell r="F713">
            <v>6</v>
          </cell>
        </row>
        <row r="714">
          <cell r="A714" t="str">
            <v>992002003</v>
          </cell>
          <cell r="B714">
            <v>99</v>
          </cell>
          <cell r="C714">
            <v>200</v>
          </cell>
          <cell r="D714" t="str">
            <v>2003</v>
          </cell>
          <cell r="E714" t="str">
            <v>Q</v>
          </cell>
          <cell r="F714">
            <v>4</v>
          </cell>
        </row>
        <row r="715">
          <cell r="A715" t="str">
            <v>993002003</v>
          </cell>
          <cell r="B715">
            <v>99</v>
          </cell>
          <cell r="C715">
            <v>300</v>
          </cell>
          <cell r="D715" t="str">
            <v>2003</v>
          </cell>
          <cell r="E715" t="str">
            <v>Q</v>
          </cell>
          <cell r="F715">
            <v>4</v>
          </cell>
        </row>
        <row r="716">
          <cell r="A716" t="str">
            <v>994002003</v>
          </cell>
          <cell r="B716">
            <v>99</v>
          </cell>
          <cell r="C716">
            <v>400</v>
          </cell>
          <cell r="D716" t="str">
            <v>2003</v>
          </cell>
          <cell r="E716" t="str">
            <v>M</v>
          </cell>
          <cell r="F716">
            <v>5</v>
          </cell>
        </row>
        <row r="717">
          <cell r="A717" t="str">
            <v>995002003</v>
          </cell>
          <cell r="B717">
            <v>99</v>
          </cell>
          <cell r="C717">
            <v>500</v>
          </cell>
          <cell r="D717" t="str">
            <v>2003</v>
          </cell>
          <cell r="E717" t="str">
            <v>H</v>
          </cell>
          <cell r="F717">
            <v>2</v>
          </cell>
        </row>
        <row r="718">
          <cell r="A718" t="str">
            <v>995012003</v>
          </cell>
          <cell r="B718">
            <v>99</v>
          </cell>
          <cell r="C718">
            <v>501</v>
          </cell>
          <cell r="D718" t="str">
            <v>2003</v>
          </cell>
          <cell r="E718" t="str">
            <v>Q</v>
          </cell>
          <cell r="F718">
            <v>2</v>
          </cell>
        </row>
        <row r="719">
          <cell r="A719" t="str">
            <v>996002003</v>
          </cell>
          <cell r="B719">
            <v>99</v>
          </cell>
          <cell r="C719">
            <v>600</v>
          </cell>
          <cell r="D719" t="str">
            <v>2003</v>
          </cell>
          <cell r="E719" t="str">
            <v>M</v>
          </cell>
          <cell r="F719">
            <v>5</v>
          </cell>
        </row>
        <row r="720">
          <cell r="A720" t="str">
            <v>996012003</v>
          </cell>
          <cell r="B720">
            <v>99</v>
          </cell>
          <cell r="C720">
            <v>601</v>
          </cell>
          <cell r="D720" t="str">
            <v>2003</v>
          </cell>
          <cell r="E720" t="str">
            <v>Q</v>
          </cell>
          <cell r="F720">
            <v>5</v>
          </cell>
        </row>
        <row r="721">
          <cell r="A721" t="str">
            <v>996022003</v>
          </cell>
          <cell r="B721">
            <v>99</v>
          </cell>
          <cell r="C721">
            <v>602</v>
          </cell>
          <cell r="D721" t="str">
            <v>2003</v>
          </cell>
          <cell r="E721" t="str">
            <v>R</v>
          </cell>
          <cell r="F721">
            <v>6</v>
          </cell>
        </row>
        <row r="722">
          <cell r="A722" t="str">
            <v>996032003</v>
          </cell>
          <cell r="B722">
            <v>99</v>
          </cell>
          <cell r="C722">
            <v>603</v>
          </cell>
          <cell r="D722" t="str">
            <v>2003</v>
          </cell>
          <cell r="E722" t="str">
            <v>S</v>
          </cell>
          <cell r="F722">
            <v>6</v>
          </cell>
        </row>
        <row r="723">
          <cell r="A723" t="str">
            <v>092002003</v>
          </cell>
          <cell r="B723" t="str">
            <v>09</v>
          </cell>
          <cell r="C723">
            <v>200</v>
          </cell>
          <cell r="D723" t="str">
            <v>2003</v>
          </cell>
          <cell r="E723" t="str">
            <v>Q</v>
          </cell>
          <cell r="F723">
            <v>4</v>
          </cell>
        </row>
        <row r="724">
          <cell r="A724" t="str">
            <v>093002003</v>
          </cell>
          <cell r="B724" t="str">
            <v>09</v>
          </cell>
          <cell r="C724">
            <v>300</v>
          </cell>
          <cell r="D724" t="str">
            <v>2003</v>
          </cell>
          <cell r="E724" t="str">
            <v>Q</v>
          </cell>
          <cell r="F724">
            <v>4</v>
          </cell>
        </row>
        <row r="725">
          <cell r="A725" t="str">
            <v>094002003</v>
          </cell>
          <cell r="B725" t="str">
            <v>09</v>
          </cell>
          <cell r="C725">
            <v>400</v>
          </cell>
          <cell r="D725" t="str">
            <v>2003</v>
          </cell>
          <cell r="E725" t="str">
            <v>M</v>
          </cell>
          <cell r="F725">
            <v>5</v>
          </cell>
        </row>
        <row r="726">
          <cell r="A726" t="str">
            <v>095002003</v>
          </cell>
          <cell r="B726" t="str">
            <v>09</v>
          </cell>
          <cell r="C726">
            <v>500</v>
          </cell>
          <cell r="D726" t="str">
            <v>2003</v>
          </cell>
          <cell r="E726" t="str">
            <v>H</v>
          </cell>
          <cell r="F726">
            <v>2</v>
          </cell>
        </row>
        <row r="727">
          <cell r="A727" t="str">
            <v>095012003</v>
          </cell>
          <cell r="B727" t="str">
            <v>09</v>
          </cell>
          <cell r="C727">
            <v>501</v>
          </cell>
          <cell r="D727" t="str">
            <v>2003</v>
          </cell>
          <cell r="E727" t="str">
            <v>Q</v>
          </cell>
          <cell r="F727">
            <v>2</v>
          </cell>
        </row>
        <row r="728">
          <cell r="A728" t="str">
            <v>096002003</v>
          </cell>
          <cell r="B728" t="str">
            <v>09</v>
          </cell>
          <cell r="C728">
            <v>600</v>
          </cell>
          <cell r="D728" t="str">
            <v>2003</v>
          </cell>
          <cell r="E728" t="str">
            <v>M</v>
          </cell>
          <cell r="F728">
            <v>5</v>
          </cell>
        </row>
        <row r="729">
          <cell r="A729" t="str">
            <v>096012003</v>
          </cell>
          <cell r="B729" t="str">
            <v>09</v>
          </cell>
          <cell r="C729">
            <v>601</v>
          </cell>
          <cell r="D729" t="str">
            <v>2003</v>
          </cell>
          <cell r="E729" t="str">
            <v>Q</v>
          </cell>
          <cell r="F729">
            <v>5</v>
          </cell>
        </row>
        <row r="730">
          <cell r="A730" t="str">
            <v>096022003</v>
          </cell>
          <cell r="B730" t="str">
            <v>09</v>
          </cell>
          <cell r="C730">
            <v>602</v>
          </cell>
          <cell r="D730" t="str">
            <v>2003</v>
          </cell>
          <cell r="E730" t="str">
            <v>R</v>
          </cell>
          <cell r="F730">
            <v>6</v>
          </cell>
        </row>
        <row r="731">
          <cell r="A731" t="str">
            <v>096032003</v>
          </cell>
          <cell r="B731" t="str">
            <v>09</v>
          </cell>
          <cell r="C731">
            <v>603</v>
          </cell>
          <cell r="D731" t="str">
            <v>2003</v>
          </cell>
          <cell r="E731" t="str">
            <v>S</v>
          </cell>
          <cell r="F731">
            <v>6</v>
          </cell>
        </row>
        <row r="732">
          <cell r="A732" t="str">
            <v>992002004</v>
          </cell>
          <cell r="B732">
            <v>99</v>
          </cell>
          <cell r="C732">
            <v>200</v>
          </cell>
          <cell r="D732" t="str">
            <v>2004</v>
          </cell>
          <cell r="E732" t="str">
            <v>Q</v>
          </cell>
          <cell r="F732">
            <v>4</v>
          </cell>
        </row>
        <row r="733">
          <cell r="A733" t="str">
            <v>993002004</v>
          </cell>
          <cell r="B733">
            <v>99</v>
          </cell>
          <cell r="C733">
            <v>300</v>
          </cell>
          <cell r="D733" t="str">
            <v>2004</v>
          </cell>
          <cell r="E733" t="str">
            <v>Q</v>
          </cell>
          <cell r="F733">
            <v>4</v>
          </cell>
        </row>
        <row r="734">
          <cell r="A734" t="str">
            <v>994002004</v>
          </cell>
          <cell r="B734">
            <v>99</v>
          </cell>
          <cell r="C734">
            <v>400</v>
          </cell>
          <cell r="D734" t="str">
            <v>2004</v>
          </cell>
          <cell r="E734" t="str">
            <v>M</v>
          </cell>
          <cell r="F734">
            <v>5</v>
          </cell>
        </row>
        <row r="735">
          <cell r="A735" t="str">
            <v>995002004</v>
          </cell>
          <cell r="B735">
            <v>99</v>
          </cell>
          <cell r="C735">
            <v>500</v>
          </cell>
          <cell r="D735" t="str">
            <v>2004</v>
          </cell>
          <cell r="E735" t="str">
            <v>H</v>
          </cell>
          <cell r="F735">
            <v>2</v>
          </cell>
        </row>
        <row r="736">
          <cell r="A736" t="str">
            <v>995012004</v>
          </cell>
          <cell r="B736">
            <v>99</v>
          </cell>
          <cell r="C736">
            <v>501</v>
          </cell>
          <cell r="D736" t="str">
            <v>2004</v>
          </cell>
          <cell r="E736" t="str">
            <v>Q</v>
          </cell>
          <cell r="F736">
            <v>2</v>
          </cell>
        </row>
        <row r="737">
          <cell r="A737" t="str">
            <v>996002004</v>
          </cell>
          <cell r="B737">
            <v>99</v>
          </cell>
          <cell r="C737">
            <v>600</v>
          </cell>
          <cell r="D737" t="str">
            <v>2004</v>
          </cell>
          <cell r="E737" t="str">
            <v>M</v>
          </cell>
          <cell r="F737">
            <v>5</v>
          </cell>
        </row>
        <row r="738">
          <cell r="A738" t="str">
            <v>996012004</v>
          </cell>
          <cell r="B738">
            <v>99</v>
          </cell>
          <cell r="C738">
            <v>601</v>
          </cell>
          <cell r="D738" t="str">
            <v>2004</v>
          </cell>
          <cell r="E738" t="str">
            <v>Q</v>
          </cell>
          <cell r="F738">
            <v>5</v>
          </cell>
        </row>
        <row r="739">
          <cell r="A739" t="str">
            <v>996022004</v>
          </cell>
          <cell r="B739">
            <v>99</v>
          </cell>
          <cell r="C739">
            <v>602</v>
          </cell>
          <cell r="D739" t="str">
            <v>2004</v>
          </cell>
          <cell r="E739" t="str">
            <v>R</v>
          </cell>
          <cell r="F739">
            <v>6</v>
          </cell>
        </row>
        <row r="740">
          <cell r="A740" t="str">
            <v>996032004</v>
          </cell>
          <cell r="B740">
            <v>99</v>
          </cell>
          <cell r="C740">
            <v>603</v>
          </cell>
          <cell r="D740" t="str">
            <v>2004</v>
          </cell>
          <cell r="E740" t="str">
            <v>S</v>
          </cell>
          <cell r="F740">
            <v>6</v>
          </cell>
        </row>
        <row r="741">
          <cell r="A741" t="str">
            <v>092002004</v>
          </cell>
          <cell r="B741" t="str">
            <v>09</v>
          </cell>
          <cell r="C741">
            <v>200</v>
          </cell>
          <cell r="D741" t="str">
            <v>2004</v>
          </cell>
          <cell r="E741" t="str">
            <v>Q</v>
          </cell>
          <cell r="F741">
            <v>4</v>
          </cell>
        </row>
        <row r="742">
          <cell r="A742" t="str">
            <v>093002004</v>
          </cell>
          <cell r="B742" t="str">
            <v>09</v>
          </cell>
          <cell r="C742">
            <v>300</v>
          </cell>
          <cell r="D742" t="str">
            <v>2004</v>
          </cell>
          <cell r="E742" t="str">
            <v>Q</v>
          </cell>
          <cell r="F742">
            <v>4</v>
          </cell>
        </row>
        <row r="743">
          <cell r="A743" t="str">
            <v>094002004</v>
          </cell>
          <cell r="B743" t="str">
            <v>09</v>
          </cell>
          <cell r="C743">
            <v>400</v>
          </cell>
          <cell r="D743" t="str">
            <v>2004</v>
          </cell>
          <cell r="E743" t="str">
            <v>M</v>
          </cell>
          <cell r="F743">
            <v>5</v>
          </cell>
        </row>
        <row r="744">
          <cell r="A744" t="str">
            <v>095002004</v>
          </cell>
          <cell r="B744" t="str">
            <v>09</v>
          </cell>
          <cell r="C744">
            <v>500</v>
          </cell>
          <cell r="D744" t="str">
            <v>2004</v>
          </cell>
          <cell r="E744" t="str">
            <v>H</v>
          </cell>
          <cell r="F744">
            <v>2</v>
          </cell>
        </row>
        <row r="745">
          <cell r="A745" t="str">
            <v>095012004</v>
          </cell>
          <cell r="B745" t="str">
            <v>09</v>
          </cell>
          <cell r="C745">
            <v>501</v>
          </cell>
          <cell r="D745" t="str">
            <v>2004</v>
          </cell>
          <cell r="E745" t="str">
            <v>Q</v>
          </cell>
          <cell r="F745">
            <v>2</v>
          </cell>
        </row>
        <row r="746">
          <cell r="A746" t="str">
            <v>096002004</v>
          </cell>
          <cell r="B746" t="str">
            <v>09</v>
          </cell>
          <cell r="C746">
            <v>600</v>
          </cell>
          <cell r="D746" t="str">
            <v>2004</v>
          </cell>
          <cell r="E746" t="str">
            <v>M</v>
          </cell>
          <cell r="F746">
            <v>5</v>
          </cell>
        </row>
        <row r="747">
          <cell r="A747" t="str">
            <v>096012004</v>
          </cell>
          <cell r="B747" t="str">
            <v>09</v>
          </cell>
          <cell r="C747">
            <v>601</v>
          </cell>
          <cell r="D747" t="str">
            <v>2004</v>
          </cell>
          <cell r="E747" t="str">
            <v>Q</v>
          </cell>
          <cell r="F747">
            <v>5</v>
          </cell>
        </row>
        <row r="748">
          <cell r="A748" t="str">
            <v>096022004</v>
          </cell>
          <cell r="B748" t="str">
            <v>09</v>
          </cell>
          <cell r="C748">
            <v>602</v>
          </cell>
          <cell r="D748" t="str">
            <v>2004</v>
          </cell>
          <cell r="E748" t="str">
            <v>R</v>
          </cell>
          <cell r="F748">
            <v>6</v>
          </cell>
        </row>
        <row r="749">
          <cell r="A749" t="str">
            <v>096032004</v>
          </cell>
          <cell r="B749" t="str">
            <v>09</v>
          </cell>
          <cell r="C749">
            <v>603</v>
          </cell>
          <cell r="D749" t="str">
            <v>2004</v>
          </cell>
          <cell r="E749" t="str">
            <v>S</v>
          </cell>
          <cell r="F749">
            <v>6</v>
          </cell>
        </row>
        <row r="750">
          <cell r="A750" t="str">
            <v>992002005</v>
          </cell>
          <cell r="B750">
            <v>99</v>
          </cell>
          <cell r="C750">
            <v>200</v>
          </cell>
          <cell r="D750" t="str">
            <v>2005</v>
          </cell>
          <cell r="E750" t="str">
            <v>Q</v>
          </cell>
          <cell r="F750">
            <v>4</v>
          </cell>
        </row>
        <row r="751">
          <cell r="A751" t="str">
            <v>993002005</v>
          </cell>
          <cell r="B751">
            <v>99</v>
          </cell>
          <cell r="C751">
            <v>300</v>
          </cell>
          <cell r="D751" t="str">
            <v>2005</v>
          </cell>
          <cell r="E751" t="str">
            <v>Q</v>
          </cell>
          <cell r="F751">
            <v>4</v>
          </cell>
        </row>
        <row r="752">
          <cell r="A752" t="str">
            <v>994002005</v>
          </cell>
          <cell r="B752">
            <v>99</v>
          </cell>
          <cell r="C752">
            <v>400</v>
          </cell>
          <cell r="D752" t="str">
            <v>2005</v>
          </cell>
          <cell r="E752" t="str">
            <v>M</v>
          </cell>
          <cell r="F752">
            <v>5</v>
          </cell>
        </row>
        <row r="753">
          <cell r="A753" t="str">
            <v>995002005</v>
          </cell>
          <cell r="B753">
            <v>99</v>
          </cell>
          <cell r="C753">
            <v>500</v>
          </cell>
          <cell r="D753" t="str">
            <v>2005</v>
          </cell>
          <cell r="E753" t="str">
            <v>H</v>
          </cell>
          <cell r="F753">
            <v>2</v>
          </cell>
        </row>
        <row r="754">
          <cell r="A754" t="str">
            <v>995012005</v>
          </cell>
          <cell r="B754">
            <v>99</v>
          </cell>
          <cell r="C754">
            <v>501</v>
          </cell>
          <cell r="D754" t="str">
            <v>2005</v>
          </cell>
          <cell r="E754" t="str">
            <v>Q</v>
          </cell>
          <cell r="F754">
            <v>2</v>
          </cell>
        </row>
        <row r="755">
          <cell r="A755" t="str">
            <v>996002005</v>
          </cell>
          <cell r="B755">
            <v>99</v>
          </cell>
          <cell r="C755">
            <v>600</v>
          </cell>
          <cell r="D755" t="str">
            <v>2005</v>
          </cell>
          <cell r="E755" t="str">
            <v>M</v>
          </cell>
          <cell r="F755">
            <v>5</v>
          </cell>
        </row>
        <row r="756">
          <cell r="A756" t="str">
            <v>996012005</v>
          </cell>
          <cell r="B756">
            <v>99</v>
          </cell>
          <cell r="C756">
            <v>601</v>
          </cell>
          <cell r="D756" t="str">
            <v>2005</v>
          </cell>
          <cell r="E756" t="str">
            <v>Q</v>
          </cell>
          <cell r="F756">
            <v>5</v>
          </cell>
        </row>
        <row r="757">
          <cell r="A757" t="str">
            <v>996022005</v>
          </cell>
          <cell r="B757">
            <v>99</v>
          </cell>
          <cell r="C757">
            <v>602</v>
          </cell>
          <cell r="D757" t="str">
            <v>2005</v>
          </cell>
          <cell r="E757" t="str">
            <v>R</v>
          </cell>
          <cell r="F757">
            <v>6</v>
          </cell>
        </row>
        <row r="758">
          <cell r="A758" t="str">
            <v>996032005</v>
          </cell>
          <cell r="B758">
            <v>99</v>
          </cell>
          <cell r="C758">
            <v>603</v>
          </cell>
          <cell r="D758" t="str">
            <v>2005</v>
          </cell>
          <cell r="E758" t="str">
            <v>S</v>
          </cell>
          <cell r="F758">
            <v>6</v>
          </cell>
        </row>
        <row r="759">
          <cell r="A759" t="str">
            <v>092002005</v>
          </cell>
          <cell r="B759" t="str">
            <v>09</v>
          </cell>
          <cell r="C759">
            <v>200</v>
          </cell>
          <cell r="D759" t="str">
            <v>2005</v>
          </cell>
          <cell r="E759" t="str">
            <v>Q</v>
          </cell>
          <cell r="F759">
            <v>4</v>
          </cell>
        </row>
        <row r="760">
          <cell r="A760" t="str">
            <v>093002005</v>
          </cell>
          <cell r="B760" t="str">
            <v>09</v>
          </cell>
          <cell r="C760">
            <v>300</v>
          </cell>
          <cell r="D760" t="str">
            <v>2005</v>
          </cell>
          <cell r="E760" t="str">
            <v>Q</v>
          </cell>
          <cell r="F760">
            <v>4</v>
          </cell>
        </row>
        <row r="761">
          <cell r="A761" t="str">
            <v>094002005</v>
          </cell>
          <cell r="B761" t="str">
            <v>09</v>
          </cell>
          <cell r="C761">
            <v>400</v>
          </cell>
          <cell r="D761" t="str">
            <v>2005</v>
          </cell>
          <cell r="E761" t="str">
            <v>M</v>
          </cell>
          <cell r="F761">
            <v>5</v>
          </cell>
        </row>
        <row r="762">
          <cell r="A762" t="str">
            <v>095002005</v>
          </cell>
          <cell r="B762" t="str">
            <v>09</v>
          </cell>
          <cell r="C762">
            <v>500</v>
          </cell>
          <cell r="D762" t="str">
            <v>2005</v>
          </cell>
          <cell r="E762" t="str">
            <v>H</v>
          </cell>
          <cell r="F762">
            <v>2</v>
          </cell>
        </row>
        <row r="763">
          <cell r="A763" t="str">
            <v>095012005</v>
          </cell>
          <cell r="B763" t="str">
            <v>09</v>
          </cell>
          <cell r="C763">
            <v>501</v>
          </cell>
          <cell r="D763" t="str">
            <v>2005</v>
          </cell>
          <cell r="E763" t="str">
            <v>Q</v>
          </cell>
          <cell r="F763">
            <v>2</v>
          </cell>
        </row>
        <row r="764">
          <cell r="A764" t="str">
            <v>096002005</v>
          </cell>
          <cell r="B764" t="str">
            <v>09</v>
          </cell>
          <cell r="C764">
            <v>600</v>
          </cell>
          <cell r="D764" t="str">
            <v>2005</v>
          </cell>
          <cell r="E764" t="str">
            <v>M</v>
          </cell>
          <cell r="F764">
            <v>5</v>
          </cell>
        </row>
        <row r="765">
          <cell r="A765" t="str">
            <v>096012005</v>
          </cell>
          <cell r="B765" t="str">
            <v>09</v>
          </cell>
          <cell r="C765">
            <v>601</v>
          </cell>
          <cell r="D765" t="str">
            <v>2005</v>
          </cell>
          <cell r="E765" t="str">
            <v>Q</v>
          </cell>
          <cell r="F765">
            <v>5</v>
          </cell>
        </row>
        <row r="766">
          <cell r="A766" t="str">
            <v>096022005</v>
          </cell>
          <cell r="B766" t="str">
            <v>09</v>
          </cell>
          <cell r="C766">
            <v>602</v>
          </cell>
          <cell r="D766" t="str">
            <v>2005</v>
          </cell>
          <cell r="E766" t="str">
            <v>R</v>
          </cell>
          <cell r="F766">
            <v>6</v>
          </cell>
        </row>
        <row r="767">
          <cell r="A767" t="str">
            <v>096032005</v>
          </cell>
          <cell r="B767" t="str">
            <v>09</v>
          </cell>
          <cell r="C767">
            <v>603</v>
          </cell>
          <cell r="D767" t="str">
            <v>2005</v>
          </cell>
          <cell r="E767" t="str">
            <v>S</v>
          </cell>
          <cell r="F767">
            <v>6</v>
          </cell>
        </row>
        <row r="768">
          <cell r="A768" t="str">
            <v>992002006</v>
          </cell>
          <cell r="B768">
            <v>99</v>
          </cell>
          <cell r="C768">
            <v>200</v>
          </cell>
          <cell r="D768" t="str">
            <v>2006</v>
          </cell>
          <cell r="E768" t="str">
            <v>Q</v>
          </cell>
          <cell r="F768">
            <v>4</v>
          </cell>
        </row>
        <row r="769">
          <cell r="A769" t="str">
            <v>993002006</v>
          </cell>
          <cell r="B769">
            <v>99</v>
          </cell>
          <cell r="C769">
            <v>300</v>
          </cell>
          <cell r="D769" t="str">
            <v>2006</v>
          </cell>
          <cell r="E769" t="str">
            <v>Q</v>
          </cell>
          <cell r="F769">
            <v>4</v>
          </cell>
        </row>
        <row r="770">
          <cell r="A770" t="str">
            <v>994002006</v>
          </cell>
          <cell r="B770">
            <v>99</v>
          </cell>
          <cell r="C770">
            <v>400</v>
          </cell>
          <cell r="D770" t="str">
            <v>2006</v>
          </cell>
          <cell r="E770" t="str">
            <v>M</v>
          </cell>
          <cell r="F770">
            <v>5</v>
          </cell>
        </row>
        <row r="771">
          <cell r="A771" t="str">
            <v>995002006</v>
          </cell>
          <cell r="B771">
            <v>99</v>
          </cell>
          <cell r="C771">
            <v>500</v>
          </cell>
          <cell r="D771" t="str">
            <v>2006</v>
          </cell>
          <cell r="E771" t="str">
            <v>H</v>
          </cell>
          <cell r="F771">
            <v>2</v>
          </cell>
        </row>
        <row r="772">
          <cell r="A772" t="str">
            <v>995012006</v>
          </cell>
          <cell r="B772">
            <v>99</v>
          </cell>
          <cell r="C772">
            <v>501</v>
          </cell>
          <cell r="D772" t="str">
            <v>2006</v>
          </cell>
          <cell r="E772" t="str">
            <v>Q</v>
          </cell>
          <cell r="F772">
            <v>2</v>
          </cell>
        </row>
        <row r="773">
          <cell r="A773" t="str">
            <v>996002006</v>
          </cell>
          <cell r="B773">
            <v>99</v>
          </cell>
          <cell r="C773">
            <v>600</v>
          </cell>
          <cell r="D773" t="str">
            <v>2006</v>
          </cell>
          <cell r="E773" t="str">
            <v>M</v>
          </cell>
          <cell r="F773">
            <v>5</v>
          </cell>
        </row>
        <row r="774">
          <cell r="A774" t="str">
            <v>996012006</v>
          </cell>
          <cell r="B774">
            <v>99</v>
          </cell>
          <cell r="C774">
            <v>601</v>
          </cell>
          <cell r="D774" t="str">
            <v>2006</v>
          </cell>
          <cell r="E774" t="str">
            <v>Q</v>
          </cell>
          <cell r="F774">
            <v>5</v>
          </cell>
        </row>
        <row r="775">
          <cell r="A775" t="str">
            <v>996022006</v>
          </cell>
          <cell r="B775">
            <v>99</v>
          </cell>
          <cell r="C775">
            <v>602</v>
          </cell>
          <cell r="D775" t="str">
            <v>2006</v>
          </cell>
          <cell r="E775" t="str">
            <v>R</v>
          </cell>
          <cell r="F775">
            <v>6</v>
          </cell>
        </row>
        <row r="776">
          <cell r="A776" t="str">
            <v>996032006</v>
          </cell>
          <cell r="B776">
            <v>99</v>
          </cell>
          <cell r="C776">
            <v>603</v>
          </cell>
          <cell r="D776" t="str">
            <v>2006</v>
          </cell>
          <cell r="E776" t="str">
            <v>S</v>
          </cell>
          <cell r="F776">
            <v>6</v>
          </cell>
        </row>
        <row r="777">
          <cell r="A777" t="str">
            <v>092002006</v>
          </cell>
          <cell r="B777" t="str">
            <v>09</v>
          </cell>
          <cell r="C777">
            <v>200</v>
          </cell>
          <cell r="D777" t="str">
            <v>2006</v>
          </cell>
          <cell r="E777" t="str">
            <v>Q</v>
          </cell>
          <cell r="F777">
            <v>4</v>
          </cell>
        </row>
        <row r="778">
          <cell r="A778" t="str">
            <v>093002006</v>
          </cell>
          <cell r="B778" t="str">
            <v>09</v>
          </cell>
          <cell r="C778">
            <v>300</v>
          </cell>
          <cell r="D778" t="str">
            <v>2006</v>
          </cell>
          <cell r="E778" t="str">
            <v>Q</v>
          </cell>
          <cell r="F778">
            <v>4</v>
          </cell>
        </row>
        <row r="779">
          <cell r="A779" t="str">
            <v>094002006</v>
          </cell>
          <cell r="B779" t="str">
            <v>09</v>
          </cell>
          <cell r="C779">
            <v>400</v>
          </cell>
          <cell r="D779" t="str">
            <v>2006</v>
          </cell>
          <cell r="E779" t="str">
            <v>M</v>
          </cell>
          <cell r="F779">
            <v>5</v>
          </cell>
        </row>
        <row r="780">
          <cell r="A780" t="str">
            <v>095002006</v>
          </cell>
          <cell r="B780" t="str">
            <v>09</v>
          </cell>
          <cell r="C780">
            <v>500</v>
          </cell>
          <cell r="D780" t="str">
            <v>2006</v>
          </cell>
          <cell r="E780" t="str">
            <v>K</v>
          </cell>
          <cell r="F780">
            <v>2</v>
          </cell>
        </row>
        <row r="781">
          <cell r="A781" t="str">
            <v>095012006</v>
          </cell>
          <cell r="B781" t="str">
            <v>09</v>
          </cell>
          <cell r="C781">
            <v>501</v>
          </cell>
          <cell r="D781" t="str">
            <v>2006</v>
          </cell>
          <cell r="E781" t="str">
            <v>Q</v>
          </cell>
          <cell r="F781">
            <v>2</v>
          </cell>
        </row>
        <row r="782">
          <cell r="A782" t="str">
            <v>096002006</v>
          </cell>
          <cell r="B782" t="str">
            <v>09</v>
          </cell>
          <cell r="C782">
            <v>600</v>
          </cell>
          <cell r="D782" t="str">
            <v>2006</v>
          </cell>
          <cell r="E782" t="str">
            <v>M</v>
          </cell>
          <cell r="F782">
            <v>5</v>
          </cell>
        </row>
        <row r="783">
          <cell r="A783" t="str">
            <v>096012006</v>
          </cell>
          <cell r="B783" t="str">
            <v>09</v>
          </cell>
          <cell r="C783">
            <v>601</v>
          </cell>
          <cell r="D783" t="str">
            <v>2006</v>
          </cell>
          <cell r="E783" t="str">
            <v>Q</v>
          </cell>
          <cell r="F783">
            <v>5</v>
          </cell>
        </row>
        <row r="784">
          <cell r="A784" t="str">
            <v>096022006</v>
          </cell>
          <cell r="B784" t="str">
            <v>09</v>
          </cell>
          <cell r="C784">
            <v>602</v>
          </cell>
          <cell r="D784" t="str">
            <v>2006</v>
          </cell>
          <cell r="E784" t="str">
            <v>R</v>
          </cell>
          <cell r="F784">
            <v>6</v>
          </cell>
        </row>
        <row r="785">
          <cell r="A785" t="str">
            <v>096032006</v>
          </cell>
          <cell r="B785" t="str">
            <v>09</v>
          </cell>
          <cell r="C785">
            <v>603</v>
          </cell>
          <cell r="D785" t="str">
            <v>2006</v>
          </cell>
          <cell r="E785" t="str">
            <v>S</v>
          </cell>
          <cell r="F785">
            <v>6</v>
          </cell>
        </row>
        <row r="786">
          <cell r="A786" t="str">
            <v>992002007</v>
          </cell>
          <cell r="B786">
            <v>99</v>
          </cell>
          <cell r="C786">
            <v>200</v>
          </cell>
          <cell r="D786" t="str">
            <v>2007</v>
          </cell>
          <cell r="E786" t="str">
            <v>Q</v>
          </cell>
          <cell r="F786">
            <v>4</v>
          </cell>
        </row>
        <row r="787">
          <cell r="A787" t="str">
            <v>993002007</v>
          </cell>
          <cell r="B787">
            <v>99</v>
          </cell>
          <cell r="C787">
            <v>300</v>
          </cell>
          <cell r="D787" t="str">
            <v>2007</v>
          </cell>
          <cell r="E787" t="str">
            <v>Q</v>
          </cell>
          <cell r="F787">
            <v>4</v>
          </cell>
        </row>
        <row r="788">
          <cell r="A788" t="str">
            <v>994002007</v>
          </cell>
          <cell r="B788">
            <v>99</v>
          </cell>
          <cell r="C788">
            <v>400</v>
          </cell>
          <cell r="D788" t="str">
            <v>2007</v>
          </cell>
          <cell r="E788" t="str">
            <v>M</v>
          </cell>
          <cell r="F788">
            <v>5</v>
          </cell>
        </row>
        <row r="789">
          <cell r="A789" t="str">
            <v>995002007</v>
          </cell>
          <cell r="B789">
            <v>99</v>
          </cell>
          <cell r="C789">
            <v>500</v>
          </cell>
          <cell r="D789" t="str">
            <v>2007</v>
          </cell>
          <cell r="E789" t="str">
            <v>H</v>
          </cell>
          <cell r="F789">
            <v>2</v>
          </cell>
        </row>
        <row r="790">
          <cell r="A790" t="str">
            <v>995012007</v>
          </cell>
          <cell r="B790">
            <v>99</v>
          </cell>
          <cell r="C790">
            <v>501</v>
          </cell>
          <cell r="D790" t="str">
            <v>2007</v>
          </cell>
          <cell r="E790" t="str">
            <v>Q</v>
          </cell>
          <cell r="F790">
            <v>2</v>
          </cell>
        </row>
        <row r="791">
          <cell r="A791" t="str">
            <v>996002007</v>
          </cell>
          <cell r="B791">
            <v>99</v>
          </cell>
          <cell r="C791">
            <v>600</v>
          </cell>
          <cell r="D791" t="str">
            <v>2007</v>
          </cell>
          <cell r="E791" t="str">
            <v>M</v>
          </cell>
          <cell r="F791">
            <v>5</v>
          </cell>
        </row>
        <row r="792">
          <cell r="A792" t="str">
            <v>996012007</v>
          </cell>
          <cell r="B792">
            <v>99</v>
          </cell>
          <cell r="C792">
            <v>601</v>
          </cell>
          <cell r="D792" t="str">
            <v>2007</v>
          </cell>
          <cell r="E792" t="str">
            <v>Q</v>
          </cell>
          <cell r="F792">
            <v>5</v>
          </cell>
        </row>
        <row r="793">
          <cell r="A793" t="str">
            <v>996022007</v>
          </cell>
          <cell r="B793">
            <v>99</v>
          </cell>
          <cell r="C793">
            <v>602</v>
          </cell>
          <cell r="D793" t="str">
            <v>2007</v>
          </cell>
          <cell r="E793" t="str">
            <v>R</v>
          </cell>
          <cell r="F793">
            <v>6</v>
          </cell>
        </row>
        <row r="794">
          <cell r="A794" t="str">
            <v>996032007</v>
          </cell>
          <cell r="B794">
            <v>99</v>
          </cell>
          <cell r="C794">
            <v>603</v>
          </cell>
          <cell r="D794" t="str">
            <v>2007</v>
          </cell>
          <cell r="E794" t="str">
            <v>S</v>
          </cell>
          <cell r="F794">
            <v>6</v>
          </cell>
        </row>
        <row r="795">
          <cell r="A795" t="str">
            <v>092002007</v>
          </cell>
          <cell r="B795" t="str">
            <v>09</v>
          </cell>
          <cell r="C795">
            <v>200</v>
          </cell>
          <cell r="D795" t="str">
            <v>2007</v>
          </cell>
          <cell r="E795" t="str">
            <v>Q</v>
          </cell>
          <cell r="F795">
            <v>4</v>
          </cell>
        </row>
        <row r="796">
          <cell r="A796" t="str">
            <v>093002007</v>
          </cell>
          <cell r="B796" t="str">
            <v>09</v>
          </cell>
          <cell r="C796">
            <v>300</v>
          </cell>
          <cell r="D796" t="str">
            <v>2007</v>
          </cell>
          <cell r="E796" t="str">
            <v>Q</v>
          </cell>
          <cell r="F796">
            <v>4</v>
          </cell>
        </row>
        <row r="797">
          <cell r="A797" t="str">
            <v>094002007</v>
          </cell>
          <cell r="B797" t="str">
            <v>09</v>
          </cell>
          <cell r="C797">
            <v>400</v>
          </cell>
          <cell r="D797" t="str">
            <v>2007</v>
          </cell>
          <cell r="E797" t="str">
            <v>M</v>
          </cell>
          <cell r="F797">
            <v>5</v>
          </cell>
        </row>
        <row r="798">
          <cell r="A798" t="str">
            <v>095002007</v>
          </cell>
          <cell r="B798" t="str">
            <v>09</v>
          </cell>
          <cell r="C798">
            <v>500</v>
          </cell>
          <cell r="D798" t="str">
            <v>2007</v>
          </cell>
          <cell r="E798" t="str">
            <v>H</v>
          </cell>
          <cell r="F798">
            <v>2</v>
          </cell>
        </row>
        <row r="799">
          <cell r="A799" t="str">
            <v>095012007</v>
          </cell>
          <cell r="B799" t="str">
            <v>09</v>
          </cell>
          <cell r="C799">
            <v>501</v>
          </cell>
          <cell r="D799" t="str">
            <v>2007</v>
          </cell>
          <cell r="E799" t="str">
            <v>Q</v>
          </cell>
          <cell r="F799">
            <v>2</v>
          </cell>
        </row>
        <row r="800">
          <cell r="A800" t="str">
            <v>096002007</v>
          </cell>
          <cell r="B800" t="str">
            <v>09</v>
          </cell>
          <cell r="C800">
            <v>600</v>
          </cell>
          <cell r="D800" t="str">
            <v>2007</v>
          </cell>
          <cell r="E800" t="str">
            <v>M</v>
          </cell>
          <cell r="F800">
            <v>5</v>
          </cell>
        </row>
        <row r="801">
          <cell r="A801" t="str">
            <v>096012007</v>
          </cell>
          <cell r="B801" t="str">
            <v>09</v>
          </cell>
          <cell r="C801">
            <v>601</v>
          </cell>
          <cell r="D801" t="str">
            <v>2007</v>
          </cell>
          <cell r="E801" t="str">
            <v>Q</v>
          </cell>
          <cell r="F801">
            <v>5</v>
          </cell>
        </row>
        <row r="802">
          <cell r="A802" t="str">
            <v>096022007</v>
          </cell>
          <cell r="B802" t="str">
            <v>09</v>
          </cell>
          <cell r="C802">
            <v>602</v>
          </cell>
          <cell r="D802" t="str">
            <v>2007</v>
          </cell>
          <cell r="E802" t="str">
            <v>R</v>
          </cell>
          <cell r="F802">
            <v>6</v>
          </cell>
        </row>
        <row r="803">
          <cell r="A803" t="str">
            <v>096032007</v>
          </cell>
          <cell r="B803" t="str">
            <v>09</v>
          </cell>
          <cell r="C803">
            <v>603</v>
          </cell>
          <cell r="D803" t="str">
            <v>2007</v>
          </cell>
          <cell r="E803" t="str">
            <v>S</v>
          </cell>
          <cell r="F803">
            <v>6</v>
          </cell>
        </row>
        <row r="804">
          <cell r="A804" t="str">
            <v>992002008</v>
          </cell>
          <cell r="B804">
            <v>99</v>
          </cell>
          <cell r="C804">
            <v>200</v>
          </cell>
          <cell r="D804" t="str">
            <v>2008</v>
          </cell>
          <cell r="E804" t="str">
            <v>Q</v>
          </cell>
          <cell r="F804">
            <v>4</v>
          </cell>
        </row>
        <row r="805">
          <cell r="A805" t="str">
            <v>993002008</v>
          </cell>
          <cell r="B805">
            <v>99</v>
          </cell>
          <cell r="C805">
            <v>300</v>
          </cell>
          <cell r="D805" t="str">
            <v>2008</v>
          </cell>
          <cell r="E805" t="str">
            <v>Q</v>
          </cell>
          <cell r="F805">
            <v>4</v>
          </cell>
        </row>
        <row r="806">
          <cell r="A806" t="str">
            <v>994002008</v>
          </cell>
          <cell r="B806">
            <v>99</v>
          </cell>
          <cell r="C806">
            <v>400</v>
          </cell>
          <cell r="D806" t="str">
            <v>2008</v>
          </cell>
          <cell r="E806" t="str">
            <v>M</v>
          </cell>
          <cell r="F806">
            <v>5</v>
          </cell>
        </row>
        <row r="807">
          <cell r="A807" t="str">
            <v>995002008</v>
          </cell>
          <cell r="B807">
            <v>99</v>
          </cell>
          <cell r="C807">
            <v>500</v>
          </cell>
          <cell r="D807" t="str">
            <v>2008</v>
          </cell>
          <cell r="E807" t="str">
            <v>H</v>
          </cell>
          <cell r="F807">
            <v>2</v>
          </cell>
        </row>
        <row r="808">
          <cell r="A808" t="str">
            <v>995012008</v>
          </cell>
          <cell r="B808">
            <v>99</v>
          </cell>
          <cell r="C808">
            <v>501</v>
          </cell>
          <cell r="D808" t="str">
            <v>2008</v>
          </cell>
          <cell r="E808" t="str">
            <v>Q</v>
          </cell>
          <cell r="F808">
            <v>2</v>
          </cell>
        </row>
        <row r="809">
          <cell r="A809" t="str">
            <v>996002008</v>
          </cell>
          <cell r="B809">
            <v>99</v>
          </cell>
          <cell r="C809">
            <v>600</v>
          </cell>
          <cell r="D809" t="str">
            <v>2008</v>
          </cell>
          <cell r="E809" t="str">
            <v>M</v>
          </cell>
          <cell r="F809">
            <v>5</v>
          </cell>
        </row>
        <row r="810">
          <cell r="A810" t="str">
            <v>996012008</v>
          </cell>
          <cell r="B810">
            <v>99</v>
          </cell>
          <cell r="C810">
            <v>601</v>
          </cell>
          <cell r="D810" t="str">
            <v>2008</v>
          </cell>
          <cell r="E810" t="str">
            <v>Q</v>
          </cell>
          <cell r="F810">
            <v>5</v>
          </cell>
        </row>
        <row r="811">
          <cell r="A811" t="str">
            <v>996022008</v>
          </cell>
          <cell r="B811">
            <v>99</v>
          </cell>
          <cell r="C811">
            <v>602</v>
          </cell>
          <cell r="D811" t="str">
            <v>2008</v>
          </cell>
          <cell r="E811" t="str">
            <v>R</v>
          </cell>
          <cell r="F811">
            <v>6</v>
          </cell>
        </row>
        <row r="812">
          <cell r="A812" t="str">
            <v>996032008</v>
          </cell>
          <cell r="B812">
            <v>99</v>
          </cell>
          <cell r="C812">
            <v>603</v>
          </cell>
          <cell r="D812" t="str">
            <v>2008</v>
          </cell>
          <cell r="E812" t="str">
            <v>S</v>
          </cell>
          <cell r="F812">
            <v>6</v>
          </cell>
        </row>
        <row r="813">
          <cell r="A813" t="str">
            <v>092002008</v>
          </cell>
          <cell r="B813" t="str">
            <v>09</v>
          </cell>
          <cell r="C813">
            <v>200</v>
          </cell>
          <cell r="D813" t="str">
            <v>2008</v>
          </cell>
          <cell r="E813" t="str">
            <v>Q</v>
          </cell>
          <cell r="F813">
            <v>4</v>
          </cell>
        </row>
        <row r="814">
          <cell r="A814" t="str">
            <v>093002008</v>
          </cell>
          <cell r="B814" t="str">
            <v>09</v>
          </cell>
          <cell r="C814">
            <v>300</v>
          </cell>
          <cell r="D814" t="str">
            <v>2008</v>
          </cell>
          <cell r="E814" t="str">
            <v>Q</v>
          </cell>
          <cell r="F814">
            <v>4</v>
          </cell>
        </row>
        <row r="815">
          <cell r="A815" t="str">
            <v>094002008</v>
          </cell>
          <cell r="B815" t="str">
            <v>09</v>
          </cell>
          <cell r="C815">
            <v>400</v>
          </cell>
          <cell r="D815" t="str">
            <v>2008</v>
          </cell>
          <cell r="E815" t="str">
            <v>M</v>
          </cell>
          <cell r="F815">
            <v>5</v>
          </cell>
        </row>
        <row r="816">
          <cell r="A816" t="str">
            <v>095002008</v>
          </cell>
          <cell r="B816" t="str">
            <v>09</v>
          </cell>
          <cell r="C816">
            <v>500</v>
          </cell>
          <cell r="D816" t="str">
            <v>2008</v>
          </cell>
          <cell r="E816" t="str">
            <v>H</v>
          </cell>
          <cell r="F816">
            <v>2</v>
          </cell>
        </row>
        <row r="817">
          <cell r="A817" t="str">
            <v>095012008</v>
          </cell>
          <cell r="B817" t="str">
            <v>09</v>
          </cell>
          <cell r="C817">
            <v>501</v>
          </cell>
          <cell r="D817" t="str">
            <v>2008</v>
          </cell>
          <cell r="E817" t="str">
            <v>Q</v>
          </cell>
          <cell r="F817">
            <v>2</v>
          </cell>
        </row>
        <row r="818">
          <cell r="A818" t="str">
            <v>096002008</v>
          </cell>
          <cell r="B818" t="str">
            <v>09</v>
          </cell>
          <cell r="C818">
            <v>600</v>
          </cell>
          <cell r="D818" t="str">
            <v>2008</v>
          </cell>
          <cell r="E818" t="str">
            <v>M</v>
          </cell>
          <cell r="F818">
            <v>5</v>
          </cell>
        </row>
        <row r="819">
          <cell r="A819" t="str">
            <v>096012008</v>
          </cell>
          <cell r="B819" t="str">
            <v>09</v>
          </cell>
          <cell r="C819">
            <v>601</v>
          </cell>
          <cell r="D819" t="str">
            <v>2008</v>
          </cell>
          <cell r="E819" t="str">
            <v>Q</v>
          </cell>
          <cell r="F819">
            <v>5</v>
          </cell>
        </row>
        <row r="820">
          <cell r="A820" t="str">
            <v>096022008</v>
          </cell>
          <cell r="B820" t="str">
            <v>09</v>
          </cell>
          <cell r="C820">
            <v>602</v>
          </cell>
          <cell r="D820" t="str">
            <v>2008</v>
          </cell>
          <cell r="E820" t="str">
            <v>R</v>
          </cell>
          <cell r="F820">
            <v>6</v>
          </cell>
        </row>
        <row r="821">
          <cell r="A821" t="str">
            <v>096032008</v>
          </cell>
          <cell r="B821" t="str">
            <v>09</v>
          </cell>
          <cell r="C821">
            <v>603</v>
          </cell>
          <cell r="D821" t="str">
            <v>2008</v>
          </cell>
          <cell r="E821" t="str">
            <v>S</v>
          </cell>
          <cell r="F821">
            <v>6</v>
          </cell>
        </row>
        <row r="822">
          <cell r="A822" t="str">
            <v>992002024</v>
          </cell>
          <cell r="B822">
            <v>99</v>
          </cell>
          <cell r="C822">
            <v>200</v>
          </cell>
          <cell r="D822" t="str">
            <v>2024</v>
          </cell>
          <cell r="E822" t="str">
            <v>Q</v>
          </cell>
          <cell r="F822">
            <v>4</v>
          </cell>
        </row>
        <row r="823">
          <cell r="A823" t="str">
            <v>993002024</v>
          </cell>
          <cell r="B823">
            <v>99</v>
          </cell>
          <cell r="C823">
            <v>300</v>
          </cell>
          <cell r="D823" t="str">
            <v>2024</v>
          </cell>
          <cell r="E823" t="str">
            <v>Q</v>
          </cell>
          <cell r="F823">
            <v>4</v>
          </cell>
        </row>
        <row r="824">
          <cell r="A824" t="str">
            <v>994002024</v>
          </cell>
          <cell r="B824">
            <v>99</v>
          </cell>
          <cell r="C824">
            <v>400</v>
          </cell>
          <cell r="D824" t="str">
            <v>2024</v>
          </cell>
          <cell r="E824" t="str">
            <v>N</v>
          </cell>
          <cell r="F824">
            <v>5</v>
          </cell>
        </row>
        <row r="825">
          <cell r="A825" t="str">
            <v>995002024</v>
          </cell>
          <cell r="B825">
            <v>99</v>
          </cell>
          <cell r="C825">
            <v>500</v>
          </cell>
          <cell r="D825" t="str">
            <v>2024</v>
          </cell>
          <cell r="E825" t="str">
            <v>K</v>
          </cell>
          <cell r="F825">
            <v>3</v>
          </cell>
        </row>
        <row r="826">
          <cell r="A826" t="str">
            <v>995012024</v>
          </cell>
          <cell r="B826">
            <v>99</v>
          </cell>
          <cell r="C826">
            <v>501</v>
          </cell>
          <cell r="D826" t="str">
            <v>2024</v>
          </cell>
          <cell r="E826" t="str">
            <v>Q</v>
          </cell>
          <cell r="F826">
            <v>3</v>
          </cell>
        </row>
        <row r="827">
          <cell r="A827" t="str">
            <v>996002024</v>
          </cell>
          <cell r="B827">
            <v>99</v>
          </cell>
          <cell r="C827">
            <v>600</v>
          </cell>
          <cell r="D827" t="str">
            <v>2024</v>
          </cell>
          <cell r="E827" t="str">
            <v>N</v>
          </cell>
          <cell r="F827">
            <v>5</v>
          </cell>
        </row>
        <row r="828">
          <cell r="A828" t="str">
            <v>996012024</v>
          </cell>
          <cell r="B828">
            <v>99</v>
          </cell>
          <cell r="C828">
            <v>601</v>
          </cell>
          <cell r="D828" t="str">
            <v>2024</v>
          </cell>
          <cell r="E828" t="str">
            <v>Q</v>
          </cell>
          <cell r="F828">
            <v>5</v>
          </cell>
        </row>
        <row r="829">
          <cell r="A829" t="str">
            <v>996022024</v>
          </cell>
          <cell r="B829">
            <v>99</v>
          </cell>
          <cell r="C829">
            <v>602</v>
          </cell>
          <cell r="D829" t="str">
            <v>2024</v>
          </cell>
          <cell r="E829" t="str">
            <v>R</v>
          </cell>
          <cell r="F829">
            <v>6</v>
          </cell>
        </row>
        <row r="830">
          <cell r="A830" t="str">
            <v>996032024</v>
          </cell>
          <cell r="B830">
            <v>99</v>
          </cell>
          <cell r="C830">
            <v>603</v>
          </cell>
          <cell r="D830" t="str">
            <v>2024</v>
          </cell>
          <cell r="E830" t="str">
            <v>S</v>
          </cell>
          <cell r="F830">
            <v>6</v>
          </cell>
        </row>
        <row r="831">
          <cell r="A831" t="str">
            <v>092002024</v>
          </cell>
          <cell r="B831" t="str">
            <v>09</v>
          </cell>
          <cell r="C831">
            <v>200</v>
          </cell>
          <cell r="D831" t="str">
            <v>2024</v>
          </cell>
          <cell r="E831" t="str">
            <v>Q</v>
          </cell>
          <cell r="F831">
            <v>4</v>
          </cell>
        </row>
        <row r="832">
          <cell r="A832" t="str">
            <v>093002024</v>
          </cell>
          <cell r="B832" t="str">
            <v>09</v>
          </cell>
          <cell r="C832">
            <v>300</v>
          </cell>
          <cell r="D832" t="str">
            <v>2024</v>
          </cell>
          <cell r="E832" t="str">
            <v>Q</v>
          </cell>
          <cell r="F832">
            <v>4</v>
          </cell>
        </row>
        <row r="833">
          <cell r="A833" t="str">
            <v>094002024</v>
          </cell>
          <cell r="B833" t="str">
            <v>09</v>
          </cell>
          <cell r="C833">
            <v>400</v>
          </cell>
          <cell r="D833" t="str">
            <v>2024</v>
          </cell>
          <cell r="E833" t="str">
            <v>N</v>
          </cell>
          <cell r="F833">
            <v>5</v>
          </cell>
        </row>
        <row r="834">
          <cell r="A834" t="str">
            <v>095002024</v>
          </cell>
          <cell r="B834" t="str">
            <v>09</v>
          </cell>
          <cell r="C834">
            <v>500</v>
          </cell>
          <cell r="D834" t="str">
            <v>2024</v>
          </cell>
          <cell r="E834" t="str">
            <v>K</v>
          </cell>
          <cell r="F834">
            <v>3</v>
          </cell>
        </row>
        <row r="835">
          <cell r="A835" t="str">
            <v>095012024</v>
          </cell>
          <cell r="B835" t="str">
            <v>09</v>
          </cell>
          <cell r="C835">
            <v>501</v>
          </cell>
          <cell r="D835" t="str">
            <v>2024</v>
          </cell>
          <cell r="E835" t="str">
            <v>Q</v>
          </cell>
          <cell r="F835">
            <v>3</v>
          </cell>
        </row>
        <row r="836">
          <cell r="A836" t="str">
            <v>096002024</v>
          </cell>
          <cell r="B836" t="str">
            <v>09</v>
          </cell>
          <cell r="C836">
            <v>600</v>
          </cell>
          <cell r="D836" t="str">
            <v>2024</v>
          </cell>
          <cell r="E836" t="str">
            <v>N</v>
          </cell>
          <cell r="F836">
            <v>5</v>
          </cell>
        </row>
        <row r="837">
          <cell r="A837" t="str">
            <v>096012024</v>
          </cell>
          <cell r="B837" t="str">
            <v>09</v>
          </cell>
          <cell r="C837">
            <v>601</v>
          </cell>
          <cell r="D837" t="str">
            <v>2024</v>
          </cell>
          <cell r="E837" t="str">
            <v>Q</v>
          </cell>
          <cell r="F837">
            <v>5</v>
          </cell>
        </row>
        <row r="838">
          <cell r="A838" t="str">
            <v>096022024</v>
          </cell>
          <cell r="B838" t="str">
            <v>09</v>
          </cell>
          <cell r="C838">
            <v>602</v>
          </cell>
          <cell r="D838" t="str">
            <v>2024</v>
          </cell>
          <cell r="E838" t="str">
            <v>R</v>
          </cell>
          <cell r="F838">
            <v>6</v>
          </cell>
        </row>
        <row r="839">
          <cell r="A839" t="str">
            <v>096032024</v>
          </cell>
          <cell r="B839" t="str">
            <v>09</v>
          </cell>
          <cell r="C839">
            <v>603</v>
          </cell>
          <cell r="D839" t="str">
            <v>2024</v>
          </cell>
          <cell r="E839" t="str">
            <v>S</v>
          </cell>
          <cell r="F839">
            <v>6</v>
          </cell>
        </row>
        <row r="840">
          <cell r="A840" t="str">
            <v>992002025</v>
          </cell>
          <cell r="B840">
            <v>99</v>
          </cell>
          <cell r="C840">
            <v>200</v>
          </cell>
          <cell r="D840" t="str">
            <v>2025</v>
          </cell>
          <cell r="E840" t="str">
            <v>Q</v>
          </cell>
          <cell r="F840">
            <v>4</v>
          </cell>
        </row>
        <row r="841">
          <cell r="A841" t="str">
            <v>993002025</v>
          </cell>
          <cell r="B841">
            <v>99</v>
          </cell>
          <cell r="C841">
            <v>300</v>
          </cell>
          <cell r="D841" t="str">
            <v>2025</v>
          </cell>
          <cell r="E841" t="str">
            <v>Q</v>
          </cell>
          <cell r="F841">
            <v>4</v>
          </cell>
        </row>
        <row r="842">
          <cell r="A842" t="str">
            <v>994002025</v>
          </cell>
          <cell r="B842">
            <v>99</v>
          </cell>
          <cell r="C842">
            <v>400</v>
          </cell>
          <cell r="D842" t="str">
            <v>2025</v>
          </cell>
          <cell r="E842" t="str">
            <v>N</v>
          </cell>
          <cell r="F842">
            <v>5</v>
          </cell>
        </row>
        <row r="843">
          <cell r="A843" t="str">
            <v>995002025</v>
          </cell>
          <cell r="B843">
            <v>99</v>
          </cell>
          <cell r="C843">
            <v>500</v>
          </cell>
          <cell r="D843" t="str">
            <v>2025</v>
          </cell>
          <cell r="E843" t="str">
            <v>K</v>
          </cell>
          <cell r="F843">
            <v>3</v>
          </cell>
        </row>
        <row r="844">
          <cell r="A844" t="str">
            <v>995012025</v>
          </cell>
          <cell r="B844">
            <v>99</v>
          </cell>
          <cell r="C844">
            <v>501</v>
          </cell>
          <cell r="D844" t="str">
            <v>2025</v>
          </cell>
          <cell r="E844" t="str">
            <v>Q</v>
          </cell>
          <cell r="F844">
            <v>3</v>
          </cell>
        </row>
        <row r="845">
          <cell r="A845" t="str">
            <v>996002025</v>
          </cell>
          <cell r="B845">
            <v>99</v>
          </cell>
          <cell r="C845">
            <v>600</v>
          </cell>
          <cell r="D845" t="str">
            <v>2025</v>
          </cell>
          <cell r="E845" t="str">
            <v>N</v>
          </cell>
          <cell r="F845">
            <v>5</v>
          </cell>
        </row>
        <row r="846">
          <cell r="A846" t="str">
            <v>996012025</v>
          </cell>
          <cell r="B846">
            <v>99</v>
          </cell>
          <cell r="C846">
            <v>601</v>
          </cell>
          <cell r="D846" t="str">
            <v>2025</v>
          </cell>
          <cell r="E846" t="str">
            <v>Q</v>
          </cell>
          <cell r="F846">
            <v>5</v>
          </cell>
        </row>
        <row r="847">
          <cell r="A847" t="str">
            <v>996022025</v>
          </cell>
          <cell r="B847">
            <v>99</v>
          </cell>
          <cell r="C847">
            <v>602</v>
          </cell>
          <cell r="D847" t="str">
            <v>2025</v>
          </cell>
          <cell r="E847" t="str">
            <v>R</v>
          </cell>
          <cell r="F847">
            <v>6</v>
          </cell>
        </row>
        <row r="848">
          <cell r="A848" t="str">
            <v>996032025</v>
          </cell>
          <cell r="B848">
            <v>99</v>
          </cell>
          <cell r="C848">
            <v>603</v>
          </cell>
          <cell r="D848" t="str">
            <v>2025</v>
          </cell>
          <cell r="E848" t="str">
            <v>S</v>
          </cell>
          <cell r="F848">
            <v>6</v>
          </cell>
        </row>
        <row r="849">
          <cell r="A849" t="str">
            <v>092002025</v>
          </cell>
          <cell r="B849" t="str">
            <v>09</v>
          </cell>
          <cell r="C849">
            <v>200</v>
          </cell>
          <cell r="D849" t="str">
            <v>2025</v>
          </cell>
          <cell r="E849" t="str">
            <v>Q</v>
          </cell>
          <cell r="F849">
            <v>4</v>
          </cell>
        </row>
        <row r="850">
          <cell r="A850" t="str">
            <v>093002025</v>
          </cell>
          <cell r="B850" t="str">
            <v>09</v>
          </cell>
          <cell r="C850">
            <v>300</v>
          </cell>
          <cell r="D850" t="str">
            <v>2025</v>
          </cell>
          <cell r="E850" t="str">
            <v>Q</v>
          </cell>
          <cell r="F850">
            <v>4</v>
          </cell>
        </row>
        <row r="851">
          <cell r="A851" t="str">
            <v>094002025</v>
          </cell>
          <cell r="B851" t="str">
            <v>09</v>
          </cell>
          <cell r="C851">
            <v>400</v>
          </cell>
          <cell r="D851" t="str">
            <v>2025</v>
          </cell>
          <cell r="E851" t="str">
            <v>N</v>
          </cell>
          <cell r="F851">
            <v>5</v>
          </cell>
        </row>
        <row r="852">
          <cell r="A852" t="str">
            <v>095002025</v>
          </cell>
          <cell r="B852" t="str">
            <v>09</v>
          </cell>
          <cell r="C852">
            <v>500</v>
          </cell>
          <cell r="D852" t="str">
            <v>2025</v>
          </cell>
          <cell r="E852" t="str">
            <v>K</v>
          </cell>
          <cell r="F852">
            <v>3</v>
          </cell>
        </row>
        <row r="853">
          <cell r="A853" t="str">
            <v>095012025</v>
          </cell>
          <cell r="B853" t="str">
            <v>09</v>
          </cell>
          <cell r="C853">
            <v>501</v>
          </cell>
          <cell r="D853" t="str">
            <v>2025</v>
          </cell>
          <cell r="E853" t="str">
            <v>Q</v>
          </cell>
          <cell r="F853">
            <v>3</v>
          </cell>
        </row>
        <row r="854">
          <cell r="A854" t="str">
            <v>096002025</v>
          </cell>
          <cell r="B854" t="str">
            <v>09</v>
          </cell>
          <cell r="C854">
            <v>600</v>
          </cell>
          <cell r="D854" t="str">
            <v>2025</v>
          </cell>
          <cell r="E854" t="str">
            <v>N</v>
          </cell>
          <cell r="F854">
            <v>5</v>
          </cell>
        </row>
        <row r="855">
          <cell r="A855" t="str">
            <v>096012025</v>
          </cell>
          <cell r="B855" t="str">
            <v>09</v>
          </cell>
          <cell r="C855">
            <v>601</v>
          </cell>
          <cell r="D855" t="str">
            <v>2025</v>
          </cell>
          <cell r="E855" t="str">
            <v>Q</v>
          </cell>
          <cell r="F855">
            <v>5</v>
          </cell>
        </row>
        <row r="856">
          <cell r="A856" t="str">
            <v>096022025</v>
          </cell>
          <cell r="B856" t="str">
            <v>09</v>
          </cell>
          <cell r="C856">
            <v>602</v>
          </cell>
          <cell r="D856" t="str">
            <v>2025</v>
          </cell>
          <cell r="E856" t="str">
            <v>R</v>
          </cell>
          <cell r="F856">
            <v>6</v>
          </cell>
        </row>
        <row r="857">
          <cell r="A857" t="str">
            <v>096032025</v>
          </cell>
          <cell r="B857" t="str">
            <v>09</v>
          </cell>
          <cell r="C857">
            <v>603</v>
          </cell>
          <cell r="D857" t="str">
            <v>2025</v>
          </cell>
          <cell r="E857" t="str">
            <v>S</v>
          </cell>
          <cell r="F857">
            <v>6</v>
          </cell>
        </row>
        <row r="858">
          <cell r="A858" t="str">
            <v>992002026</v>
          </cell>
          <cell r="B858">
            <v>99</v>
          </cell>
          <cell r="C858">
            <v>200</v>
          </cell>
          <cell r="D858" t="str">
            <v>2026</v>
          </cell>
          <cell r="E858" t="str">
            <v>Q</v>
          </cell>
          <cell r="F858">
            <v>4</v>
          </cell>
        </row>
        <row r="859">
          <cell r="A859" t="str">
            <v>993002026</v>
          </cell>
          <cell r="B859">
            <v>99</v>
          </cell>
          <cell r="C859">
            <v>300</v>
          </cell>
          <cell r="D859" t="str">
            <v>2026</v>
          </cell>
          <cell r="E859" t="str">
            <v>Q</v>
          </cell>
          <cell r="F859">
            <v>4</v>
          </cell>
        </row>
        <row r="860">
          <cell r="A860" t="str">
            <v>994002026</v>
          </cell>
          <cell r="B860">
            <v>99</v>
          </cell>
          <cell r="C860">
            <v>400</v>
          </cell>
          <cell r="D860" t="str">
            <v>2026</v>
          </cell>
          <cell r="E860" t="str">
            <v>N</v>
          </cell>
          <cell r="F860">
            <v>5</v>
          </cell>
        </row>
        <row r="861">
          <cell r="A861" t="str">
            <v>995002026</v>
          </cell>
          <cell r="B861">
            <v>99</v>
          </cell>
          <cell r="C861">
            <v>500</v>
          </cell>
          <cell r="D861" t="str">
            <v>2026</v>
          </cell>
          <cell r="E861" t="str">
            <v>K</v>
          </cell>
          <cell r="F861">
            <v>3</v>
          </cell>
        </row>
        <row r="862">
          <cell r="A862" t="str">
            <v>995012026</v>
          </cell>
          <cell r="B862">
            <v>99</v>
          </cell>
          <cell r="C862">
            <v>501</v>
          </cell>
          <cell r="D862" t="str">
            <v>2026</v>
          </cell>
          <cell r="E862" t="str">
            <v>Q</v>
          </cell>
          <cell r="F862">
            <v>3</v>
          </cell>
        </row>
        <row r="863">
          <cell r="A863" t="str">
            <v>996002026</v>
          </cell>
          <cell r="B863">
            <v>99</v>
          </cell>
          <cell r="C863">
            <v>600</v>
          </cell>
          <cell r="D863" t="str">
            <v>2026</v>
          </cell>
          <cell r="E863" t="str">
            <v>N</v>
          </cell>
          <cell r="F863">
            <v>5</v>
          </cell>
        </row>
        <row r="864">
          <cell r="A864" t="str">
            <v>996012026</v>
          </cell>
          <cell r="B864">
            <v>99</v>
          </cell>
          <cell r="C864">
            <v>601</v>
          </cell>
          <cell r="D864" t="str">
            <v>2026</v>
          </cell>
          <cell r="E864" t="str">
            <v>Q</v>
          </cell>
          <cell r="F864">
            <v>5</v>
          </cell>
        </row>
        <row r="865">
          <cell r="A865" t="str">
            <v>996022026</v>
          </cell>
          <cell r="B865">
            <v>99</v>
          </cell>
          <cell r="C865">
            <v>602</v>
          </cell>
          <cell r="D865" t="str">
            <v>2026</v>
          </cell>
          <cell r="E865" t="str">
            <v>R</v>
          </cell>
          <cell r="F865">
            <v>6</v>
          </cell>
        </row>
        <row r="866">
          <cell r="A866" t="str">
            <v>996032026</v>
          </cell>
          <cell r="B866">
            <v>99</v>
          </cell>
          <cell r="C866">
            <v>603</v>
          </cell>
          <cell r="D866" t="str">
            <v>2026</v>
          </cell>
          <cell r="E866" t="str">
            <v>S</v>
          </cell>
          <cell r="F866">
            <v>6</v>
          </cell>
        </row>
        <row r="867">
          <cell r="A867" t="str">
            <v>092002026</v>
          </cell>
          <cell r="B867" t="str">
            <v>09</v>
          </cell>
          <cell r="C867">
            <v>200</v>
          </cell>
          <cell r="D867" t="str">
            <v>2026</v>
          </cell>
          <cell r="E867" t="str">
            <v>Q</v>
          </cell>
          <cell r="F867">
            <v>4</v>
          </cell>
        </row>
        <row r="868">
          <cell r="A868" t="str">
            <v>093002026</v>
          </cell>
          <cell r="B868" t="str">
            <v>09</v>
          </cell>
          <cell r="C868">
            <v>300</v>
          </cell>
          <cell r="D868" t="str">
            <v>2026</v>
          </cell>
          <cell r="E868" t="str">
            <v>Q</v>
          </cell>
          <cell r="F868">
            <v>4</v>
          </cell>
        </row>
        <row r="869">
          <cell r="A869" t="str">
            <v>094002026</v>
          </cell>
          <cell r="B869" t="str">
            <v>09</v>
          </cell>
          <cell r="C869">
            <v>400</v>
          </cell>
          <cell r="D869" t="str">
            <v>2026</v>
          </cell>
          <cell r="E869" t="str">
            <v>N</v>
          </cell>
          <cell r="F869">
            <v>5</v>
          </cell>
        </row>
        <row r="870">
          <cell r="A870" t="str">
            <v>095002026</v>
          </cell>
          <cell r="B870" t="str">
            <v>09</v>
          </cell>
          <cell r="C870">
            <v>500</v>
          </cell>
          <cell r="D870" t="str">
            <v>2026</v>
          </cell>
          <cell r="E870" t="str">
            <v>K</v>
          </cell>
          <cell r="F870">
            <v>3</v>
          </cell>
        </row>
        <row r="871">
          <cell r="A871" t="str">
            <v>095012026</v>
          </cell>
          <cell r="B871" t="str">
            <v>09</v>
          </cell>
          <cell r="C871">
            <v>501</v>
          </cell>
          <cell r="D871" t="str">
            <v>2026</v>
          </cell>
          <cell r="E871" t="str">
            <v>Q</v>
          </cell>
          <cell r="F871">
            <v>3</v>
          </cell>
        </row>
        <row r="872">
          <cell r="A872" t="str">
            <v>096002026</v>
          </cell>
          <cell r="B872" t="str">
            <v>09</v>
          </cell>
          <cell r="C872">
            <v>600</v>
          </cell>
          <cell r="D872" t="str">
            <v>2026</v>
          </cell>
          <cell r="E872" t="str">
            <v>N</v>
          </cell>
          <cell r="F872">
            <v>5</v>
          </cell>
        </row>
        <row r="873">
          <cell r="A873" t="str">
            <v>096012026</v>
          </cell>
          <cell r="B873" t="str">
            <v>09</v>
          </cell>
          <cell r="C873">
            <v>601</v>
          </cell>
          <cell r="D873" t="str">
            <v>2026</v>
          </cell>
          <cell r="E873" t="str">
            <v>Q</v>
          </cell>
          <cell r="F873">
            <v>5</v>
          </cell>
        </row>
        <row r="874">
          <cell r="A874" t="str">
            <v>096022026</v>
          </cell>
          <cell r="B874" t="str">
            <v>09</v>
          </cell>
          <cell r="C874">
            <v>602</v>
          </cell>
          <cell r="D874" t="str">
            <v>2026</v>
          </cell>
          <cell r="E874" t="str">
            <v>R</v>
          </cell>
          <cell r="F874">
            <v>6</v>
          </cell>
        </row>
        <row r="875">
          <cell r="A875" t="str">
            <v>096032026</v>
          </cell>
          <cell r="B875" t="str">
            <v>09</v>
          </cell>
          <cell r="C875">
            <v>603</v>
          </cell>
          <cell r="D875" t="str">
            <v>2026</v>
          </cell>
          <cell r="E875" t="str">
            <v>S</v>
          </cell>
          <cell r="F875">
            <v>6</v>
          </cell>
        </row>
        <row r="876">
          <cell r="A876" t="str">
            <v>992002027</v>
          </cell>
          <cell r="B876">
            <v>99</v>
          </cell>
          <cell r="C876">
            <v>200</v>
          </cell>
          <cell r="D876" t="str">
            <v>2027</v>
          </cell>
          <cell r="E876" t="str">
            <v>Q</v>
          </cell>
          <cell r="F876">
            <v>4</v>
          </cell>
        </row>
        <row r="877">
          <cell r="A877" t="str">
            <v>993002027</v>
          </cell>
          <cell r="B877">
            <v>99</v>
          </cell>
          <cell r="C877">
            <v>300</v>
          </cell>
          <cell r="D877" t="str">
            <v>2027</v>
          </cell>
          <cell r="E877" t="str">
            <v>Q</v>
          </cell>
          <cell r="F877">
            <v>4</v>
          </cell>
        </row>
        <row r="878">
          <cell r="A878" t="str">
            <v>994002027</v>
          </cell>
          <cell r="B878">
            <v>99</v>
          </cell>
          <cell r="C878">
            <v>400</v>
          </cell>
          <cell r="D878" t="str">
            <v>2027</v>
          </cell>
          <cell r="E878" t="str">
            <v>N</v>
          </cell>
          <cell r="F878">
            <v>5</v>
          </cell>
        </row>
        <row r="879">
          <cell r="A879" t="str">
            <v>995002027</v>
          </cell>
          <cell r="B879">
            <v>99</v>
          </cell>
          <cell r="C879">
            <v>500</v>
          </cell>
          <cell r="D879" t="str">
            <v>2027</v>
          </cell>
          <cell r="E879" t="str">
            <v>K</v>
          </cell>
          <cell r="F879">
            <v>3</v>
          </cell>
        </row>
        <row r="880">
          <cell r="A880" t="str">
            <v>995012027</v>
          </cell>
          <cell r="B880">
            <v>99</v>
          </cell>
          <cell r="C880">
            <v>501</v>
          </cell>
          <cell r="D880" t="str">
            <v>2027</v>
          </cell>
          <cell r="E880" t="str">
            <v>Q</v>
          </cell>
          <cell r="F880">
            <v>3</v>
          </cell>
        </row>
        <row r="881">
          <cell r="A881" t="str">
            <v>996002027</v>
          </cell>
          <cell r="B881">
            <v>99</v>
          </cell>
          <cell r="C881">
            <v>600</v>
          </cell>
          <cell r="D881" t="str">
            <v>2027</v>
          </cell>
          <cell r="E881" t="str">
            <v>N</v>
          </cell>
          <cell r="F881">
            <v>5</v>
          </cell>
        </row>
        <row r="882">
          <cell r="A882" t="str">
            <v>996012027</v>
          </cell>
          <cell r="B882">
            <v>99</v>
          </cell>
          <cell r="C882">
            <v>601</v>
          </cell>
          <cell r="D882" t="str">
            <v>2027</v>
          </cell>
          <cell r="E882" t="str">
            <v>Q</v>
          </cell>
          <cell r="F882">
            <v>5</v>
          </cell>
        </row>
        <row r="883">
          <cell r="A883" t="str">
            <v>996022027</v>
          </cell>
          <cell r="B883">
            <v>99</v>
          </cell>
          <cell r="C883">
            <v>602</v>
          </cell>
          <cell r="D883" t="str">
            <v>2027</v>
          </cell>
          <cell r="E883" t="str">
            <v>R</v>
          </cell>
          <cell r="F883">
            <v>6</v>
          </cell>
        </row>
        <row r="884">
          <cell r="A884" t="str">
            <v>996032027</v>
          </cell>
          <cell r="B884">
            <v>99</v>
          </cell>
          <cell r="C884">
            <v>603</v>
          </cell>
          <cell r="D884" t="str">
            <v>2027</v>
          </cell>
          <cell r="E884" t="str">
            <v>S</v>
          </cell>
          <cell r="F884">
            <v>6</v>
          </cell>
        </row>
        <row r="885">
          <cell r="A885" t="str">
            <v>092002027</v>
          </cell>
          <cell r="B885" t="str">
            <v>09</v>
          </cell>
          <cell r="C885">
            <v>200</v>
          </cell>
          <cell r="D885" t="str">
            <v>2027</v>
          </cell>
          <cell r="E885" t="str">
            <v>Q</v>
          </cell>
          <cell r="F885">
            <v>4</v>
          </cell>
        </row>
        <row r="886">
          <cell r="A886" t="str">
            <v>093002027</v>
          </cell>
          <cell r="B886" t="str">
            <v>09</v>
          </cell>
          <cell r="C886">
            <v>300</v>
          </cell>
          <cell r="D886" t="str">
            <v>2027</v>
          </cell>
          <cell r="E886" t="str">
            <v>Q</v>
          </cell>
          <cell r="F886">
            <v>4</v>
          </cell>
        </row>
        <row r="887">
          <cell r="A887" t="str">
            <v>094002027</v>
          </cell>
          <cell r="B887" t="str">
            <v>09</v>
          </cell>
          <cell r="C887">
            <v>400</v>
          </cell>
          <cell r="D887" t="str">
            <v>2027</v>
          </cell>
          <cell r="E887" t="str">
            <v>N</v>
          </cell>
          <cell r="F887">
            <v>5</v>
          </cell>
        </row>
        <row r="888">
          <cell r="A888" t="str">
            <v>095002027</v>
          </cell>
          <cell r="B888" t="str">
            <v>09</v>
          </cell>
          <cell r="C888">
            <v>500</v>
          </cell>
          <cell r="D888" t="str">
            <v>2027</v>
          </cell>
          <cell r="E888" t="str">
            <v>K</v>
          </cell>
          <cell r="F888">
            <v>3</v>
          </cell>
        </row>
        <row r="889">
          <cell r="A889" t="str">
            <v>095012027</v>
          </cell>
          <cell r="B889" t="str">
            <v>09</v>
          </cell>
          <cell r="C889">
            <v>501</v>
          </cell>
          <cell r="D889" t="str">
            <v>2027</v>
          </cell>
          <cell r="E889" t="str">
            <v>Q</v>
          </cell>
          <cell r="F889">
            <v>3</v>
          </cell>
        </row>
        <row r="890">
          <cell r="A890" t="str">
            <v>096002027</v>
          </cell>
          <cell r="B890" t="str">
            <v>09</v>
          </cell>
          <cell r="C890">
            <v>600</v>
          </cell>
          <cell r="D890" t="str">
            <v>2027</v>
          </cell>
          <cell r="E890" t="str">
            <v>N</v>
          </cell>
          <cell r="F890">
            <v>5</v>
          </cell>
        </row>
        <row r="891">
          <cell r="A891" t="str">
            <v>096012027</v>
          </cell>
          <cell r="B891" t="str">
            <v>09</v>
          </cell>
          <cell r="C891">
            <v>601</v>
          </cell>
          <cell r="D891" t="str">
            <v>2027</v>
          </cell>
          <cell r="E891" t="str">
            <v>Q</v>
          </cell>
          <cell r="F891">
            <v>5</v>
          </cell>
        </row>
        <row r="892">
          <cell r="A892" t="str">
            <v>096022027</v>
          </cell>
          <cell r="B892" t="str">
            <v>09</v>
          </cell>
          <cell r="C892">
            <v>602</v>
          </cell>
          <cell r="D892" t="str">
            <v>2027</v>
          </cell>
          <cell r="E892" t="str">
            <v>R</v>
          </cell>
          <cell r="F892">
            <v>6</v>
          </cell>
        </row>
        <row r="893">
          <cell r="A893" t="str">
            <v>096032027</v>
          </cell>
          <cell r="B893" t="str">
            <v>09</v>
          </cell>
          <cell r="C893">
            <v>603</v>
          </cell>
          <cell r="D893" t="str">
            <v>2027</v>
          </cell>
          <cell r="E893" t="str">
            <v>S</v>
          </cell>
          <cell r="F893">
            <v>6</v>
          </cell>
        </row>
        <row r="894">
          <cell r="A894" t="str">
            <v>992002028</v>
          </cell>
          <cell r="B894">
            <v>99</v>
          </cell>
          <cell r="C894">
            <v>200</v>
          </cell>
          <cell r="D894" t="str">
            <v>2028</v>
          </cell>
          <cell r="E894" t="str">
            <v>Q</v>
          </cell>
          <cell r="F894">
            <v>4</v>
          </cell>
        </row>
        <row r="895">
          <cell r="A895" t="str">
            <v>993002028</v>
          </cell>
          <cell r="B895">
            <v>99</v>
          </cell>
          <cell r="C895">
            <v>300</v>
          </cell>
          <cell r="D895" t="str">
            <v>2028</v>
          </cell>
          <cell r="E895" t="str">
            <v>Q</v>
          </cell>
          <cell r="F895">
            <v>4</v>
          </cell>
        </row>
        <row r="896">
          <cell r="A896" t="str">
            <v>994002028</v>
          </cell>
          <cell r="B896">
            <v>99</v>
          </cell>
          <cell r="C896">
            <v>400</v>
          </cell>
          <cell r="D896" t="str">
            <v>2028</v>
          </cell>
          <cell r="E896" t="str">
            <v>N</v>
          </cell>
          <cell r="F896">
            <v>5</v>
          </cell>
        </row>
        <row r="897">
          <cell r="A897" t="str">
            <v>995002028</v>
          </cell>
          <cell r="B897">
            <v>99</v>
          </cell>
          <cell r="C897">
            <v>500</v>
          </cell>
          <cell r="D897" t="str">
            <v>2028</v>
          </cell>
          <cell r="E897" t="str">
            <v>K</v>
          </cell>
          <cell r="F897">
            <v>3</v>
          </cell>
        </row>
        <row r="898">
          <cell r="A898" t="str">
            <v>995012028</v>
          </cell>
          <cell r="B898">
            <v>99</v>
          </cell>
          <cell r="C898">
            <v>501</v>
          </cell>
          <cell r="D898" t="str">
            <v>2028</v>
          </cell>
          <cell r="E898" t="str">
            <v>Q</v>
          </cell>
          <cell r="F898">
            <v>3</v>
          </cell>
        </row>
        <row r="899">
          <cell r="A899" t="str">
            <v>996002028</v>
          </cell>
          <cell r="B899">
            <v>99</v>
          </cell>
          <cell r="C899">
            <v>600</v>
          </cell>
          <cell r="D899" t="str">
            <v>2028</v>
          </cell>
          <cell r="E899" t="str">
            <v>N</v>
          </cell>
          <cell r="F899">
            <v>5</v>
          </cell>
        </row>
        <row r="900">
          <cell r="A900" t="str">
            <v>996012028</v>
          </cell>
          <cell r="B900">
            <v>99</v>
          </cell>
          <cell r="C900">
            <v>601</v>
          </cell>
          <cell r="D900" t="str">
            <v>2028</v>
          </cell>
          <cell r="E900" t="str">
            <v>Q</v>
          </cell>
          <cell r="F900">
            <v>5</v>
          </cell>
        </row>
        <row r="901">
          <cell r="A901" t="str">
            <v>996022028</v>
          </cell>
          <cell r="B901">
            <v>99</v>
          </cell>
          <cell r="C901">
            <v>602</v>
          </cell>
          <cell r="D901" t="str">
            <v>2028</v>
          </cell>
          <cell r="E901" t="str">
            <v>R</v>
          </cell>
          <cell r="F901">
            <v>6</v>
          </cell>
        </row>
        <row r="902">
          <cell r="A902" t="str">
            <v>996032028</v>
          </cell>
          <cell r="B902">
            <v>99</v>
          </cell>
          <cell r="C902">
            <v>603</v>
          </cell>
          <cell r="D902" t="str">
            <v>2028</v>
          </cell>
          <cell r="E902" t="str">
            <v>S</v>
          </cell>
          <cell r="F902">
            <v>6</v>
          </cell>
        </row>
        <row r="903">
          <cell r="A903" t="str">
            <v>092002028</v>
          </cell>
          <cell r="B903" t="str">
            <v>09</v>
          </cell>
          <cell r="C903">
            <v>200</v>
          </cell>
          <cell r="D903" t="str">
            <v>2028</v>
          </cell>
          <cell r="E903" t="str">
            <v>Q</v>
          </cell>
          <cell r="F903">
            <v>4</v>
          </cell>
        </row>
        <row r="904">
          <cell r="A904" t="str">
            <v>093002028</v>
          </cell>
          <cell r="B904" t="str">
            <v>09</v>
          </cell>
          <cell r="C904">
            <v>300</v>
          </cell>
          <cell r="D904" t="str">
            <v>2028</v>
          </cell>
          <cell r="E904" t="str">
            <v>Q</v>
          </cell>
          <cell r="F904">
            <v>4</v>
          </cell>
        </row>
        <row r="905">
          <cell r="A905" t="str">
            <v>094002028</v>
          </cell>
          <cell r="B905" t="str">
            <v>09</v>
          </cell>
          <cell r="C905">
            <v>400</v>
          </cell>
          <cell r="D905" t="str">
            <v>2028</v>
          </cell>
          <cell r="E905" t="str">
            <v>N</v>
          </cell>
          <cell r="F905">
            <v>5</v>
          </cell>
        </row>
        <row r="906">
          <cell r="A906" t="str">
            <v>095002028</v>
          </cell>
          <cell r="B906" t="str">
            <v>09</v>
          </cell>
          <cell r="C906">
            <v>500</v>
          </cell>
          <cell r="D906" t="str">
            <v>2028</v>
          </cell>
          <cell r="E906" t="str">
            <v>K</v>
          </cell>
          <cell r="F906">
            <v>3</v>
          </cell>
        </row>
        <row r="907">
          <cell r="A907" t="str">
            <v>095012028</v>
          </cell>
          <cell r="B907" t="str">
            <v>09</v>
          </cell>
          <cell r="C907">
            <v>501</v>
          </cell>
          <cell r="D907" t="str">
            <v>2028</v>
          </cell>
          <cell r="E907" t="str">
            <v>Q</v>
          </cell>
          <cell r="F907">
            <v>3</v>
          </cell>
        </row>
        <row r="908">
          <cell r="A908" t="str">
            <v>096002028</v>
          </cell>
          <cell r="B908" t="str">
            <v>09</v>
          </cell>
          <cell r="C908">
            <v>600</v>
          </cell>
          <cell r="D908" t="str">
            <v>2028</v>
          </cell>
          <cell r="E908" t="str">
            <v>N</v>
          </cell>
          <cell r="F908">
            <v>5</v>
          </cell>
        </row>
        <row r="909">
          <cell r="A909" t="str">
            <v>096012028</v>
          </cell>
          <cell r="B909" t="str">
            <v>09</v>
          </cell>
          <cell r="C909">
            <v>601</v>
          </cell>
          <cell r="D909" t="str">
            <v>2028</v>
          </cell>
          <cell r="E909" t="str">
            <v>Q</v>
          </cell>
          <cell r="F909">
            <v>5</v>
          </cell>
        </row>
        <row r="910">
          <cell r="A910" t="str">
            <v>096022028</v>
          </cell>
          <cell r="B910" t="str">
            <v>09</v>
          </cell>
          <cell r="C910">
            <v>602</v>
          </cell>
          <cell r="D910" t="str">
            <v>2028</v>
          </cell>
          <cell r="E910" t="str">
            <v>R</v>
          </cell>
          <cell r="F910">
            <v>6</v>
          </cell>
        </row>
        <row r="911">
          <cell r="A911" t="str">
            <v>096032028</v>
          </cell>
          <cell r="B911" t="str">
            <v>09</v>
          </cell>
          <cell r="C911">
            <v>603</v>
          </cell>
          <cell r="D911" t="str">
            <v>2028</v>
          </cell>
          <cell r="E911" t="str">
            <v>S</v>
          </cell>
          <cell r="F911">
            <v>6</v>
          </cell>
        </row>
        <row r="912">
          <cell r="A912" t="str">
            <v>992002029</v>
          </cell>
          <cell r="B912">
            <v>99</v>
          </cell>
          <cell r="C912">
            <v>200</v>
          </cell>
          <cell r="D912" t="str">
            <v>2029</v>
          </cell>
          <cell r="E912" t="str">
            <v>Q</v>
          </cell>
          <cell r="F912">
            <v>4</v>
          </cell>
        </row>
        <row r="913">
          <cell r="A913" t="str">
            <v>993002029</v>
          </cell>
          <cell r="B913">
            <v>99</v>
          </cell>
          <cell r="C913">
            <v>300</v>
          </cell>
          <cell r="D913" t="str">
            <v>2029</v>
          </cell>
          <cell r="E913" t="str">
            <v>Q</v>
          </cell>
          <cell r="F913">
            <v>4</v>
          </cell>
        </row>
        <row r="914">
          <cell r="A914" t="str">
            <v>994002029</v>
          </cell>
          <cell r="B914">
            <v>99</v>
          </cell>
          <cell r="C914">
            <v>400</v>
          </cell>
          <cell r="D914" t="str">
            <v>2029</v>
          </cell>
          <cell r="E914" t="str">
            <v>N</v>
          </cell>
          <cell r="F914">
            <v>5</v>
          </cell>
        </row>
        <row r="915">
          <cell r="A915" t="str">
            <v>995002029</v>
          </cell>
          <cell r="B915">
            <v>99</v>
          </cell>
          <cell r="C915">
            <v>500</v>
          </cell>
          <cell r="D915" t="str">
            <v>2029</v>
          </cell>
          <cell r="E915" t="str">
            <v>K</v>
          </cell>
          <cell r="F915">
            <v>3</v>
          </cell>
        </row>
        <row r="916">
          <cell r="A916" t="str">
            <v>995012029</v>
          </cell>
          <cell r="B916">
            <v>99</v>
          </cell>
          <cell r="C916">
            <v>501</v>
          </cell>
          <cell r="D916" t="str">
            <v>2029</v>
          </cell>
          <cell r="E916" t="str">
            <v>Q</v>
          </cell>
          <cell r="F916">
            <v>3</v>
          </cell>
        </row>
        <row r="917">
          <cell r="A917" t="str">
            <v>996002029</v>
          </cell>
          <cell r="B917">
            <v>99</v>
          </cell>
          <cell r="C917">
            <v>600</v>
          </cell>
          <cell r="D917" t="str">
            <v>2029</v>
          </cell>
          <cell r="E917" t="str">
            <v>N</v>
          </cell>
          <cell r="F917">
            <v>5</v>
          </cell>
        </row>
        <row r="918">
          <cell r="A918" t="str">
            <v>996012029</v>
          </cell>
          <cell r="B918">
            <v>99</v>
          </cell>
          <cell r="C918">
            <v>601</v>
          </cell>
          <cell r="D918" t="str">
            <v>2029</v>
          </cell>
          <cell r="E918" t="str">
            <v>Q</v>
          </cell>
          <cell r="F918">
            <v>5</v>
          </cell>
        </row>
        <row r="919">
          <cell r="A919" t="str">
            <v>996022029</v>
          </cell>
          <cell r="B919">
            <v>99</v>
          </cell>
          <cell r="C919">
            <v>602</v>
          </cell>
          <cell r="D919" t="str">
            <v>2029</v>
          </cell>
          <cell r="E919" t="str">
            <v>R</v>
          </cell>
          <cell r="F919">
            <v>6</v>
          </cell>
        </row>
        <row r="920">
          <cell r="A920" t="str">
            <v>996032029</v>
          </cell>
          <cell r="B920">
            <v>99</v>
          </cell>
          <cell r="C920">
            <v>603</v>
          </cell>
          <cell r="D920" t="str">
            <v>2029</v>
          </cell>
          <cell r="E920" t="str">
            <v>S</v>
          </cell>
          <cell r="F920">
            <v>6</v>
          </cell>
        </row>
        <row r="921">
          <cell r="A921" t="str">
            <v>092002029</v>
          </cell>
          <cell r="B921" t="str">
            <v>09</v>
          </cell>
          <cell r="C921">
            <v>200</v>
          </cell>
          <cell r="D921" t="str">
            <v>2029</v>
          </cell>
          <cell r="E921" t="str">
            <v>Q</v>
          </cell>
          <cell r="F921">
            <v>4</v>
          </cell>
        </row>
        <row r="922">
          <cell r="A922" t="str">
            <v>093002029</v>
          </cell>
          <cell r="B922" t="str">
            <v>09</v>
          </cell>
          <cell r="C922">
            <v>300</v>
          </cell>
          <cell r="D922" t="str">
            <v>2029</v>
          </cell>
          <cell r="E922" t="str">
            <v>Q</v>
          </cell>
          <cell r="F922">
            <v>4</v>
          </cell>
        </row>
        <row r="923">
          <cell r="A923" t="str">
            <v>094002029</v>
          </cell>
          <cell r="B923" t="str">
            <v>09</v>
          </cell>
          <cell r="C923">
            <v>400</v>
          </cell>
          <cell r="D923" t="str">
            <v>2029</v>
          </cell>
          <cell r="E923" t="str">
            <v>N</v>
          </cell>
          <cell r="F923">
            <v>5</v>
          </cell>
        </row>
        <row r="924">
          <cell r="A924" t="str">
            <v>095002029</v>
          </cell>
          <cell r="B924" t="str">
            <v>09</v>
          </cell>
          <cell r="C924">
            <v>500</v>
          </cell>
          <cell r="D924" t="str">
            <v>2029</v>
          </cell>
          <cell r="E924" t="str">
            <v>K</v>
          </cell>
          <cell r="F924">
            <v>3</v>
          </cell>
        </row>
        <row r="925">
          <cell r="A925" t="str">
            <v>095012029</v>
          </cell>
          <cell r="B925" t="str">
            <v>09</v>
          </cell>
          <cell r="C925">
            <v>501</v>
          </cell>
          <cell r="D925" t="str">
            <v>2029</v>
          </cell>
          <cell r="E925" t="str">
            <v>Q</v>
          </cell>
          <cell r="F925">
            <v>3</v>
          </cell>
        </row>
        <row r="926">
          <cell r="A926" t="str">
            <v>096002029</v>
          </cell>
          <cell r="B926" t="str">
            <v>09</v>
          </cell>
          <cell r="C926">
            <v>600</v>
          </cell>
          <cell r="D926" t="str">
            <v>2029</v>
          </cell>
          <cell r="E926" t="str">
            <v>N</v>
          </cell>
          <cell r="F926">
            <v>5</v>
          </cell>
        </row>
        <row r="927">
          <cell r="A927" t="str">
            <v>096012029</v>
          </cell>
          <cell r="B927" t="str">
            <v>09</v>
          </cell>
          <cell r="C927">
            <v>601</v>
          </cell>
          <cell r="D927" t="str">
            <v>2029</v>
          </cell>
          <cell r="E927" t="str">
            <v>Q</v>
          </cell>
          <cell r="F927">
            <v>5</v>
          </cell>
        </row>
        <row r="928">
          <cell r="A928" t="str">
            <v>096022029</v>
          </cell>
          <cell r="B928" t="str">
            <v>09</v>
          </cell>
          <cell r="C928">
            <v>602</v>
          </cell>
          <cell r="D928" t="str">
            <v>2029</v>
          </cell>
          <cell r="E928" t="str">
            <v>R</v>
          </cell>
          <cell r="F928">
            <v>6</v>
          </cell>
        </row>
        <row r="929">
          <cell r="A929" t="str">
            <v>096032029</v>
          </cell>
          <cell r="B929" t="str">
            <v>09</v>
          </cell>
          <cell r="C929">
            <v>603</v>
          </cell>
          <cell r="D929" t="str">
            <v>2029</v>
          </cell>
          <cell r="E929" t="str">
            <v>S</v>
          </cell>
          <cell r="F929">
            <v>6</v>
          </cell>
        </row>
        <row r="930">
          <cell r="A930" t="str">
            <v>992002035</v>
          </cell>
          <cell r="B930">
            <v>99</v>
          </cell>
          <cell r="C930">
            <v>200</v>
          </cell>
          <cell r="D930" t="str">
            <v>2035</v>
          </cell>
          <cell r="E930" t="str">
            <v>Q</v>
          </cell>
          <cell r="F930">
            <v>4</v>
          </cell>
        </row>
        <row r="931">
          <cell r="A931" t="str">
            <v>993002035</v>
          </cell>
          <cell r="B931">
            <v>99</v>
          </cell>
          <cell r="C931">
            <v>300</v>
          </cell>
          <cell r="D931" t="str">
            <v>2035</v>
          </cell>
          <cell r="E931" t="str">
            <v>Q</v>
          </cell>
          <cell r="F931">
            <v>4</v>
          </cell>
        </row>
        <row r="932">
          <cell r="A932" t="str">
            <v>994002035</v>
          </cell>
          <cell r="B932">
            <v>99</v>
          </cell>
          <cell r="C932">
            <v>400</v>
          </cell>
          <cell r="D932" t="str">
            <v>2035</v>
          </cell>
          <cell r="E932" t="str">
            <v>N</v>
          </cell>
          <cell r="F932">
            <v>5</v>
          </cell>
        </row>
        <row r="933">
          <cell r="A933" t="str">
            <v>995002035</v>
          </cell>
          <cell r="B933">
            <v>99</v>
          </cell>
          <cell r="C933">
            <v>500</v>
          </cell>
          <cell r="D933" t="str">
            <v>2035</v>
          </cell>
          <cell r="E933" t="str">
            <v>K</v>
          </cell>
          <cell r="F933">
            <v>3</v>
          </cell>
        </row>
        <row r="934">
          <cell r="A934" t="str">
            <v>995012035</v>
          </cell>
          <cell r="B934">
            <v>99</v>
          </cell>
          <cell r="C934">
            <v>501</v>
          </cell>
          <cell r="D934" t="str">
            <v>2035</v>
          </cell>
          <cell r="E934" t="str">
            <v>Q</v>
          </cell>
          <cell r="F934">
            <v>3</v>
          </cell>
        </row>
        <row r="935">
          <cell r="A935" t="str">
            <v>996002035</v>
          </cell>
          <cell r="B935">
            <v>99</v>
          </cell>
          <cell r="C935">
            <v>600</v>
          </cell>
          <cell r="D935" t="str">
            <v>2035</v>
          </cell>
          <cell r="E935" t="str">
            <v>N</v>
          </cell>
          <cell r="F935">
            <v>5</v>
          </cell>
        </row>
        <row r="936">
          <cell r="A936" t="str">
            <v>996012035</v>
          </cell>
          <cell r="B936">
            <v>99</v>
          </cell>
          <cell r="C936">
            <v>601</v>
          </cell>
          <cell r="D936" t="str">
            <v>2035</v>
          </cell>
          <cell r="E936" t="str">
            <v>Q</v>
          </cell>
          <cell r="F936">
            <v>5</v>
          </cell>
        </row>
        <row r="937">
          <cell r="A937" t="str">
            <v>996022035</v>
          </cell>
          <cell r="B937">
            <v>99</v>
          </cell>
          <cell r="C937">
            <v>602</v>
          </cell>
          <cell r="D937" t="str">
            <v>2035</v>
          </cell>
          <cell r="E937" t="str">
            <v>R</v>
          </cell>
          <cell r="F937">
            <v>6</v>
          </cell>
        </row>
        <row r="938">
          <cell r="A938" t="str">
            <v>996032035</v>
          </cell>
          <cell r="B938">
            <v>99</v>
          </cell>
          <cell r="C938">
            <v>603</v>
          </cell>
          <cell r="D938" t="str">
            <v>2035</v>
          </cell>
          <cell r="E938" t="str">
            <v>S</v>
          </cell>
          <cell r="F938">
            <v>6</v>
          </cell>
        </row>
        <row r="939">
          <cell r="A939" t="str">
            <v>092002035</v>
          </cell>
          <cell r="B939" t="str">
            <v>09</v>
          </cell>
          <cell r="C939">
            <v>200</v>
          </cell>
          <cell r="D939" t="str">
            <v>2035</v>
          </cell>
          <cell r="E939" t="str">
            <v>Q</v>
          </cell>
          <cell r="F939">
            <v>4</v>
          </cell>
        </row>
        <row r="940">
          <cell r="A940" t="str">
            <v>093002035</v>
          </cell>
          <cell r="B940" t="str">
            <v>09</v>
          </cell>
          <cell r="C940">
            <v>300</v>
          </cell>
          <cell r="D940" t="str">
            <v>2035</v>
          </cell>
          <cell r="E940" t="str">
            <v>Q</v>
          </cell>
          <cell r="F940">
            <v>4</v>
          </cell>
        </row>
        <row r="941">
          <cell r="A941" t="str">
            <v>094002035</v>
          </cell>
          <cell r="B941" t="str">
            <v>09</v>
          </cell>
          <cell r="C941">
            <v>400</v>
          </cell>
          <cell r="D941" t="str">
            <v>2035</v>
          </cell>
          <cell r="E941" t="str">
            <v>N</v>
          </cell>
          <cell r="F941">
            <v>5</v>
          </cell>
        </row>
        <row r="942">
          <cell r="A942" t="str">
            <v>095002035</v>
          </cell>
          <cell r="B942" t="str">
            <v>09</v>
          </cell>
          <cell r="C942">
            <v>500</v>
          </cell>
          <cell r="D942" t="str">
            <v>2035</v>
          </cell>
          <cell r="E942" t="str">
            <v>K</v>
          </cell>
          <cell r="F942">
            <v>3</v>
          </cell>
        </row>
        <row r="943">
          <cell r="A943" t="str">
            <v>095012035</v>
          </cell>
          <cell r="B943" t="str">
            <v>09</v>
          </cell>
          <cell r="C943">
            <v>501</v>
          </cell>
          <cell r="D943" t="str">
            <v>2035</v>
          </cell>
          <cell r="E943" t="str">
            <v>Q</v>
          </cell>
          <cell r="F943">
            <v>3</v>
          </cell>
        </row>
        <row r="944">
          <cell r="A944" t="str">
            <v>096002035</v>
          </cell>
          <cell r="B944" t="str">
            <v>09</v>
          </cell>
          <cell r="C944">
            <v>600</v>
          </cell>
          <cell r="D944" t="str">
            <v>2035</v>
          </cell>
          <cell r="E944" t="str">
            <v>N</v>
          </cell>
          <cell r="F944">
            <v>5</v>
          </cell>
        </row>
        <row r="945">
          <cell r="A945" t="str">
            <v>096012035</v>
          </cell>
          <cell r="B945" t="str">
            <v>09</v>
          </cell>
          <cell r="C945">
            <v>601</v>
          </cell>
          <cell r="D945" t="str">
            <v>2035</v>
          </cell>
          <cell r="E945" t="str">
            <v>Q</v>
          </cell>
          <cell r="F945">
            <v>5</v>
          </cell>
        </row>
        <row r="946">
          <cell r="A946" t="str">
            <v>096022035</v>
          </cell>
          <cell r="B946" t="str">
            <v>09</v>
          </cell>
          <cell r="C946">
            <v>602</v>
          </cell>
          <cell r="D946" t="str">
            <v>2035</v>
          </cell>
          <cell r="E946" t="str">
            <v>R</v>
          </cell>
          <cell r="F946">
            <v>6</v>
          </cell>
        </row>
        <row r="947">
          <cell r="A947" t="str">
            <v>096032035</v>
          </cell>
          <cell r="B947" t="str">
            <v>09</v>
          </cell>
          <cell r="C947">
            <v>603</v>
          </cell>
          <cell r="D947" t="str">
            <v>2035</v>
          </cell>
          <cell r="E947" t="str">
            <v>S</v>
          </cell>
          <cell r="F947">
            <v>6</v>
          </cell>
        </row>
        <row r="948">
          <cell r="A948" t="str">
            <v>992003011</v>
          </cell>
          <cell r="B948">
            <v>99</v>
          </cell>
          <cell r="C948">
            <v>200</v>
          </cell>
          <cell r="D948" t="str">
            <v>3011</v>
          </cell>
          <cell r="E948" t="str">
            <v>Q</v>
          </cell>
          <cell r="F948">
            <v>4</v>
          </cell>
        </row>
        <row r="949">
          <cell r="A949" t="str">
            <v>993003011</v>
          </cell>
          <cell r="B949">
            <v>99</v>
          </cell>
          <cell r="C949">
            <v>300</v>
          </cell>
          <cell r="D949" t="str">
            <v>3011</v>
          </cell>
          <cell r="E949" t="str">
            <v>Q</v>
          </cell>
          <cell r="F949">
            <v>4</v>
          </cell>
        </row>
        <row r="950">
          <cell r="A950" t="str">
            <v>994003011</v>
          </cell>
          <cell r="B950">
            <v>99</v>
          </cell>
          <cell r="C950">
            <v>400</v>
          </cell>
          <cell r="D950" t="str">
            <v>3011</v>
          </cell>
          <cell r="E950" t="str">
            <v>M</v>
          </cell>
          <cell r="F950">
            <v>5</v>
          </cell>
        </row>
        <row r="951">
          <cell r="A951" t="str">
            <v>995003011</v>
          </cell>
          <cell r="B951">
            <v>99</v>
          </cell>
          <cell r="C951">
            <v>500</v>
          </cell>
          <cell r="D951" t="str">
            <v>3011</v>
          </cell>
          <cell r="E951" t="str">
            <v>H</v>
          </cell>
          <cell r="F951">
            <v>2</v>
          </cell>
        </row>
        <row r="952">
          <cell r="A952" t="str">
            <v>995013011</v>
          </cell>
          <cell r="B952">
            <v>99</v>
          </cell>
          <cell r="C952">
            <v>501</v>
          </cell>
          <cell r="D952" t="str">
            <v>3011</v>
          </cell>
          <cell r="E952" t="str">
            <v>Q</v>
          </cell>
          <cell r="F952">
            <v>2</v>
          </cell>
        </row>
        <row r="953">
          <cell r="A953" t="str">
            <v>996003011</v>
          </cell>
          <cell r="B953">
            <v>99</v>
          </cell>
          <cell r="C953">
            <v>600</v>
          </cell>
          <cell r="D953" t="str">
            <v>3011</v>
          </cell>
          <cell r="E953" t="str">
            <v>M</v>
          </cell>
          <cell r="F953">
            <v>5</v>
          </cell>
        </row>
        <row r="954">
          <cell r="A954" t="str">
            <v>996013011</v>
          </cell>
          <cell r="B954">
            <v>99</v>
          </cell>
          <cell r="C954">
            <v>601</v>
          </cell>
          <cell r="D954" t="str">
            <v>3011</v>
          </cell>
          <cell r="E954" t="str">
            <v>Q</v>
          </cell>
          <cell r="F954">
            <v>5</v>
          </cell>
        </row>
        <row r="955">
          <cell r="A955" t="str">
            <v>996023011</v>
          </cell>
          <cell r="B955">
            <v>99</v>
          </cell>
          <cell r="C955">
            <v>602</v>
          </cell>
          <cell r="D955" t="str">
            <v>3011</v>
          </cell>
          <cell r="E955" t="str">
            <v>R</v>
          </cell>
          <cell r="F955">
            <v>6</v>
          </cell>
        </row>
        <row r="956">
          <cell r="A956" t="str">
            <v>996033011</v>
          </cell>
          <cell r="B956">
            <v>99</v>
          </cell>
          <cell r="C956">
            <v>603</v>
          </cell>
          <cell r="D956" t="str">
            <v>3011</v>
          </cell>
          <cell r="E956" t="str">
            <v>S</v>
          </cell>
          <cell r="F956">
            <v>6</v>
          </cell>
        </row>
        <row r="957">
          <cell r="A957" t="str">
            <v>092003011</v>
          </cell>
          <cell r="B957" t="str">
            <v>09</v>
          </cell>
          <cell r="C957">
            <v>200</v>
          </cell>
          <cell r="D957" t="str">
            <v>3011</v>
          </cell>
          <cell r="E957" t="str">
            <v>Q</v>
          </cell>
          <cell r="F957">
            <v>4</v>
          </cell>
        </row>
        <row r="958">
          <cell r="A958" t="str">
            <v>093003011</v>
          </cell>
          <cell r="B958" t="str">
            <v>09</v>
          </cell>
          <cell r="C958">
            <v>300</v>
          </cell>
          <cell r="D958" t="str">
            <v>3011</v>
          </cell>
          <cell r="E958" t="str">
            <v>Q</v>
          </cell>
          <cell r="F958">
            <v>4</v>
          </cell>
        </row>
        <row r="959">
          <cell r="A959" t="str">
            <v>094003011</v>
          </cell>
          <cell r="B959" t="str">
            <v>09</v>
          </cell>
          <cell r="C959">
            <v>400</v>
          </cell>
          <cell r="D959" t="str">
            <v>3011</v>
          </cell>
          <cell r="E959" t="str">
            <v>M</v>
          </cell>
          <cell r="F959">
            <v>5</v>
          </cell>
        </row>
        <row r="960">
          <cell r="A960" t="str">
            <v>095003011</v>
          </cell>
          <cell r="B960" t="str">
            <v>09</v>
          </cell>
          <cell r="C960">
            <v>500</v>
          </cell>
          <cell r="D960" t="str">
            <v>3011</v>
          </cell>
          <cell r="E960" t="str">
            <v>H</v>
          </cell>
          <cell r="F960">
            <v>2</v>
          </cell>
        </row>
        <row r="961">
          <cell r="A961" t="str">
            <v>095013011</v>
          </cell>
          <cell r="B961" t="str">
            <v>09</v>
          </cell>
          <cell r="C961">
            <v>501</v>
          </cell>
          <cell r="D961" t="str">
            <v>3011</v>
          </cell>
          <cell r="E961" t="str">
            <v>Q</v>
          </cell>
          <cell r="F961">
            <v>2</v>
          </cell>
        </row>
        <row r="962">
          <cell r="A962" t="str">
            <v>096003011</v>
          </cell>
          <cell r="B962" t="str">
            <v>09</v>
          </cell>
          <cell r="C962">
            <v>600</v>
          </cell>
          <cell r="D962" t="str">
            <v>3011</v>
          </cell>
          <cell r="E962" t="str">
            <v>M</v>
          </cell>
          <cell r="F962">
            <v>5</v>
          </cell>
        </row>
        <row r="963">
          <cell r="A963" t="str">
            <v>096013011</v>
          </cell>
          <cell r="B963" t="str">
            <v>09</v>
          </cell>
          <cell r="C963">
            <v>601</v>
          </cell>
          <cell r="D963" t="str">
            <v>3011</v>
          </cell>
          <cell r="E963" t="str">
            <v>Q</v>
          </cell>
          <cell r="F963">
            <v>5</v>
          </cell>
        </row>
        <row r="964">
          <cell r="A964" t="str">
            <v>096023011</v>
          </cell>
          <cell r="B964" t="str">
            <v>09</v>
          </cell>
          <cell r="C964">
            <v>602</v>
          </cell>
          <cell r="D964" t="str">
            <v>3011</v>
          </cell>
          <cell r="E964" t="str">
            <v>R</v>
          </cell>
          <cell r="F964">
            <v>6</v>
          </cell>
        </row>
        <row r="965">
          <cell r="A965" t="str">
            <v>096033011</v>
          </cell>
          <cell r="B965" t="str">
            <v>09</v>
          </cell>
          <cell r="C965">
            <v>603</v>
          </cell>
          <cell r="D965" t="str">
            <v>3011</v>
          </cell>
          <cell r="E965" t="str">
            <v>S</v>
          </cell>
          <cell r="F965">
            <v>6</v>
          </cell>
        </row>
        <row r="966">
          <cell r="A966" t="str">
            <v>992005501</v>
          </cell>
          <cell r="B966">
            <v>99</v>
          </cell>
          <cell r="C966">
            <v>200</v>
          </cell>
          <cell r="D966" t="str">
            <v>5501</v>
          </cell>
          <cell r="E966" t="str">
            <v>Q</v>
          </cell>
          <cell r="F966">
            <v>4</v>
          </cell>
        </row>
        <row r="967">
          <cell r="A967" t="str">
            <v>993005501</v>
          </cell>
          <cell r="B967">
            <v>99</v>
          </cell>
          <cell r="C967">
            <v>300</v>
          </cell>
          <cell r="D967" t="str">
            <v>5501</v>
          </cell>
          <cell r="E967" t="str">
            <v>Q</v>
          </cell>
          <cell r="F967">
            <v>4</v>
          </cell>
        </row>
        <row r="968">
          <cell r="A968" t="str">
            <v>994005501</v>
          </cell>
          <cell r="B968">
            <v>99</v>
          </cell>
          <cell r="C968">
            <v>400</v>
          </cell>
          <cell r="D968" t="str">
            <v>5501</v>
          </cell>
          <cell r="E968" t="str">
            <v>M</v>
          </cell>
          <cell r="F968">
            <v>5</v>
          </cell>
        </row>
        <row r="969">
          <cell r="A969" t="str">
            <v>995005501</v>
          </cell>
          <cell r="B969">
            <v>99</v>
          </cell>
          <cell r="C969">
            <v>500</v>
          </cell>
          <cell r="D969" t="str">
            <v>5501</v>
          </cell>
          <cell r="E969" t="str">
            <v>H</v>
          </cell>
          <cell r="F969">
            <v>2</v>
          </cell>
        </row>
        <row r="970">
          <cell r="A970" t="str">
            <v>995015501</v>
          </cell>
          <cell r="B970">
            <v>99</v>
          </cell>
          <cell r="C970">
            <v>501</v>
          </cell>
          <cell r="D970" t="str">
            <v>5501</v>
          </cell>
          <cell r="E970" t="str">
            <v>Q</v>
          </cell>
          <cell r="F970">
            <v>2</v>
          </cell>
        </row>
        <row r="971">
          <cell r="A971" t="str">
            <v>996005501</v>
          </cell>
          <cell r="B971">
            <v>99</v>
          </cell>
          <cell r="C971">
            <v>600</v>
          </cell>
          <cell r="D971" t="str">
            <v>5501</v>
          </cell>
          <cell r="E971" t="str">
            <v>M</v>
          </cell>
          <cell r="F971">
            <v>5</v>
          </cell>
        </row>
        <row r="972">
          <cell r="A972" t="str">
            <v>996015501</v>
          </cell>
          <cell r="B972">
            <v>99</v>
          </cell>
          <cell r="C972">
            <v>601</v>
          </cell>
          <cell r="D972" t="str">
            <v>5501</v>
          </cell>
          <cell r="E972" t="str">
            <v>Q</v>
          </cell>
          <cell r="F972">
            <v>5</v>
          </cell>
        </row>
        <row r="973">
          <cell r="A973" t="str">
            <v>996025501</v>
          </cell>
          <cell r="B973">
            <v>99</v>
          </cell>
          <cell r="C973">
            <v>602</v>
          </cell>
          <cell r="D973" t="str">
            <v>5501</v>
          </cell>
          <cell r="E973" t="str">
            <v>R</v>
          </cell>
          <cell r="F973">
            <v>6</v>
          </cell>
        </row>
        <row r="974">
          <cell r="A974" t="str">
            <v>996035501</v>
          </cell>
          <cell r="B974">
            <v>99</v>
          </cell>
          <cell r="C974">
            <v>603</v>
          </cell>
          <cell r="D974" t="str">
            <v>5501</v>
          </cell>
          <cell r="E974" t="str">
            <v>S</v>
          </cell>
          <cell r="F974">
            <v>6</v>
          </cell>
        </row>
        <row r="975">
          <cell r="A975" t="str">
            <v>092005501</v>
          </cell>
          <cell r="B975" t="str">
            <v>09</v>
          </cell>
          <cell r="C975">
            <v>200</v>
          </cell>
          <cell r="D975" t="str">
            <v>5501</v>
          </cell>
          <cell r="E975" t="str">
            <v>Q</v>
          </cell>
          <cell r="F975">
            <v>4</v>
          </cell>
        </row>
        <row r="976">
          <cell r="A976" t="str">
            <v>093005501</v>
          </cell>
          <cell r="B976" t="str">
            <v>09</v>
          </cell>
          <cell r="C976">
            <v>300</v>
          </cell>
          <cell r="D976" t="str">
            <v>5501</v>
          </cell>
          <cell r="E976" t="str">
            <v>Q</v>
          </cell>
          <cell r="F976">
            <v>4</v>
          </cell>
        </row>
        <row r="977">
          <cell r="A977" t="str">
            <v>094005501</v>
          </cell>
          <cell r="B977" t="str">
            <v>09</v>
          </cell>
          <cell r="C977">
            <v>400</v>
          </cell>
          <cell r="D977" t="str">
            <v>5501</v>
          </cell>
          <cell r="E977" t="str">
            <v>M</v>
          </cell>
          <cell r="F977">
            <v>5</v>
          </cell>
        </row>
        <row r="978">
          <cell r="A978" t="str">
            <v>095005501</v>
          </cell>
          <cell r="B978" t="str">
            <v>09</v>
          </cell>
          <cell r="C978">
            <v>500</v>
          </cell>
          <cell r="D978" t="str">
            <v>5501</v>
          </cell>
          <cell r="E978" t="str">
            <v>H</v>
          </cell>
          <cell r="F978">
            <v>2</v>
          </cell>
        </row>
        <row r="979">
          <cell r="A979" t="str">
            <v>095015501</v>
          </cell>
          <cell r="B979" t="str">
            <v>09</v>
          </cell>
          <cell r="C979">
            <v>501</v>
          </cell>
          <cell r="D979" t="str">
            <v>5501</v>
          </cell>
          <cell r="E979" t="str">
            <v>Q</v>
          </cell>
          <cell r="F979">
            <v>2</v>
          </cell>
        </row>
        <row r="980">
          <cell r="A980" t="str">
            <v>096005501</v>
          </cell>
          <cell r="B980" t="str">
            <v>09</v>
          </cell>
          <cell r="C980">
            <v>600</v>
          </cell>
          <cell r="D980" t="str">
            <v>5501</v>
          </cell>
          <cell r="E980" t="str">
            <v>M</v>
          </cell>
          <cell r="F980">
            <v>5</v>
          </cell>
        </row>
        <row r="981">
          <cell r="A981" t="str">
            <v>096015501</v>
          </cell>
          <cell r="B981" t="str">
            <v>09</v>
          </cell>
          <cell r="C981">
            <v>601</v>
          </cell>
          <cell r="D981" t="str">
            <v>5501</v>
          </cell>
          <cell r="E981" t="str">
            <v>Q</v>
          </cell>
          <cell r="F981">
            <v>5</v>
          </cell>
        </row>
        <row r="982">
          <cell r="A982" t="str">
            <v>096025501</v>
          </cell>
          <cell r="B982" t="str">
            <v>09</v>
          </cell>
          <cell r="C982">
            <v>602</v>
          </cell>
          <cell r="D982" t="str">
            <v>5501</v>
          </cell>
          <cell r="E982" t="str">
            <v>R</v>
          </cell>
          <cell r="F982">
            <v>6</v>
          </cell>
        </row>
        <row r="983">
          <cell r="A983" t="str">
            <v>096035501</v>
          </cell>
          <cell r="B983" t="str">
            <v>09</v>
          </cell>
          <cell r="C983">
            <v>603</v>
          </cell>
          <cell r="D983" t="str">
            <v>5501</v>
          </cell>
          <cell r="E983" t="str">
            <v>S</v>
          </cell>
          <cell r="F983">
            <v>6</v>
          </cell>
        </row>
        <row r="984">
          <cell r="A984" t="str">
            <v>992005502</v>
          </cell>
          <cell r="B984">
            <v>99</v>
          </cell>
          <cell r="C984">
            <v>200</v>
          </cell>
          <cell r="D984" t="str">
            <v>5502</v>
          </cell>
          <cell r="E984" t="str">
            <v>Q</v>
          </cell>
          <cell r="F984">
            <v>4</v>
          </cell>
        </row>
        <row r="985">
          <cell r="A985" t="str">
            <v>993005502</v>
          </cell>
          <cell r="B985">
            <v>99</v>
          </cell>
          <cell r="C985">
            <v>300</v>
          </cell>
          <cell r="D985" t="str">
            <v>5502</v>
          </cell>
          <cell r="E985" t="str">
            <v>Q</v>
          </cell>
          <cell r="F985">
            <v>4</v>
          </cell>
        </row>
        <row r="986">
          <cell r="A986" t="str">
            <v>994005502</v>
          </cell>
          <cell r="B986">
            <v>99</v>
          </cell>
          <cell r="C986">
            <v>400</v>
          </cell>
          <cell r="D986" t="str">
            <v>5502</v>
          </cell>
          <cell r="E986" t="str">
            <v>M</v>
          </cell>
          <cell r="F986">
            <v>5</v>
          </cell>
        </row>
        <row r="987">
          <cell r="A987" t="str">
            <v>995005502</v>
          </cell>
          <cell r="B987">
            <v>99</v>
          </cell>
          <cell r="C987">
            <v>500</v>
          </cell>
          <cell r="D987" t="str">
            <v>5502</v>
          </cell>
          <cell r="E987" t="str">
            <v>H</v>
          </cell>
          <cell r="F987">
            <v>2</v>
          </cell>
        </row>
        <row r="988">
          <cell r="A988" t="str">
            <v>995015502</v>
          </cell>
          <cell r="B988">
            <v>99</v>
          </cell>
          <cell r="C988">
            <v>501</v>
          </cell>
          <cell r="D988" t="str">
            <v>5502</v>
          </cell>
          <cell r="E988" t="str">
            <v>Q</v>
          </cell>
          <cell r="F988">
            <v>2</v>
          </cell>
        </row>
        <row r="989">
          <cell r="A989" t="str">
            <v>996005502</v>
          </cell>
          <cell r="B989">
            <v>99</v>
          </cell>
          <cell r="C989">
            <v>600</v>
          </cell>
          <cell r="D989" t="str">
            <v>5502</v>
          </cell>
          <cell r="E989" t="str">
            <v>M</v>
          </cell>
          <cell r="F989">
            <v>5</v>
          </cell>
        </row>
        <row r="990">
          <cell r="A990" t="str">
            <v>996015502</v>
          </cell>
          <cell r="B990">
            <v>99</v>
          </cell>
          <cell r="C990">
            <v>601</v>
          </cell>
          <cell r="D990" t="str">
            <v>5502</v>
          </cell>
          <cell r="E990" t="str">
            <v>Q</v>
          </cell>
          <cell r="F990">
            <v>5</v>
          </cell>
        </row>
        <row r="991">
          <cell r="A991" t="str">
            <v>996025502</v>
          </cell>
          <cell r="B991">
            <v>99</v>
          </cell>
          <cell r="C991">
            <v>602</v>
          </cell>
          <cell r="D991" t="str">
            <v>5502</v>
          </cell>
          <cell r="E991" t="str">
            <v>R</v>
          </cell>
          <cell r="F991">
            <v>6</v>
          </cell>
        </row>
        <row r="992">
          <cell r="A992" t="str">
            <v>996035502</v>
          </cell>
          <cell r="B992">
            <v>99</v>
          </cell>
          <cell r="C992">
            <v>603</v>
          </cell>
          <cell r="D992" t="str">
            <v>5502</v>
          </cell>
          <cell r="E992" t="str">
            <v>S</v>
          </cell>
          <cell r="F992">
            <v>6</v>
          </cell>
        </row>
        <row r="993">
          <cell r="A993" t="str">
            <v>092005502</v>
          </cell>
          <cell r="B993" t="str">
            <v>09</v>
          </cell>
          <cell r="C993">
            <v>200</v>
          </cell>
          <cell r="D993" t="str">
            <v>5502</v>
          </cell>
          <cell r="E993" t="str">
            <v>Q</v>
          </cell>
          <cell r="F993">
            <v>4</v>
          </cell>
        </row>
        <row r="994">
          <cell r="A994" t="str">
            <v>093005502</v>
          </cell>
          <cell r="B994" t="str">
            <v>09</v>
          </cell>
          <cell r="C994">
            <v>300</v>
          </cell>
          <cell r="D994" t="str">
            <v>5502</v>
          </cell>
          <cell r="E994" t="str">
            <v>Q</v>
          </cell>
          <cell r="F994">
            <v>4</v>
          </cell>
        </row>
        <row r="995">
          <cell r="A995" t="str">
            <v>094005502</v>
          </cell>
          <cell r="B995" t="str">
            <v>09</v>
          </cell>
          <cell r="C995">
            <v>400</v>
          </cell>
          <cell r="D995" t="str">
            <v>5502</v>
          </cell>
          <cell r="E995" t="str">
            <v>M</v>
          </cell>
          <cell r="F995">
            <v>5</v>
          </cell>
        </row>
        <row r="996">
          <cell r="A996" t="str">
            <v>095005502</v>
          </cell>
          <cell r="B996" t="str">
            <v>09</v>
          </cell>
          <cell r="C996">
            <v>500</v>
          </cell>
          <cell r="D996" t="str">
            <v>5502</v>
          </cell>
          <cell r="E996" t="str">
            <v>H</v>
          </cell>
          <cell r="F996">
            <v>2</v>
          </cell>
        </row>
        <row r="997">
          <cell r="A997" t="str">
            <v>095015502</v>
          </cell>
          <cell r="B997" t="str">
            <v>09</v>
          </cell>
          <cell r="C997">
            <v>501</v>
          </cell>
          <cell r="D997" t="str">
            <v>5502</v>
          </cell>
          <cell r="E997" t="str">
            <v>Q</v>
          </cell>
          <cell r="F997">
            <v>2</v>
          </cell>
        </row>
        <row r="998">
          <cell r="A998" t="str">
            <v>096005502</v>
          </cell>
          <cell r="B998" t="str">
            <v>09</v>
          </cell>
          <cell r="C998">
            <v>600</v>
          </cell>
          <cell r="D998" t="str">
            <v>5502</v>
          </cell>
          <cell r="E998" t="str">
            <v>M</v>
          </cell>
          <cell r="F998">
            <v>5</v>
          </cell>
        </row>
        <row r="999">
          <cell r="A999" t="str">
            <v>096015502</v>
          </cell>
          <cell r="B999" t="str">
            <v>09</v>
          </cell>
          <cell r="C999">
            <v>601</v>
          </cell>
          <cell r="D999" t="str">
            <v>5502</v>
          </cell>
          <cell r="E999" t="str">
            <v>Q</v>
          </cell>
          <cell r="F999">
            <v>5</v>
          </cell>
        </row>
        <row r="1000">
          <cell r="A1000" t="str">
            <v>096025502</v>
          </cell>
          <cell r="B1000" t="str">
            <v>09</v>
          </cell>
          <cell r="C1000">
            <v>602</v>
          </cell>
          <cell r="D1000" t="str">
            <v>5502</v>
          </cell>
          <cell r="E1000" t="str">
            <v>R</v>
          </cell>
          <cell r="F1000">
            <v>6</v>
          </cell>
        </row>
        <row r="1001">
          <cell r="A1001" t="str">
            <v>096035502</v>
          </cell>
          <cell r="B1001" t="str">
            <v>09</v>
          </cell>
          <cell r="C1001">
            <v>603</v>
          </cell>
          <cell r="D1001" t="str">
            <v>5502</v>
          </cell>
          <cell r="E1001" t="str">
            <v>S</v>
          </cell>
          <cell r="F1001">
            <v>6</v>
          </cell>
        </row>
        <row r="1002">
          <cell r="A1002" t="str">
            <v>992005504</v>
          </cell>
          <cell r="B1002">
            <v>99</v>
          </cell>
          <cell r="C1002">
            <v>200</v>
          </cell>
          <cell r="D1002" t="str">
            <v>5504</v>
          </cell>
          <cell r="E1002" t="str">
            <v>Q</v>
          </cell>
          <cell r="F1002">
            <v>4</v>
          </cell>
        </row>
        <row r="1003">
          <cell r="A1003" t="str">
            <v>993005504</v>
          </cell>
          <cell r="B1003">
            <v>99</v>
          </cell>
          <cell r="C1003">
            <v>300</v>
          </cell>
          <cell r="D1003" t="str">
            <v>5504</v>
          </cell>
          <cell r="E1003" t="str">
            <v>Q</v>
          </cell>
          <cell r="F1003">
            <v>4</v>
          </cell>
        </row>
        <row r="1004">
          <cell r="A1004" t="str">
            <v>994005504</v>
          </cell>
          <cell r="B1004">
            <v>99</v>
          </cell>
          <cell r="C1004">
            <v>400</v>
          </cell>
          <cell r="D1004" t="str">
            <v>5504</v>
          </cell>
          <cell r="E1004" t="str">
            <v>M</v>
          </cell>
          <cell r="F1004">
            <v>5</v>
          </cell>
        </row>
        <row r="1005">
          <cell r="A1005" t="str">
            <v>995005504</v>
          </cell>
          <cell r="B1005">
            <v>99</v>
          </cell>
          <cell r="C1005">
            <v>500</v>
          </cell>
          <cell r="D1005" t="str">
            <v>5504</v>
          </cell>
          <cell r="E1005" t="str">
            <v>H</v>
          </cell>
          <cell r="F1005">
            <v>2</v>
          </cell>
        </row>
        <row r="1006">
          <cell r="A1006" t="str">
            <v>995015504</v>
          </cell>
          <cell r="B1006">
            <v>99</v>
          </cell>
          <cell r="C1006">
            <v>501</v>
          </cell>
          <cell r="D1006" t="str">
            <v>5504</v>
          </cell>
          <cell r="E1006" t="str">
            <v>Q</v>
          </cell>
          <cell r="F1006">
            <v>2</v>
          </cell>
        </row>
        <row r="1007">
          <cell r="A1007" t="str">
            <v>996005504</v>
          </cell>
          <cell r="B1007">
            <v>99</v>
          </cell>
          <cell r="C1007">
            <v>600</v>
          </cell>
          <cell r="D1007" t="str">
            <v>5504</v>
          </cell>
          <cell r="E1007" t="str">
            <v>M</v>
          </cell>
          <cell r="F1007">
            <v>5</v>
          </cell>
        </row>
        <row r="1008">
          <cell r="A1008" t="str">
            <v>996015504</v>
          </cell>
          <cell r="B1008">
            <v>99</v>
          </cell>
          <cell r="C1008">
            <v>601</v>
          </cell>
          <cell r="D1008" t="str">
            <v>5504</v>
          </cell>
          <cell r="E1008" t="str">
            <v>Q</v>
          </cell>
          <cell r="F1008">
            <v>5</v>
          </cell>
        </row>
        <row r="1009">
          <cell r="A1009" t="str">
            <v>996025504</v>
          </cell>
          <cell r="B1009">
            <v>99</v>
          </cell>
          <cell r="C1009">
            <v>602</v>
          </cell>
          <cell r="D1009" t="str">
            <v>5504</v>
          </cell>
          <cell r="E1009" t="str">
            <v>R</v>
          </cell>
          <cell r="F1009">
            <v>6</v>
          </cell>
        </row>
        <row r="1010">
          <cell r="A1010" t="str">
            <v>996035504</v>
          </cell>
          <cell r="B1010">
            <v>99</v>
          </cell>
          <cell r="C1010">
            <v>603</v>
          </cell>
          <cell r="D1010" t="str">
            <v>5504</v>
          </cell>
          <cell r="E1010" t="str">
            <v>S</v>
          </cell>
          <cell r="F1010">
            <v>6</v>
          </cell>
        </row>
        <row r="1011">
          <cell r="A1011" t="str">
            <v>092005504</v>
          </cell>
          <cell r="B1011" t="str">
            <v>09</v>
          </cell>
          <cell r="C1011">
            <v>200</v>
          </cell>
          <cell r="D1011" t="str">
            <v>5504</v>
          </cell>
          <cell r="E1011" t="str">
            <v>Q</v>
          </cell>
          <cell r="F1011">
            <v>4</v>
          </cell>
        </row>
        <row r="1012">
          <cell r="A1012" t="str">
            <v>093005504</v>
          </cell>
          <cell r="B1012" t="str">
            <v>09</v>
          </cell>
          <cell r="C1012">
            <v>300</v>
          </cell>
          <cell r="D1012" t="str">
            <v>5504</v>
          </cell>
          <cell r="E1012" t="str">
            <v>Q</v>
          </cell>
          <cell r="F1012">
            <v>4</v>
          </cell>
        </row>
        <row r="1013">
          <cell r="A1013" t="str">
            <v>094005504</v>
          </cell>
          <cell r="B1013" t="str">
            <v>09</v>
          </cell>
          <cell r="C1013">
            <v>400</v>
          </cell>
          <cell r="D1013" t="str">
            <v>5504</v>
          </cell>
          <cell r="E1013" t="str">
            <v>M</v>
          </cell>
          <cell r="F1013">
            <v>5</v>
          </cell>
        </row>
        <row r="1014">
          <cell r="A1014" t="str">
            <v>095005504</v>
          </cell>
          <cell r="B1014" t="str">
            <v>09</v>
          </cell>
          <cell r="C1014">
            <v>500</v>
          </cell>
          <cell r="D1014" t="str">
            <v>5504</v>
          </cell>
          <cell r="E1014" t="str">
            <v>H</v>
          </cell>
          <cell r="F1014">
            <v>2</v>
          </cell>
        </row>
        <row r="1015">
          <cell r="A1015" t="str">
            <v>095015504</v>
          </cell>
          <cell r="B1015" t="str">
            <v>09</v>
          </cell>
          <cell r="C1015">
            <v>501</v>
          </cell>
          <cell r="D1015" t="str">
            <v>5504</v>
          </cell>
          <cell r="E1015" t="str">
            <v>Q</v>
          </cell>
          <cell r="F1015">
            <v>2</v>
          </cell>
        </row>
        <row r="1016">
          <cell r="A1016" t="str">
            <v>096005504</v>
          </cell>
          <cell r="B1016" t="str">
            <v>09</v>
          </cell>
          <cell r="C1016">
            <v>600</v>
          </cell>
          <cell r="D1016" t="str">
            <v>5504</v>
          </cell>
          <cell r="E1016" t="str">
            <v>M</v>
          </cell>
          <cell r="F1016">
            <v>5</v>
          </cell>
        </row>
        <row r="1017">
          <cell r="A1017" t="str">
            <v>096015504</v>
          </cell>
          <cell r="B1017" t="str">
            <v>09</v>
          </cell>
          <cell r="C1017">
            <v>601</v>
          </cell>
          <cell r="D1017" t="str">
            <v>5504</v>
          </cell>
          <cell r="E1017" t="str">
            <v>Q</v>
          </cell>
          <cell r="F1017">
            <v>5</v>
          </cell>
        </row>
        <row r="1018">
          <cell r="A1018" t="str">
            <v>096025504</v>
          </cell>
          <cell r="B1018" t="str">
            <v>09</v>
          </cell>
          <cell r="C1018">
            <v>602</v>
          </cell>
          <cell r="D1018" t="str">
            <v>5504</v>
          </cell>
          <cell r="E1018" t="str">
            <v>R</v>
          </cell>
          <cell r="F1018">
            <v>6</v>
          </cell>
        </row>
        <row r="1019">
          <cell r="A1019" t="str">
            <v>096035504</v>
          </cell>
          <cell r="B1019" t="str">
            <v>09</v>
          </cell>
          <cell r="C1019">
            <v>603</v>
          </cell>
          <cell r="D1019" t="str">
            <v>5504</v>
          </cell>
          <cell r="E1019" t="str">
            <v>S</v>
          </cell>
          <cell r="F1019">
            <v>6</v>
          </cell>
        </row>
        <row r="1020">
          <cell r="A1020" t="str">
            <v>992005506</v>
          </cell>
          <cell r="B1020">
            <v>99</v>
          </cell>
          <cell r="C1020">
            <v>200</v>
          </cell>
          <cell r="D1020" t="str">
            <v>5506</v>
          </cell>
          <cell r="E1020" t="str">
            <v>Q</v>
          </cell>
          <cell r="F1020">
            <v>4</v>
          </cell>
        </row>
        <row r="1021">
          <cell r="A1021" t="str">
            <v>993005506</v>
          </cell>
          <cell r="B1021">
            <v>99</v>
          </cell>
          <cell r="C1021">
            <v>300</v>
          </cell>
          <cell r="D1021" t="str">
            <v>5506</v>
          </cell>
          <cell r="E1021" t="str">
            <v>Q</v>
          </cell>
          <cell r="F1021">
            <v>4</v>
          </cell>
        </row>
        <row r="1022">
          <cell r="A1022" t="str">
            <v>994005506</v>
          </cell>
          <cell r="B1022">
            <v>99</v>
          </cell>
          <cell r="C1022">
            <v>400</v>
          </cell>
          <cell r="D1022" t="str">
            <v>5506</v>
          </cell>
          <cell r="E1022" t="str">
            <v>M</v>
          </cell>
          <cell r="F1022">
            <v>5</v>
          </cell>
        </row>
        <row r="1023">
          <cell r="A1023" t="str">
            <v>995005506</v>
          </cell>
          <cell r="B1023">
            <v>99</v>
          </cell>
          <cell r="C1023">
            <v>500</v>
          </cell>
          <cell r="D1023" t="str">
            <v>5506</v>
          </cell>
          <cell r="E1023" t="str">
            <v>H</v>
          </cell>
          <cell r="F1023">
            <v>2</v>
          </cell>
        </row>
        <row r="1024">
          <cell r="A1024" t="str">
            <v>995015506</v>
          </cell>
          <cell r="B1024">
            <v>99</v>
          </cell>
          <cell r="C1024">
            <v>501</v>
          </cell>
          <cell r="D1024" t="str">
            <v>5506</v>
          </cell>
          <cell r="E1024" t="str">
            <v>Q</v>
          </cell>
          <cell r="F1024">
            <v>2</v>
          </cell>
        </row>
        <row r="1025">
          <cell r="A1025" t="str">
            <v>996005506</v>
          </cell>
          <cell r="B1025">
            <v>99</v>
          </cell>
          <cell r="C1025">
            <v>600</v>
          </cell>
          <cell r="D1025" t="str">
            <v>5506</v>
          </cell>
          <cell r="E1025" t="str">
            <v>M</v>
          </cell>
          <cell r="F1025">
            <v>5</v>
          </cell>
        </row>
        <row r="1026">
          <cell r="A1026" t="str">
            <v>996015506</v>
          </cell>
          <cell r="B1026">
            <v>99</v>
          </cell>
          <cell r="C1026">
            <v>601</v>
          </cell>
          <cell r="D1026" t="str">
            <v>5506</v>
          </cell>
          <cell r="E1026" t="str">
            <v>Q</v>
          </cell>
          <cell r="F1026">
            <v>5</v>
          </cell>
        </row>
        <row r="1027">
          <cell r="A1027" t="str">
            <v>996025506</v>
          </cell>
          <cell r="B1027">
            <v>99</v>
          </cell>
          <cell r="C1027">
            <v>602</v>
          </cell>
          <cell r="D1027" t="str">
            <v>5506</v>
          </cell>
          <cell r="E1027" t="str">
            <v>R</v>
          </cell>
          <cell r="F1027">
            <v>6</v>
          </cell>
        </row>
        <row r="1028">
          <cell r="A1028" t="str">
            <v>996035506</v>
          </cell>
          <cell r="B1028">
            <v>99</v>
          </cell>
          <cell r="C1028">
            <v>603</v>
          </cell>
          <cell r="D1028" t="str">
            <v>5506</v>
          </cell>
          <cell r="E1028" t="str">
            <v>S</v>
          </cell>
          <cell r="F1028">
            <v>6</v>
          </cell>
        </row>
        <row r="1029">
          <cell r="A1029" t="str">
            <v>092005506</v>
          </cell>
          <cell r="B1029" t="str">
            <v>09</v>
          </cell>
          <cell r="C1029">
            <v>200</v>
          </cell>
          <cell r="D1029" t="str">
            <v>5506</v>
          </cell>
          <cell r="E1029" t="str">
            <v>Q</v>
          </cell>
          <cell r="F1029">
            <v>4</v>
          </cell>
        </row>
        <row r="1030">
          <cell r="A1030" t="str">
            <v>093005506</v>
          </cell>
          <cell r="B1030" t="str">
            <v>09</v>
          </cell>
          <cell r="C1030">
            <v>300</v>
          </cell>
          <cell r="D1030" t="str">
            <v>5506</v>
          </cell>
          <cell r="E1030" t="str">
            <v>Q</v>
          </cell>
          <cell r="F1030">
            <v>4</v>
          </cell>
        </row>
        <row r="1031">
          <cell r="A1031" t="str">
            <v>094005506</v>
          </cell>
          <cell r="B1031" t="str">
            <v>09</v>
          </cell>
          <cell r="C1031">
            <v>400</v>
          </cell>
          <cell r="D1031" t="str">
            <v>5506</v>
          </cell>
          <cell r="E1031" t="str">
            <v>M</v>
          </cell>
          <cell r="F1031">
            <v>5</v>
          </cell>
        </row>
        <row r="1032">
          <cell r="A1032" t="str">
            <v>095005506</v>
          </cell>
          <cell r="B1032" t="str">
            <v>09</v>
          </cell>
          <cell r="C1032">
            <v>500</v>
          </cell>
          <cell r="D1032" t="str">
            <v>5506</v>
          </cell>
          <cell r="E1032" t="str">
            <v>H</v>
          </cell>
          <cell r="F1032">
            <v>2</v>
          </cell>
        </row>
        <row r="1033">
          <cell r="A1033" t="str">
            <v>095015506</v>
          </cell>
          <cell r="B1033" t="str">
            <v>09</v>
          </cell>
          <cell r="C1033">
            <v>501</v>
          </cell>
          <cell r="D1033" t="str">
            <v>5506</v>
          </cell>
          <cell r="E1033" t="str">
            <v>Q</v>
          </cell>
          <cell r="F1033">
            <v>2</v>
          </cell>
        </row>
        <row r="1034">
          <cell r="A1034" t="str">
            <v>096005506</v>
          </cell>
          <cell r="B1034" t="str">
            <v>09</v>
          </cell>
          <cell r="C1034">
            <v>600</v>
          </cell>
          <cell r="D1034" t="str">
            <v>5506</v>
          </cell>
          <cell r="E1034" t="str">
            <v>M</v>
          </cell>
          <cell r="F1034">
            <v>5</v>
          </cell>
        </row>
        <row r="1035">
          <cell r="A1035" t="str">
            <v>096015506</v>
          </cell>
          <cell r="B1035" t="str">
            <v>09</v>
          </cell>
          <cell r="C1035">
            <v>601</v>
          </cell>
          <cell r="D1035" t="str">
            <v>5506</v>
          </cell>
          <cell r="E1035" t="str">
            <v>Q</v>
          </cell>
          <cell r="F1035">
            <v>5</v>
          </cell>
        </row>
        <row r="1036">
          <cell r="A1036" t="str">
            <v>096025506</v>
          </cell>
          <cell r="B1036" t="str">
            <v>09</v>
          </cell>
          <cell r="C1036">
            <v>602</v>
          </cell>
          <cell r="D1036" t="str">
            <v>5506</v>
          </cell>
          <cell r="E1036" t="str">
            <v>R</v>
          </cell>
          <cell r="F1036">
            <v>6</v>
          </cell>
        </row>
        <row r="1037">
          <cell r="A1037" t="str">
            <v>096035506</v>
          </cell>
          <cell r="B1037" t="str">
            <v>09</v>
          </cell>
          <cell r="C1037">
            <v>603</v>
          </cell>
          <cell r="D1037" t="str">
            <v>5506</v>
          </cell>
          <cell r="E1037" t="str">
            <v>S</v>
          </cell>
          <cell r="F1037">
            <v>6</v>
          </cell>
        </row>
        <row r="1038">
          <cell r="A1038" t="str">
            <v>992005507</v>
          </cell>
          <cell r="B1038">
            <v>99</v>
          </cell>
          <cell r="C1038">
            <v>200</v>
          </cell>
          <cell r="D1038" t="str">
            <v>5507</v>
          </cell>
          <cell r="E1038" t="str">
            <v>Q</v>
          </cell>
          <cell r="F1038">
            <v>4</v>
          </cell>
        </row>
        <row r="1039">
          <cell r="A1039" t="str">
            <v>993005507</v>
          </cell>
          <cell r="B1039">
            <v>99</v>
          </cell>
          <cell r="C1039">
            <v>300</v>
          </cell>
          <cell r="D1039" t="str">
            <v>5507</v>
          </cell>
          <cell r="E1039" t="str">
            <v>Q</v>
          </cell>
          <cell r="F1039">
            <v>4</v>
          </cell>
        </row>
        <row r="1040">
          <cell r="A1040" t="str">
            <v>994005507</v>
          </cell>
          <cell r="B1040">
            <v>99</v>
          </cell>
          <cell r="C1040">
            <v>400</v>
          </cell>
          <cell r="D1040" t="str">
            <v>5507</v>
          </cell>
          <cell r="E1040" t="str">
            <v>Q</v>
          </cell>
          <cell r="F1040">
            <v>5</v>
          </cell>
        </row>
        <row r="1041">
          <cell r="A1041" t="str">
            <v>995005507</v>
          </cell>
          <cell r="B1041">
            <v>99</v>
          </cell>
          <cell r="C1041">
            <v>500</v>
          </cell>
          <cell r="D1041" t="str">
            <v>5507</v>
          </cell>
          <cell r="E1041" t="str">
            <v>Q</v>
          </cell>
          <cell r="F1041">
            <v>4</v>
          </cell>
        </row>
        <row r="1042">
          <cell r="A1042" t="str">
            <v>995015507</v>
          </cell>
          <cell r="B1042">
            <v>99</v>
          </cell>
          <cell r="C1042">
            <v>501</v>
          </cell>
          <cell r="D1042" t="str">
            <v>5507</v>
          </cell>
          <cell r="E1042" t="str">
            <v>Q</v>
          </cell>
          <cell r="F1042">
            <v>4</v>
          </cell>
        </row>
        <row r="1043">
          <cell r="A1043" t="str">
            <v>996005507</v>
          </cell>
          <cell r="B1043">
            <v>99</v>
          </cell>
          <cell r="C1043">
            <v>600</v>
          </cell>
          <cell r="D1043" t="str">
            <v>5507</v>
          </cell>
          <cell r="E1043" t="str">
            <v>Q</v>
          </cell>
          <cell r="F1043">
            <v>5</v>
          </cell>
        </row>
        <row r="1044">
          <cell r="A1044" t="str">
            <v>996015507</v>
          </cell>
          <cell r="B1044">
            <v>99</v>
          </cell>
          <cell r="C1044">
            <v>601</v>
          </cell>
          <cell r="D1044" t="str">
            <v>5507</v>
          </cell>
          <cell r="E1044" t="str">
            <v>Q</v>
          </cell>
          <cell r="F1044">
            <v>5</v>
          </cell>
        </row>
        <row r="1045">
          <cell r="A1045" t="str">
            <v>996025507</v>
          </cell>
          <cell r="B1045">
            <v>99</v>
          </cell>
          <cell r="C1045">
            <v>602</v>
          </cell>
          <cell r="D1045" t="str">
            <v>5507</v>
          </cell>
          <cell r="E1045" t="str">
            <v>R</v>
          </cell>
          <cell r="F1045">
            <v>6</v>
          </cell>
        </row>
        <row r="1046">
          <cell r="A1046" t="str">
            <v>996035507</v>
          </cell>
          <cell r="B1046">
            <v>99</v>
          </cell>
          <cell r="C1046">
            <v>603</v>
          </cell>
          <cell r="D1046" t="str">
            <v>5507</v>
          </cell>
          <cell r="E1046" t="str">
            <v>S</v>
          </cell>
          <cell r="F1046">
            <v>6</v>
          </cell>
        </row>
        <row r="1047">
          <cell r="A1047" t="str">
            <v>092005507</v>
          </cell>
          <cell r="B1047" t="str">
            <v>09</v>
          </cell>
          <cell r="C1047">
            <v>200</v>
          </cell>
          <cell r="D1047" t="str">
            <v>5507</v>
          </cell>
          <cell r="E1047" t="str">
            <v>Q</v>
          </cell>
          <cell r="F1047">
            <v>4</v>
          </cell>
        </row>
        <row r="1048">
          <cell r="A1048" t="str">
            <v>093005507</v>
          </cell>
          <cell r="B1048" t="str">
            <v>09</v>
          </cell>
          <cell r="C1048">
            <v>300</v>
          </cell>
          <cell r="D1048" t="str">
            <v>5507</v>
          </cell>
          <cell r="E1048" t="str">
            <v>Q</v>
          </cell>
          <cell r="F1048">
            <v>4</v>
          </cell>
        </row>
        <row r="1049">
          <cell r="A1049" t="str">
            <v>094005507</v>
          </cell>
          <cell r="B1049" t="str">
            <v>09</v>
          </cell>
          <cell r="C1049">
            <v>400</v>
          </cell>
          <cell r="D1049" t="str">
            <v>5507</v>
          </cell>
          <cell r="E1049" t="str">
            <v>Q</v>
          </cell>
          <cell r="F1049">
            <v>5</v>
          </cell>
        </row>
        <row r="1050">
          <cell r="A1050" t="str">
            <v>095005507</v>
          </cell>
          <cell r="B1050" t="str">
            <v>09</v>
          </cell>
          <cell r="C1050">
            <v>500</v>
          </cell>
          <cell r="D1050" t="str">
            <v>5507</v>
          </cell>
          <cell r="E1050" t="str">
            <v>Q</v>
          </cell>
          <cell r="F1050">
            <v>4</v>
          </cell>
        </row>
        <row r="1051">
          <cell r="A1051" t="str">
            <v>095015507</v>
          </cell>
          <cell r="B1051" t="str">
            <v>09</v>
          </cell>
          <cell r="C1051">
            <v>501</v>
          </cell>
          <cell r="D1051" t="str">
            <v>5507</v>
          </cell>
          <cell r="E1051" t="str">
            <v>Q</v>
          </cell>
          <cell r="F1051">
            <v>4</v>
          </cell>
        </row>
        <row r="1052">
          <cell r="A1052" t="str">
            <v>096005507</v>
          </cell>
          <cell r="B1052" t="str">
            <v>09</v>
          </cell>
          <cell r="C1052">
            <v>600</v>
          </cell>
          <cell r="D1052" t="str">
            <v>5507</v>
          </cell>
          <cell r="E1052" t="str">
            <v>Q</v>
          </cell>
          <cell r="F1052">
            <v>5</v>
          </cell>
        </row>
        <row r="1053">
          <cell r="A1053" t="str">
            <v>096015507</v>
          </cell>
          <cell r="B1053" t="str">
            <v>09</v>
          </cell>
          <cell r="C1053">
            <v>601</v>
          </cell>
          <cell r="D1053" t="str">
            <v>5507</v>
          </cell>
          <cell r="E1053" t="str">
            <v>Q</v>
          </cell>
          <cell r="F1053">
            <v>5</v>
          </cell>
        </row>
        <row r="1054">
          <cell r="A1054" t="str">
            <v>096025507</v>
          </cell>
          <cell r="B1054" t="str">
            <v>09</v>
          </cell>
          <cell r="C1054">
            <v>602</v>
          </cell>
          <cell r="D1054" t="str">
            <v>5507</v>
          </cell>
          <cell r="E1054" t="str">
            <v>R</v>
          </cell>
          <cell r="F1054">
            <v>6</v>
          </cell>
        </row>
        <row r="1055">
          <cell r="A1055" t="str">
            <v>096035507</v>
          </cell>
          <cell r="B1055" t="str">
            <v>09</v>
          </cell>
          <cell r="C1055">
            <v>603</v>
          </cell>
          <cell r="D1055" t="str">
            <v>5507</v>
          </cell>
          <cell r="E1055" t="str">
            <v>S</v>
          </cell>
          <cell r="F1055">
            <v>6</v>
          </cell>
        </row>
        <row r="1056">
          <cell r="A1056" t="str">
            <v>992005550</v>
          </cell>
          <cell r="B1056">
            <v>99</v>
          </cell>
          <cell r="C1056">
            <v>200</v>
          </cell>
          <cell r="D1056" t="str">
            <v>5550</v>
          </cell>
          <cell r="E1056" t="str">
            <v>Q</v>
          </cell>
          <cell r="F1056">
            <v>4</v>
          </cell>
        </row>
        <row r="1057">
          <cell r="A1057" t="str">
            <v>993005550</v>
          </cell>
          <cell r="B1057">
            <v>99</v>
          </cell>
          <cell r="C1057">
            <v>300</v>
          </cell>
          <cell r="D1057" t="str">
            <v>5550</v>
          </cell>
          <cell r="E1057" t="str">
            <v>Q</v>
          </cell>
          <cell r="F1057">
            <v>4</v>
          </cell>
        </row>
        <row r="1058">
          <cell r="A1058" t="str">
            <v>994005550</v>
          </cell>
          <cell r="B1058">
            <v>99</v>
          </cell>
          <cell r="C1058">
            <v>400</v>
          </cell>
          <cell r="D1058" t="str">
            <v>5550</v>
          </cell>
          <cell r="E1058" t="str">
            <v>M</v>
          </cell>
          <cell r="F1058">
            <v>5</v>
          </cell>
        </row>
        <row r="1059">
          <cell r="A1059" t="str">
            <v>995005550</v>
          </cell>
          <cell r="B1059">
            <v>99</v>
          </cell>
          <cell r="C1059">
            <v>500</v>
          </cell>
          <cell r="D1059" t="str">
            <v>5550</v>
          </cell>
          <cell r="E1059" t="str">
            <v>H</v>
          </cell>
          <cell r="F1059">
            <v>2</v>
          </cell>
        </row>
        <row r="1060">
          <cell r="A1060" t="str">
            <v>995015550</v>
          </cell>
          <cell r="B1060">
            <v>99</v>
          </cell>
          <cell r="C1060">
            <v>501</v>
          </cell>
          <cell r="D1060" t="str">
            <v>5550</v>
          </cell>
          <cell r="E1060" t="str">
            <v>Q</v>
          </cell>
          <cell r="F1060">
            <v>2</v>
          </cell>
        </row>
        <row r="1061">
          <cell r="A1061" t="str">
            <v>996005550</v>
          </cell>
          <cell r="B1061">
            <v>99</v>
          </cell>
          <cell r="C1061">
            <v>600</v>
          </cell>
          <cell r="D1061" t="str">
            <v>5550</v>
          </cell>
          <cell r="E1061" t="str">
            <v>M</v>
          </cell>
          <cell r="F1061">
            <v>5</v>
          </cell>
        </row>
        <row r="1062">
          <cell r="A1062" t="str">
            <v>996015550</v>
          </cell>
          <cell r="B1062">
            <v>99</v>
          </cell>
          <cell r="C1062">
            <v>601</v>
          </cell>
          <cell r="D1062" t="str">
            <v>5550</v>
          </cell>
          <cell r="E1062" t="str">
            <v>Q</v>
          </cell>
          <cell r="F1062">
            <v>5</v>
          </cell>
        </row>
        <row r="1063">
          <cell r="A1063" t="str">
            <v>996025550</v>
          </cell>
          <cell r="B1063">
            <v>99</v>
          </cell>
          <cell r="C1063">
            <v>602</v>
          </cell>
          <cell r="D1063" t="str">
            <v>5550</v>
          </cell>
          <cell r="E1063" t="str">
            <v>R</v>
          </cell>
          <cell r="F1063">
            <v>6</v>
          </cell>
        </row>
        <row r="1064">
          <cell r="A1064" t="str">
            <v>996035550</v>
          </cell>
          <cell r="B1064">
            <v>99</v>
          </cell>
          <cell r="C1064">
            <v>603</v>
          </cell>
          <cell r="D1064" t="str">
            <v>5550</v>
          </cell>
          <cell r="E1064" t="str">
            <v>S</v>
          </cell>
          <cell r="F1064">
            <v>6</v>
          </cell>
        </row>
        <row r="1065">
          <cell r="A1065" t="str">
            <v>092005550</v>
          </cell>
          <cell r="B1065" t="str">
            <v>09</v>
          </cell>
          <cell r="C1065">
            <v>200</v>
          </cell>
          <cell r="D1065" t="str">
            <v>5550</v>
          </cell>
          <cell r="E1065" t="str">
            <v>Q</v>
          </cell>
          <cell r="F1065">
            <v>4</v>
          </cell>
        </row>
        <row r="1066">
          <cell r="A1066" t="str">
            <v>093005550</v>
          </cell>
          <cell r="B1066" t="str">
            <v>09</v>
          </cell>
          <cell r="C1066">
            <v>300</v>
          </cell>
          <cell r="D1066" t="str">
            <v>5550</v>
          </cell>
          <cell r="E1066" t="str">
            <v>Q</v>
          </cell>
          <cell r="F1066">
            <v>4</v>
          </cell>
        </row>
        <row r="1067">
          <cell r="A1067" t="str">
            <v>094005550</v>
          </cell>
          <cell r="B1067" t="str">
            <v>09</v>
          </cell>
          <cell r="C1067">
            <v>400</v>
          </cell>
          <cell r="D1067" t="str">
            <v>5550</v>
          </cell>
          <cell r="E1067" t="str">
            <v>M</v>
          </cell>
          <cell r="F1067">
            <v>5</v>
          </cell>
        </row>
        <row r="1068">
          <cell r="A1068" t="str">
            <v>095005550</v>
          </cell>
          <cell r="B1068" t="str">
            <v>09</v>
          </cell>
          <cell r="C1068">
            <v>500</v>
          </cell>
          <cell r="D1068" t="str">
            <v>5550</v>
          </cell>
          <cell r="E1068" t="str">
            <v>H</v>
          </cell>
          <cell r="F1068">
            <v>2</v>
          </cell>
        </row>
        <row r="1069">
          <cell r="A1069" t="str">
            <v>095015550</v>
          </cell>
          <cell r="B1069" t="str">
            <v>09</v>
          </cell>
          <cell r="C1069">
            <v>501</v>
          </cell>
          <cell r="D1069" t="str">
            <v>5550</v>
          </cell>
          <cell r="E1069" t="str">
            <v>Q</v>
          </cell>
          <cell r="F1069">
            <v>2</v>
          </cell>
        </row>
        <row r="1070">
          <cell r="A1070" t="str">
            <v>096005550</v>
          </cell>
          <cell r="B1070" t="str">
            <v>09</v>
          </cell>
          <cell r="C1070">
            <v>600</v>
          </cell>
          <cell r="D1070" t="str">
            <v>5550</v>
          </cell>
          <cell r="E1070" t="str">
            <v>M</v>
          </cell>
          <cell r="F1070">
            <v>5</v>
          </cell>
        </row>
        <row r="1071">
          <cell r="A1071" t="str">
            <v>096015550</v>
          </cell>
          <cell r="B1071" t="str">
            <v>09</v>
          </cell>
          <cell r="C1071">
            <v>601</v>
          </cell>
          <cell r="D1071" t="str">
            <v>5550</v>
          </cell>
          <cell r="E1071" t="str">
            <v>Q</v>
          </cell>
          <cell r="F1071">
            <v>5</v>
          </cell>
        </row>
        <row r="1072">
          <cell r="A1072" t="str">
            <v>096025550</v>
          </cell>
          <cell r="B1072" t="str">
            <v>09</v>
          </cell>
          <cell r="C1072">
            <v>602</v>
          </cell>
          <cell r="D1072" t="str">
            <v>5550</v>
          </cell>
          <cell r="E1072" t="str">
            <v>R</v>
          </cell>
          <cell r="F1072">
            <v>6</v>
          </cell>
        </row>
        <row r="1073">
          <cell r="A1073" t="str">
            <v>096035550</v>
          </cell>
          <cell r="B1073" t="str">
            <v>09</v>
          </cell>
          <cell r="C1073">
            <v>603</v>
          </cell>
          <cell r="D1073" t="str">
            <v>5550</v>
          </cell>
          <cell r="E1073" t="str">
            <v>S</v>
          </cell>
          <cell r="F1073">
            <v>6</v>
          </cell>
        </row>
        <row r="1074">
          <cell r="A1074" t="str">
            <v>992005600</v>
          </cell>
          <cell r="B1074">
            <v>99</v>
          </cell>
          <cell r="C1074">
            <v>200</v>
          </cell>
          <cell r="D1074" t="str">
            <v>5600</v>
          </cell>
          <cell r="E1074" t="str">
            <v>Q</v>
          </cell>
          <cell r="F1074">
            <v>4</v>
          </cell>
        </row>
        <row r="1075">
          <cell r="A1075" t="str">
            <v>993005600</v>
          </cell>
          <cell r="B1075">
            <v>99</v>
          </cell>
          <cell r="C1075">
            <v>300</v>
          </cell>
          <cell r="D1075" t="str">
            <v>5600</v>
          </cell>
          <cell r="E1075" t="str">
            <v>Q</v>
          </cell>
          <cell r="F1075">
            <v>4</v>
          </cell>
        </row>
        <row r="1076">
          <cell r="A1076" t="str">
            <v>994005600</v>
          </cell>
          <cell r="B1076">
            <v>99</v>
          </cell>
          <cell r="C1076">
            <v>400</v>
          </cell>
          <cell r="D1076" t="str">
            <v>5600</v>
          </cell>
          <cell r="E1076" t="str">
            <v>M</v>
          </cell>
          <cell r="F1076">
            <v>5</v>
          </cell>
        </row>
        <row r="1077">
          <cell r="A1077" t="str">
            <v>995005600</v>
          </cell>
          <cell r="B1077">
            <v>99</v>
          </cell>
          <cell r="C1077">
            <v>500</v>
          </cell>
          <cell r="D1077" t="str">
            <v>5600</v>
          </cell>
          <cell r="E1077" t="str">
            <v>H</v>
          </cell>
          <cell r="F1077">
            <v>2</v>
          </cell>
        </row>
        <row r="1078">
          <cell r="A1078" t="str">
            <v>995015600</v>
          </cell>
          <cell r="B1078">
            <v>99</v>
          </cell>
          <cell r="C1078">
            <v>501</v>
          </cell>
          <cell r="D1078" t="str">
            <v>5600</v>
          </cell>
          <cell r="E1078" t="str">
            <v>Q</v>
          </cell>
          <cell r="F1078">
            <v>2</v>
          </cell>
        </row>
        <row r="1079">
          <cell r="A1079" t="str">
            <v>996005600</v>
          </cell>
          <cell r="B1079">
            <v>99</v>
          </cell>
          <cell r="C1079">
            <v>600</v>
          </cell>
          <cell r="D1079" t="str">
            <v>5600</v>
          </cell>
          <cell r="E1079" t="str">
            <v>M</v>
          </cell>
          <cell r="F1079">
            <v>5</v>
          </cell>
        </row>
        <row r="1080">
          <cell r="A1080" t="str">
            <v>996015600</v>
          </cell>
          <cell r="B1080">
            <v>99</v>
          </cell>
          <cell r="C1080">
            <v>601</v>
          </cell>
          <cell r="D1080" t="str">
            <v>5600</v>
          </cell>
          <cell r="E1080" t="str">
            <v>Q</v>
          </cell>
          <cell r="F1080">
            <v>5</v>
          </cell>
        </row>
        <row r="1081">
          <cell r="A1081" t="str">
            <v>996025600</v>
          </cell>
          <cell r="B1081">
            <v>99</v>
          </cell>
          <cell r="C1081">
            <v>602</v>
          </cell>
          <cell r="D1081" t="str">
            <v>5600</v>
          </cell>
          <cell r="E1081" t="str">
            <v>R</v>
          </cell>
          <cell r="F1081">
            <v>6</v>
          </cell>
        </row>
        <row r="1082">
          <cell r="A1082" t="str">
            <v>996035600</v>
          </cell>
          <cell r="B1082">
            <v>99</v>
          </cell>
          <cell r="C1082">
            <v>603</v>
          </cell>
          <cell r="D1082" t="str">
            <v>5600</v>
          </cell>
          <cell r="E1082" t="str">
            <v>S</v>
          </cell>
          <cell r="F1082">
            <v>6</v>
          </cell>
        </row>
        <row r="1083">
          <cell r="A1083" t="str">
            <v>092005600</v>
          </cell>
          <cell r="B1083" t="str">
            <v>09</v>
          </cell>
          <cell r="C1083">
            <v>200</v>
          </cell>
          <cell r="D1083" t="str">
            <v>5600</v>
          </cell>
          <cell r="E1083" t="str">
            <v>Q</v>
          </cell>
          <cell r="F1083">
            <v>4</v>
          </cell>
        </row>
        <row r="1084">
          <cell r="A1084" t="str">
            <v>093005600</v>
          </cell>
          <cell r="B1084" t="str">
            <v>09</v>
          </cell>
          <cell r="C1084">
            <v>300</v>
          </cell>
          <cell r="D1084" t="str">
            <v>5600</v>
          </cell>
          <cell r="E1084" t="str">
            <v>Q</v>
          </cell>
          <cell r="F1084">
            <v>4</v>
          </cell>
        </row>
        <row r="1085">
          <cell r="A1085" t="str">
            <v>094005600</v>
          </cell>
          <cell r="B1085" t="str">
            <v>09</v>
          </cell>
          <cell r="C1085">
            <v>400</v>
          </cell>
          <cell r="D1085" t="str">
            <v>5600</v>
          </cell>
          <cell r="E1085" t="str">
            <v>M</v>
          </cell>
          <cell r="F1085">
            <v>5</v>
          </cell>
        </row>
        <row r="1086">
          <cell r="A1086" t="str">
            <v>095005600</v>
          </cell>
          <cell r="B1086" t="str">
            <v>09</v>
          </cell>
          <cell r="C1086">
            <v>500</v>
          </cell>
          <cell r="D1086" t="str">
            <v>5600</v>
          </cell>
          <cell r="E1086" t="str">
            <v>H</v>
          </cell>
          <cell r="F1086">
            <v>2</v>
          </cell>
        </row>
        <row r="1087">
          <cell r="A1087" t="str">
            <v>095015600</v>
          </cell>
          <cell r="B1087" t="str">
            <v>09</v>
          </cell>
          <cell r="C1087">
            <v>501</v>
          </cell>
          <cell r="D1087" t="str">
            <v>5600</v>
          </cell>
          <cell r="E1087" t="str">
            <v>Q</v>
          </cell>
          <cell r="F1087">
            <v>2</v>
          </cell>
        </row>
        <row r="1088">
          <cell r="A1088" t="str">
            <v>096005600</v>
          </cell>
          <cell r="B1088" t="str">
            <v>09</v>
          </cell>
          <cell r="C1088">
            <v>600</v>
          </cell>
          <cell r="D1088" t="str">
            <v>5600</v>
          </cell>
          <cell r="E1088" t="str">
            <v>M</v>
          </cell>
          <cell r="F1088">
            <v>5</v>
          </cell>
        </row>
        <row r="1089">
          <cell r="A1089" t="str">
            <v>096015600</v>
          </cell>
          <cell r="B1089" t="str">
            <v>09</v>
          </cell>
          <cell r="C1089">
            <v>601</v>
          </cell>
          <cell r="D1089" t="str">
            <v>5600</v>
          </cell>
          <cell r="E1089" t="str">
            <v>Q</v>
          </cell>
          <cell r="F1089">
            <v>5</v>
          </cell>
        </row>
        <row r="1090">
          <cell r="A1090" t="str">
            <v>096025600</v>
          </cell>
          <cell r="B1090" t="str">
            <v>09</v>
          </cell>
          <cell r="C1090">
            <v>602</v>
          </cell>
          <cell r="D1090" t="str">
            <v>5600</v>
          </cell>
          <cell r="E1090" t="str">
            <v>R</v>
          </cell>
          <cell r="F1090">
            <v>6</v>
          </cell>
        </row>
        <row r="1091">
          <cell r="A1091" t="str">
            <v>096035600</v>
          </cell>
          <cell r="B1091" t="str">
            <v>09</v>
          </cell>
          <cell r="C1091">
            <v>603</v>
          </cell>
          <cell r="D1091" t="str">
            <v>5600</v>
          </cell>
          <cell r="E1091" t="str">
            <v>S</v>
          </cell>
          <cell r="F1091">
            <v>6</v>
          </cell>
        </row>
        <row r="1092">
          <cell r="A1092" t="str">
            <v>992005608</v>
          </cell>
          <cell r="B1092">
            <v>99</v>
          </cell>
          <cell r="C1092">
            <v>200</v>
          </cell>
          <cell r="D1092" t="str">
            <v>5608</v>
          </cell>
          <cell r="E1092" t="str">
            <v>Q</v>
          </cell>
          <cell r="F1092">
            <v>4</v>
          </cell>
        </row>
        <row r="1093">
          <cell r="A1093" t="str">
            <v>993005608</v>
          </cell>
          <cell r="B1093">
            <v>99</v>
          </cell>
          <cell r="C1093">
            <v>300</v>
          </cell>
          <cell r="D1093" t="str">
            <v>5608</v>
          </cell>
          <cell r="E1093" t="str">
            <v>Q</v>
          </cell>
          <cell r="F1093">
            <v>4</v>
          </cell>
        </row>
        <row r="1094">
          <cell r="A1094" t="str">
            <v>994005608</v>
          </cell>
          <cell r="B1094">
            <v>99</v>
          </cell>
          <cell r="C1094">
            <v>400</v>
          </cell>
          <cell r="D1094" t="str">
            <v>5608</v>
          </cell>
          <cell r="E1094" t="str">
            <v>M</v>
          </cell>
          <cell r="F1094">
            <v>5</v>
          </cell>
        </row>
        <row r="1095">
          <cell r="A1095" t="str">
            <v>995005608</v>
          </cell>
          <cell r="B1095">
            <v>99</v>
          </cell>
          <cell r="C1095">
            <v>500</v>
          </cell>
          <cell r="D1095" t="str">
            <v>5608</v>
          </cell>
          <cell r="E1095" t="str">
            <v>H</v>
          </cell>
          <cell r="F1095">
            <v>2</v>
          </cell>
        </row>
        <row r="1096">
          <cell r="A1096" t="str">
            <v>995015608</v>
          </cell>
          <cell r="B1096">
            <v>99</v>
          </cell>
          <cell r="C1096">
            <v>501</v>
          </cell>
          <cell r="D1096" t="str">
            <v>5608</v>
          </cell>
          <cell r="E1096" t="str">
            <v>Q</v>
          </cell>
          <cell r="F1096">
            <v>2</v>
          </cell>
        </row>
        <row r="1097">
          <cell r="A1097" t="str">
            <v>996005608</v>
          </cell>
          <cell r="B1097">
            <v>99</v>
          </cell>
          <cell r="C1097">
            <v>600</v>
          </cell>
          <cell r="D1097" t="str">
            <v>5608</v>
          </cell>
          <cell r="E1097" t="str">
            <v>M</v>
          </cell>
          <cell r="F1097">
            <v>5</v>
          </cell>
        </row>
        <row r="1098">
          <cell r="A1098" t="str">
            <v>996015608</v>
          </cell>
          <cell r="B1098">
            <v>99</v>
          </cell>
          <cell r="C1098">
            <v>601</v>
          </cell>
          <cell r="D1098" t="str">
            <v>5608</v>
          </cell>
          <cell r="E1098" t="str">
            <v>Q</v>
          </cell>
          <cell r="F1098">
            <v>5</v>
          </cell>
        </row>
        <row r="1099">
          <cell r="A1099" t="str">
            <v>996025608</v>
          </cell>
          <cell r="B1099">
            <v>99</v>
          </cell>
          <cell r="C1099">
            <v>602</v>
          </cell>
          <cell r="D1099" t="str">
            <v>5608</v>
          </cell>
          <cell r="E1099" t="str">
            <v>R</v>
          </cell>
          <cell r="F1099">
            <v>6</v>
          </cell>
        </row>
        <row r="1100">
          <cell r="A1100" t="str">
            <v>996035608</v>
          </cell>
          <cell r="B1100">
            <v>99</v>
          </cell>
          <cell r="C1100">
            <v>603</v>
          </cell>
          <cell r="D1100" t="str">
            <v>5608</v>
          </cell>
          <cell r="E1100" t="str">
            <v>S</v>
          </cell>
          <cell r="F1100">
            <v>6</v>
          </cell>
        </row>
        <row r="1101">
          <cell r="A1101" t="str">
            <v>092005608</v>
          </cell>
          <cell r="B1101" t="str">
            <v>09</v>
          </cell>
          <cell r="C1101">
            <v>200</v>
          </cell>
          <cell r="D1101" t="str">
            <v>5608</v>
          </cell>
          <cell r="E1101" t="str">
            <v>Q</v>
          </cell>
          <cell r="F1101">
            <v>4</v>
          </cell>
        </row>
        <row r="1102">
          <cell r="A1102" t="str">
            <v>093005608</v>
          </cell>
          <cell r="B1102" t="str">
            <v>09</v>
          </cell>
          <cell r="C1102">
            <v>300</v>
          </cell>
          <cell r="D1102" t="str">
            <v>5608</v>
          </cell>
          <cell r="E1102" t="str">
            <v>Q</v>
          </cell>
          <cell r="F1102">
            <v>4</v>
          </cell>
        </row>
        <row r="1103">
          <cell r="A1103" t="str">
            <v>094005608</v>
          </cell>
          <cell r="B1103" t="str">
            <v>09</v>
          </cell>
          <cell r="C1103">
            <v>400</v>
          </cell>
          <cell r="D1103" t="str">
            <v>5608</v>
          </cell>
          <cell r="E1103" t="str">
            <v>M</v>
          </cell>
          <cell r="F1103">
            <v>5</v>
          </cell>
        </row>
        <row r="1104">
          <cell r="A1104" t="str">
            <v>095005608</v>
          </cell>
          <cell r="B1104" t="str">
            <v>09</v>
          </cell>
          <cell r="C1104">
            <v>500</v>
          </cell>
          <cell r="D1104" t="str">
            <v>5608</v>
          </cell>
          <cell r="E1104" t="str">
            <v>H</v>
          </cell>
          <cell r="F1104">
            <v>2</v>
          </cell>
        </row>
        <row r="1105">
          <cell r="A1105" t="str">
            <v>095015608</v>
          </cell>
          <cell r="B1105" t="str">
            <v>09</v>
          </cell>
          <cell r="C1105">
            <v>501</v>
          </cell>
          <cell r="D1105" t="str">
            <v>5608</v>
          </cell>
          <cell r="E1105" t="str">
            <v>Q</v>
          </cell>
          <cell r="F1105">
            <v>2</v>
          </cell>
        </row>
        <row r="1106">
          <cell r="A1106" t="str">
            <v>096005608</v>
          </cell>
          <cell r="B1106" t="str">
            <v>09</v>
          </cell>
          <cell r="C1106">
            <v>600</v>
          </cell>
          <cell r="D1106" t="str">
            <v>5608</v>
          </cell>
          <cell r="E1106" t="str">
            <v>M</v>
          </cell>
          <cell r="F1106">
            <v>5</v>
          </cell>
        </row>
        <row r="1107">
          <cell r="A1107" t="str">
            <v>096015608</v>
          </cell>
          <cell r="B1107" t="str">
            <v>09</v>
          </cell>
          <cell r="C1107">
            <v>601</v>
          </cell>
          <cell r="D1107" t="str">
            <v>5608</v>
          </cell>
          <cell r="E1107" t="str">
            <v>Q</v>
          </cell>
          <cell r="F1107">
            <v>5</v>
          </cell>
        </row>
        <row r="1108">
          <cell r="A1108" t="str">
            <v>096025608</v>
          </cell>
          <cell r="B1108" t="str">
            <v>09</v>
          </cell>
          <cell r="C1108">
            <v>602</v>
          </cell>
          <cell r="D1108" t="str">
            <v>5608</v>
          </cell>
          <cell r="E1108" t="str">
            <v>R</v>
          </cell>
          <cell r="F1108">
            <v>6</v>
          </cell>
        </row>
        <row r="1109">
          <cell r="A1109" t="str">
            <v>096035608</v>
          </cell>
          <cell r="B1109" t="str">
            <v>09</v>
          </cell>
          <cell r="C1109">
            <v>603</v>
          </cell>
          <cell r="D1109" t="str">
            <v>5608</v>
          </cell>
          <cell r="E1109" t="str">
            <v>S</v>
          </cell>
          <cell r="F1109">
            <v>6</v>
          </cell>
        </row>
        <row r="1110">
          <cell r="A1110" t="str">
            <v>992005609</v>
          </cell>
          <cell r="B1110">
            <v>99</v>
          </cell>
          <cell r="C1110">
            <v>200</v>
          </cell>
          <cell r="D1110" t="str">
            <v>5609</v>
          </cell>
          <cell r="E1110" t="str">
            <v>Q</v>
          </cell>
          <cell r="F1110">
            <v>4</v>
          </cell>
        </row>
        <row r="1111">
          <cell r="A1111" t="str">
            <v>993005609</v>
          </cell>
          <cell r="B1111">
            <v>99</v>
          </cell>
          <cell r="C1111">
            <v>300</v>
          </cell>
          <cell r="D1111" t="str">
            <v>5609</v>
          </cell>
          <cell r="E1111" t="str">
            <v>Q</v>
          </cell>
          <cell r="F1111">
            <v>4</v>
          </cell>
        </row>
        <row r="1112">
          <cell r="A1112" t="str">
            <v>994005609</v>
          </cell>
          <cell r="B1112">
            <v>99</v>
          </cell>
          <cell r="C1112">
            <v>400</v>
          </cell>
          <cell r="D1112" t="str">
            <v>5609</v>
          </cell>
          <cell r="E1112" t="str">
            <v>M</v>
          </cell>
          <cell r="F1112">
            <v>5</v>
          </cell>
        </row>
        <row r="1113">
          <cell r="A1113" t="str">
            <v>995005609</v>
          </cell>
          <cell r="B1113">
            <v>99</v>
          </cell>
          <cell r="C1113">
            <v>500</v>
          </cell>
          <cell r="D1113" t="str">
            <v>5609</v>
          </cell>
          <cell r="E1113" t="str">
            <v>H</v>
          </cell>
          <cell r="F1113">
            <v>2</v>
          </cell>
        </row>
        <row r="1114">
          <cell r="A1114" t="str">
            <v>995015609</v>
          </cell>
          <cell r="B1114">
            <v>99</v>
          </cell>
          <cell r="C1114">
            <v>501</v>
          </cell>
          <cell r="D1114" t="str">
            <v>5609</v>
          </cell>
          <cell r="E1114" t="str">
            <v>Q</v>
          </cell>
          <cell r="F1114">
            <v>2</v>
          </cell>
        </row>
        <row r="1115">
          <cell r="A1115" t="str">
            <v>996005609</v>
          </cell>
          <cell r="B1115">
            <v>99</v>
          </cell>
          <cell r="C1115">
            <v>600</v>
          </cell>
          <cell r="D1115" t="str">
            <v>5609</v>
          </cell>
          <cell r="E1115" t="str">
            <v>M</v>
          </cell>
          <cell r="F1115">
            <v>5</v>
          </cell>
        </row>
        <row r="1116">
          <cell r="A1116" t="str">
            <v>996015609</v>
          </cell>
          <cell r="B1116">
            <v>99</v>
          </cell>
          <cell r="C1116">
            <v>601</v>
          </cell>
          <cell r="D1116" t="str">
            <v>5609</v>
          </cell>
          <cell r="E1116" t="str">
            <v>Q</v>
          </cell>
          <cell r="F1116">
            <v>5</v>
          </cell>
        </row>
        <row r="1117">
          <cell r="A1117" t="str">
            <v>996025609</v>
          </cell>
          <cell r="B1117">
            <v>99</v>
          </cell>
          <cell r="C1117">
            <v>602</v>
          </cell>
          <cell r="D1117" t="str">
            <v>5609</v>
          </cell>
          <cell r="E1117" t="str">
            <v>R</v>
          </cell>
          <cell r="F1117">
            <v>6</v>
          </cell>
        </row>
        <row r="1118">
          <cell r="A1118" t="str">
            <v>996035609</v>
          </cell>
          <cell r="B1118">
            <v>99</v>
          </cell>
          <cell r="C1118">
            <v>603</v>
          </cell>
          <cell r="D1118" t="str">
            <v>5609</v>
          </cell>
          <cell r="E1118" t="str">
            <v>S</v>
          </cell>
          <cell r="F1118">
            <v>6</v>
          </cell>
        </row>
        <row r="1119">
          <cell r="A1119" t="str">
            <v>092005609</v>
          </cell>
          <cell r="B1119" t="str">
            <v>09</v>
          </cell>
          <cell r="C1119">
            <v>200</v>
          </cell>
          <cell r="D1119" t="str">
            <v>5609</v>
          </cell>
          <cell r="E1119" t="str">
            <v>Q</v>
          </cell>
          <cell r="F1119">
            <v>4</v>
          </cell>
        </row>
        <row r="1120">
          <cell r="A1120" t="str">
            <v>093005609</v>
          </cell>
          <cell r="B1120" t="str">
            <v>09</v>
          </cell>
          <cell r="C1120">
            <v>300</v>
          </cell>
          <cell r="D1120" t="str">
            <v>5609</v>
          </cell>
          <cell r="E1120" t="str">
            <v>Q</v>
          </cell>
          <cell r="F1120">
            <v>4</v>
          </cell>
        </row>
        <row r="1121">
          <cell r="A1121" t="str">
            <v>094005609</v>
          </cell>
          <cell r="B1121" t="str">
            <v>09</v>
          </cell>
          <cell r="C1121">
            <v>400</v>
          </cell>
          <cell r="D1121" t="str">
            <v>5609</v>
          </cell>
          <cell r="E1121" t="str">
            <v>M</v>
          </cell>
          <cell r="F1121">
            <v>5</v>
          </cell>
        </row>
        <row r="1122">
          <cell r="A1122" t="str">
            <v>095005609</v>
          </cell>
          <cell r="B1122" t="str">
            <v>09</v>
          </cell>
          <cell r="C1122">
            <v>500</v>
          </cell>
          <cell r="D1122" t="str">
            <v>5609</v>
          </cell>
          <cell r="E1122" t="str">
            <v>H</v>
          </cell>
          <cell r="F1122">
            <v>2</v>
          </cell>
        </row>
        <row r="1123">
          <cell r="A1123" t="str">
            <v>095015609</v>
          </cell>
          <cell r="B1123" t="str">
            <v>09</v>
          </cell>
          <cell r="C1123">
            <v>501</v>
          </cell>
          <cell r="D1123" t="str">
            <v>5609</v>
          </cell>
          <cell r="E1123" t="str">
            <v>Q</v>
          </cell>
          <cell r="F1123">
            <v>2</v>
          </cell>
        </row>
        <row r="1124">
          <cell r="A1124" t="str">
            <v>096005609</v>
          </cell>
          <cell r="B1124" t="str">
            <v>09</v>
          </cell>
          <cell r="C1124">
            <v>600</v>
          </cell>
          <cell r="D1124" t="str">
            <v>5609</v>
          </cell>
          <cell r="E1124" t="str">
            <v>M</v>
          </cell>
          <cell r="F1124">
            <v>5</v>
          </cell>
        </row>
        <row r="1125">
          <cell r="A1125" t="str">
            <v>096015609</v>
          </cell>
          <cell r="B1125" t="str">
            <v>09</v>
          </cell>
          <cell r="C1125">
            <v>601</v>
          </cell>
          <cell r="D1125" t="str">
            <v>5609</v>
          </cell>
          <cell r="E1125" t="str">
            <v>Q</v>
          </cell>
          <cell r="F1125">
            <v>5</v>
          </cell>
        </row>
        <row r="1126">
          <cell r="A1126" t="str">
            <v>096025609</v>
          </cell>
          <cell r="B1126" t="str">
            <v>09</v>
          </cell>
          <cell r="C1126">
            <v>602</v>
          </cell>
          <cell r="D1126" t="str">
            <v>5609</v>
          </cell>
          <cell r="E1126" t="str">
            <v>R</v>
          </cell>
          <cell r="F1126">
            <v>6</v>
          </cell>
        </row>
        <row r="1127">
          <cell r="A1127" t="str">
            <v>096035609</v>
          </cell>
          <cell r="B1127" t="str">
            <v>09</v>
          </cell>
          <cell r="C1127">
            <v>603</v>
          </cell>
          <cell r="D1127" t="str">
            <v>5609</v>
          </cell>
          <cell r="E1127" t="str">
            <v>S</v>
          </cell>
          <cell r="F1127">
            <v>6</v>
          </cell>
        </row>
        <row r="1128">
          <cell r="A1128" t="str">
            <v>992005611</v>
          </cell>
          <cell r="B1128">
            <v>99</v>
          </cell>
          <cell r="C1128">
            <v>200</v>
          </cell>
          <cell r="D1128" t="str">
            <v>5611</v>
          </cell>
          <cell r="E1128" t="str">
            <v>Q</v>
          </cell>
          <cell r="F1128">
            <v>4</v>
          </cell>
        </row>
        <row r="1129">
          <cell r="A1129" t="str">
            <v>993005611</v>
          </cell>
          <cell r="B1129">
            <v>99</v>
          </cell>
          <cell r="C1129">
            <v>300</v>
          </cell>
          <cell r="D1129" t="str">
            <v>5611</v>
          </cell>
          <cell r="E1129" t="str">
            <v>Q</v>
          </cell>
          <cell r="F1129">
            <v>4</v>
          </cell>
        </row>
        <row r="1130">
          <cell r="A1130" t="str">
            <v>994005611</v>
          </cell>
          <cell r="B1130">
            <v>99</v>
          </cell>
          <cell r="C1130">
            <v>400</v>
          </cell>
          <cell r="D1130" t="str">
            <v>5611</v>
          </cell>
          <cell r="E1130" t="str">
            <v>M</v>
          </cell>
          <cell r="F1130">
            <v>5</v>
          </cell>
        </row>
        <row r="1131">
          <cell r="A1131" t="str">
            <v>995005611</v>
          </cell>
          <cell r="B1131">
            <v>99</v>
          </cell>
          <cell r="C1131">
            <v>500</v>
          </cell>
          <cell r="D1131" t="str">
            <v>5611</v>
          </cell>
          <cell r="E1131" t="str">
            <v>H</v>
          </cell>
          <cell r="F1131">
            <v>2</v>
          </cell>
        </row>
        <row r="1132">
          <cell r="A1132" t="str">
            <v>995015611</v>
          </cell>
          <cell r="B1132">
            <v>99</v>
          </cell>
          <cell r="C1132">
            <v>501</v>
          </cell>
          <cell r="D1132" t="str">
            <v>5611</v>
          </cell>
          <cell r="E1132" t="str">
            <v>Q</v>
          </cell>
          <cell r="F1132">
            <v>2</v>
          </cell>
        </row>
        <row r="1133">
          <cell r="A1133" t="str">
            <v>996005611</v>
          </cell>
          <cell r="B1133">
            <v>99</v>
          </cell>
          <cell r="C1133">
            <v>600</v>
          </cell>
          <cell r="D1133" t="str">
            <v>5611</v>
          </cell>
          <cell r="E1133" t="str">
            <v>M</v>
          </cell>
          <cell r="F1133">
            <v>5</v>
          </cell>
        </row>
        <row r="1134">
          <cell r="A1134" t="str">
            <v>996015611</v>
          </cell>
          <cell r="B1134">
            <v>99</v>
          </cell>
          <cell r="C1134">
            <v>601</v>
          </cell>
          <cell r="D1134" t="str">
            <v>5611</v>
          </cell>
          <cell r="E1134" t="str">
            <v>Q</v>
          </cell>
          <cell r="F1134">
            <v>5</v>
          </cell>
        </row>
        <row r="1135">
          <cell r="A1135" t="str">
            <v>996025611</v>
          </cell>
          <cell r="B1135">
            <v>99</v>
          </cell>
          <cell r="C1135">
            <v>602</v>
          </cell>
          <cell r="D1135" t="str">
            <v>5611</v>
          </cell>
          <cell r="E1135" t="str">
            <v>R</v>
          </cell>
          <cell r="F1135">
            <v>6</v>
          </cell>
        </row>
        <row r="1136">
          <cell r="A1136" t="str">
            <v>996035611</v>
          </cell>
          <cell r="B1136">
            <v>99</v>
          </cell>
          <cell r="C1136">
            <v>603</v>
          </cell>
          <cell r="D1136" t="str">
            <v>5611</v>
          </cell>
          <cell r="E1136" t="str">
            <v>S</v>
          </cell>
          <cell r="F1136">
            <v>6</v>
          </cell>
        </row>
        <row r="1137">
          <cell r="A1137" t="str">
            <v>092005611</v>
          </cell>
          <cell r="B1137" t="str">
            <v>09</v>
          </cell>
          <cell r="C1137">
            <v>200</v>
          </cell>
          <cell r="D1137" t="str">
            <v>5611</v>
          </cell>
          <cell r="E1137" t="str">
            <v>Q</v>
          </cell>
          <cell r="F1137">
            <v>4</v>
          </cell>
        </row>
        <row r="1138">
          <cell r="A1138" t="str">
            <v>093005611</v>
          </cell>
          <cell r="B1138" t="str">
            <v>09</v>
          </cell>
          <cell r="C1138">
            <v>300</v>
          </cell>
          <cell r="D1138" t="str">
            <v>5611</v>
          </cell>
          <cell r="E1138" t="str">
            <v>Q</v>
          </cell>
          <cell r="F1138">
            <v>4</v>
          </cell>
        </row>
        <row r="1139">
          <cell r="A1139" t="str">
            <v>094005611</v>
          </cell>
          <cell r="B1139" t="str">
            <v>09</v>
          </cell>
          <cell r="C1139">
            <v>400</v>
          </cell>
          <cell r="D1139" t="str">
            <v>5611</v>
          </cell>
          <cell r="E1139" t="str">
            <v>M</v>
          </cell>
          <cell r="F1139">
            <v>5</v>
          </cell>
        </row>
        <row r="1140">
          <cell r="A1140" t="str">
            <v>095005611</v>
          </cell>
          <cell r="B1140" t="str">
            <v>09</v>
          </cell>
          <cell r="C1140">
            <v>500</v>
          </cell>
          <cell r="D1140" t="str">
            <v>5611</v>
          </cell>
          <cell r="E1140" t="str">
            <v>H</v>
          </cell>
          <cell r="F1140">
            <v>2</v>
          </cell>
        </row>
        <row r="1141">
          <cell r="A1141" t="str">
            <v>095015611</v>
          </cell>
          <cell r="B1141" t="str">
            <v>09</v>
          </cell>
          <cell r="C1141">
            <v>501</v>
          </cell>
          <cell r="D1141" t="str">
            <v>5611</v>
          </cell>
          <cell r="E1141" t="str">
            <v>Q</v>
          </cell>
          <cell r="F1141">
            <v>2</v>
          </cell>
        </row>
        <row r="1142">
          <cell r="A1142" t="str">
            <v>096005611</v>
          </cell>
          <cell r="B1142" t="str">
            <v>09</v>
          </cell>
          <cell r="C1142">
            <v>600</v>
          </cell>
          <cell r="D1142" t="str">
            <v>5611</v>
          </cell>
          <cell r="E1142" t="str">
            <v>M</v>
          </cell>
          <cell r="F1142">
            <v>5</v>
          </cell>
        </row>
        <row r="1143">
          <cell r="A1143" t="str">
            <v>096015611</v>
          </cell>
          <cell r="B1143" t="str">
            <v>09</v>
          </cell>
          <cell r="C1143">
            <v>601</v>
          </cell>
          <cell r="D1143" t="str">
            <v>5611</v>
          </cell>
          <cell r="E1143" t="str">
            <v>Q</v>
          </cell>
          <cell r="F1143">
            <v>5</v>
          </cell>
        </row>
        <row r="1144">
          <cell r="A1144" t="str">
            <v>096025611</v>
          </cell>
          <cell r="B1144" t="str">
            <v>09</v>
          </cell>
          <cell r="C1144">
            <v>602</v>
          </cell>
          <cell r="D1144" t="str">
            <v>5611</v>
          </cell>
          <cell r="E1144" t="str">
            <v>R</v>
          </cell>
          <cell r="F1144">
            <v>6</v>
          </cell>
        </row>
        <row r="1145">
          <cell r="A1145" t="str">
            <v>096035611</v>
          </cell>
          <cell r="B1145" t="str">
            <v>09</v>
          </cell>
          <cell r="C1145">
            <v>603</v>
          </cell>
          <cell r="D1145" t="str">
            <v>5611</v>
          </cell>
          <cell r="E1145" t="str">
            <v>S</v>
          </cell>
          <cell r="F1145">
            <v>6</v>
          </cell>
        </row>
        <row r="1146">
          <cell r="A1146" t="str">
            <v>992005612</v>
          </cell>
          <cell r="B1146">
            <v>99</v>
          </cell>
          <cell r="C1146">
            <v>200</v>
          </cell>
          <cell r="D1146" t="str">
            <v>5612</v>
          </cell>
          <cell r="E1146" t="str">
            <v>Q</v>
          </cell>
          <cell r="F1146">
            <v>4</v>
          </cell>
        </row>
        <row r="1147">
          <cell r="A1147" t="str">
            <v>993005612</v>
          </cell>
          <cell r="B1147">
            <v>99</v>
          </cell>
          <cell r="C1147">
            <v>300</v>
          </cell>
          <cell r="D1147" t="str">
            <v>5612</v>
          </cell>
          <cell r="E1147" t="str">
            <v>Q</v>
          </cell>
          <cell r="F1147">
            <v>4</v>
          </cell>
        </row>
        <row r="1148">
          <cell r="A1148" t="str">
            <v>994005612</v>
          </cell>
          <cell r="B1148">
            <v>99</v>
          </cell>
          <cell r="C1148">
            <v>400</v>
          </cell>
          <cell r="D1148" t="str">
            <v>5612</v>
          </cell>
          <cell r="E1148" t="str">
            <v>M</v>
          </cell>
          <cell r="F1148">
            <v>5</v>
          </cell>
        </row>
        <row r="1149">
          <cell r="A1149" t="str">
            <v>995005612</v>
          </cell>
          <cell r="B1149">
            <v>99</v>
          </cell>
          <cell r="C1149">
            <v>500</v>
          </cell>
          <cell r="D1149" t="str">
            <v>5612</v>
          </cell>
          <cell r="E1149" t="str">
            <v>H</v>
          </cell>
          <cell r="F1149">
            <v>2</v>
          </cell>
        </row>
        <row r="1150">
          <cell r="A1150" t="str">
            <v>995015612</v>
          </cell>
          <cell r="B1150">
            <v>99</v>
          </cell>
          <cell r="C1150">
            <v>501</v>
          </cell>
          <cell r="D1150" t="str">
            <v>5612</v>
          </cell>
          <cell r="E1150" t="str">
            <v>Q</v>
          </cell>
          <cell r="F1150">
            <v>2</v>
          </cell>
        </row>
        <row r="1151">
          <cell r="A1151" t="str">
            <v>996005612</v>
          </cell>
          <cell r="B1151">
            <v>99</v>
          </cell>
          <cell r="C1151">
            <v>600</v>
          </cell>
          <cell r="D1151" t="str">
            <v>5612</v>
          </cell>
          <cell r="E1151" t="str">
            <v>M</v>
          </cell>
          <cell r="F1151">
            <v>5</v>
          </cell>
        </row>
        <row r="1152">
          <cell r="A1152" t="str">
            <v>996015612</v>
          </cell>
          <cell r="B1152">
            <v>99</v>
          </cell>
          <cell r="C1152">
            <v>601</v>
          </cell>
          <cell r="D1152" t="str">
            <v>5612</v>
          </cell>
          <cell r="E1152" t="str">
            <v>Q</v>
          </cell>
          <cell r="F1152">
            <v>5</v>
          </cell>
        </row>
        <row r="1153">
          <cell r="A1153" t="str">
            <v>996025612</v>
          </cell>
          <cell r="B1153">
            <v>99</v>
          </cell>
          <cell r="C1153">
            <v>602</v>
          </cell>
          <cell r="D1153" t="str">
            <v>5612</v>
          </cell>
          <cell r="E1153" t="str">
            <v>R</v>
          </cell>
          <cell r="F1153">
            <v>6</v>
          </cell>
        </row>
        <row r="1154">
          <cell r="A1154" t="str">
            <v>996035612</v>
          </cell>
          <cell r="B1154">
            <v>99</v>
          </cell>
          <cell r="C1154">
            <v>603</v>
          </cell>
          <cell r="D1154" t="str">
            <v>5612</v>
          </cell>
          <cell r="E1154" t="str">
            <v>S</v>
          </cell>
          <cell r="F1154">
            <v>6</v>
          </cell>
        </row>
        <row r="1155">
          <cell r="A1155" t="str">
            <v>092005612</v>
          </cell>
          <cell r="B1155" t="str">
            <v>09</v>
          </cell>
          <cell r="C1155">
            <v>200</v>
          </cell>
          <cell r="D1155" t="str">
            <v>5612</v>
          </cell>
          <cell r="E1155" t="str">
            <v>Q</v>
          </cell>
          <cell r="F1155">
            <v>4</v>
          </cell>
        </row>
        <row r="1156">
          <cell r="A1156" t="str">
            <v>093005612</v>
          </cell>
          <cell r="B1156" t="str">
            <v>09</v>
          </cell>
          <cell r="C1156">
            <v>300</v>
          </cell>
          <cell r="D1156" t="str">
            <v>5612</v>
          </cell>
          <cell r="E1156" t="str">
            <v>Q</v>
          </cell>
          <cell r="F1156">
            <v>4</v>
          </cell>
        </row>
        <row r="1157">
          <cell r="A1157" t="str">
            <v>094005612</v>
          </cell>
          <cell r="B1157" t="str">
            <v>09</v>
          </cell>
          <cell r="C1157">
            <v>400</v>
          </cell>
          <cell r="D1157" t="str">
            <v>5612</v>
          </cell>
          <cell r="E1157" t="str">
            <v>M</v>
          </cell>
          <cell r="F1157">
            <v>5</v>
          </cell>
        </row>
        <row r="1158">
          <cell r="A1158" t="str">
            <v>095005612</v>
          </cell>
          <cell r="B1158" t="str">
            <v>09</v>
          </cell>
          <cell r="C1158">
            <v>500</v>
          </cell>
          <cell r="D1158" t="str">
            <v>5612</v>
          </cell>
          <cell r="E1158" t="str">
            <v>H</v>
          </cell>
          <cell r="F1158">
            <v>2</v>
          </cell>
        </row>
        <row r="1159">
          <cell r="A1159" t="str">
            <v>095015612</v>
          </cell>
          <cell r="B1159" t="str">
            <v>09</v>
          </cell>
          <cell r="C1159">
            <v>501</v>
          </cell>
          <cell r="D1159" t="str">
            <v>5612</v>
          </cell>
          <cell r="E1159" t="str">
            <v>Q</v>
          </cell>
          <cell r="F1159">
            <v>2</v>
          </cell>
        </row>
        <row r="1160">
          <cell r="A1160" t="str">
            <v>096005612</v>
          </cell>
          <cell r="B1160" t="str">
            <v>09</v>
          </cell>
          <cell r="C1160">
            <v>600</v>
          </cell>
          <cell r="D1160" t="str">
            <v>5612</v>
          </cell>
          <cell r="E1160" t="str">
            <v>M</v>
          </cell>
          <cell r="F1160">
            <v>5</v>
          </cell>
        </row>
        <row r="1161">
          <cell r="A1161" t="str">
            <v>096015612</v>
          </cell>
          <cell r="B1161" t="str">
            <v>09</v>
          </cell>
          <cell r="C1161">
            <v>601</v>
          </cell>
          <cell r="D1161" t="str">
            <v>5612</v>
          </cell>
          <cell r="E1161" t="str">
            <v>Q</v>
          </cell>
          <cell r="F1161">
            <v>5</v>
          </cell>
        </row>
        <row r="1162">
          <cell r="A1162" t="str">
            <v>096025612</v>
          </cell>
          <cell r="B1162" t="str">
            <v>09</v>
          </cell>
          <cell r="C1162">
            <v>602</v>
          </cell>
          <cell r="D1162" t="str">
            <v>5612</v>
          </cell>
          <cell r="E1162" t="str">
            <v>R</v>
          </cell>
          <cell r="F1162">
            <v>6</v>
          </cell>
        </row>
        <row r="1163">
          <cell r="A1163" t="str">
            <v>096035612</v>
          </cell>
          <cell r="B1163" t="str">
            <v>09</v>
          </cell>
          <cell r="C1163">
            <v>603</v>
          </cell>
          <cell r="D1163" t="str">
            <v>5612</v>
          </cell>
          <cell r="E1163" t="str">
            <v>S</v>
          </cell>
          <cell r="F1163">
            <v>6</v>
          </cell>
        </row>
        <row r="1164">
          <cell r="A1164" t="str">
            <v>992005616</v>
          </cell>
          <cell r="B1164">
            <v>99</v>
          </cell>
          <cell r="C1164">
            <v>200</v>
          </cell>
          <cell r="D1164" t="str">
            <v>5616</v>
          </cell>
          <cell r="E1164" t="str">
            <v>Q</v>
          </cell>
          <cell r="F1164">
            <v>4</v>
          </cell>
        </row>
        <row r="1165">
          <cell r="A1165" t="str">
            <v>993005616</v>
          </cell>
          <cell r="B1165">
            <v>99</v>
          </cell>
          <cell r="C1165">
            <v>300</v>
          </cell>
          <cell r="D1165" t="str">
            <v>5616</v>
          </cell>
          <cell r="E1165" t="str">
            <v>Q</v>
          </cell>
          <cell r="F1165">
            <v>4</v>
          </cell>
        </row>
        <row r="1166">
          <cell r="A1166" t="str">
            <v>994005616</v>
          </cell>
          <cell r="B1166">
            <v>99</v>
          </cell>
          <cell r="C1166">
            <v>400</v>
          </cell>
          <cell r="D1166" t="str">
            <v>5616</v>
          </cell>
          <cell r="E1166" t="str">
            <v>M</v>
          </cell>
          <cell r="F1166">
            <v>5</v>
          </cell>
        </row>
        <row r="1167">
          <cell r="A1167" t="str">
            <v>995005616</v>
          </cell>
          <cell r="B1167">
            <v>99</v>
          </cell>
          <cell r="C1167">
            <v>500</v>
          </cell>
          <cell r="D1167" t="str">
            <v>5616</v>
          </cell>
          <cell r="E1167" t="str">
            <v>H</v>
          </cell>
          <cell r="F1167">
            <v>2</v>
          </cell>
        </row>
        <row r="1168">
          <cell r="A1168" t="str">
            <v>995015616</v>
          </cell>
          <cell r="B1168">
            <v>99</v>
          </cell>
          <cell r="C1168">
            <v>501</v>
          </cell>
          <cell r="D1168" t="str">
            <v>5616</v>
          </cell>
          <cell r="E1168" t="str">
            <v>Q</v>
          </cell>
          <cell r="F1168">
            <v>2</v>
          </cell>
        </row>
        <row r="1169">
          <cell r="A1169" t="str">
            <v>996005616</v>
          </cell>
          <cell r="B1169">
            <v>99</v>
          </cell>
          <cell r="C1169">
            <v>600</v>
          </cell>
          <cell r="D1169" t="str">
            <v>5616</v>
          </cell>
          <cell r="E1169" t="str">
            <v>M</v>
          </cell>
          <cell r="F1169">
            <v>5</v>
          </cell>
        </row>
        <row r="1170">
          <cell r="A1170" t="str">
            <v>996015616</v>
          </cell>
          <cell r="B1170">
            <v>99</v>
          </cell>
          <cell r="C1170">
            <v>601</v>
          </cell>
          <cell r="D1170" t="str">
            <v>5616</v>
          </cell>
          <cell r="E1170" t="str">
            <v>Q</v>
          </cell>
          <cell r="F1170">
            <v>5</v>
          </cell>
        </row>
        <row r="1171">
          <cell r="A1171" t="str">
            <v>996025616</v>
          </cell>
          <cell r="B1171">
            <v>99</v>
          </cell>
          <cell r="C1171">
            <v>602</v>
          </cell>
          <cell r="D1171" t="str">
            <v>5616</v>
          </cell>
          <cell r="E1171" t="str">
            <v>R</v>
          </cell>
          <cell r="F1171">
            <v>6</v>
          </cell>
        </row>
        <row r="1172">
          <cell r="A1172" t="str">
            <v>996035616</v>
          </cell>
          <cell r="B1172">
            <v>99</v>
          </cell>
          <cell r="C1172">
            <v>603</v>
          </cell>
          <cell r="D1172" t="str">
            <v>5616</v>
          </cell>
          <cell r="E1172" t="str">
            <v>S</v>
          </cell>
          <cell r="F1172">
            <v>6</v>
          </cell>
        </row>
        <row r="1173">
          <cell r="A1173" t="str">
            <v>092005616</v>
          </cell>
          <cell r="B1173" t="str">
            <v>09</v>
          </cell>
          <cell r="C1173">
            <v>200</v>
          </cell>
          <cell r="D1173" t="str">
            <v>5616</v>
          </cell>
          <cell r="E1173" t="str">
            <v>Q</v>
          </cell>
          <cell r="F1173">
            <v>4</v>
          </cell>
        </row>
        <row r="1174">
          <cell r="A1174" t="str">
            <v>093005616</v>
          </cell>
          <cell r="B1174" t="str">
            <v>09</v>
          </cell>
          <cell r="C1174">
            <v>300</v>
          </cell>
          <cell r="D1174" t="str">
            <v>5616</v>
          </cell>
          <cell r="E1174" t="str">
            <v>Q</v>
          </cell>
          <cell r="F1174">
            <v>4</v>
          </cell>
        </row>
        <row r="1175">
          <cell r="A1175" t="str">
            <v>094005616</v>
          </cell>
          <cell r="B1175" t="str">
            <v>09</v>
          </cell>
          <cell r="C1175">
            <v>400</v>
          </cell>
          <cell r="D1175" t="str">
            <v>5616</v>
          </cell>
          <cell r="E1175" t="str">
            <v>M</v>
          </cell>
          <cell r="F1175">
            <v>5</v>
          </cell>
        </row>
        <row r="1176">
          <cell r="A1176" t="str">
            <v>095005616</v>
          </cell>
          <cell r="B1176" t="str">
            <v>09</v>
          </cell>
          <cell r="C1176">
            <v>500</v>
          </cell>
          <cell r="D1176" t="str">
            <v>5616</v>
          </cell>
          <cell r="E1176" t="str">
            <v>H</v>
          </cell>
          <cell r="F1176">
            <v>2</v>
          </cell>
        </row>
        <row r="1177">
          <cell r="A1177" t="str">
            <v>095015616</v>
          </cell>
          <cell r="B1177" t="str">
            <v>09</v>
          </cell>
          <cell r="C1177">
            <v>501</v>
          </cell>
          <cell r="D1177" t="str">
            <v>5616</v>
          </cell>
          <cell r="E1177" t="str">
            <v>Q</v>
          </cell>
          <cell r="F1177">
            <v>2</v>
          </cell>
        </row>
        <row r="1178">
          <cell r="A1178" t="str">
            <v>096005616</v>
          </cell>
          <cell r="B1178" t="str">
            <v>09</v>
          </cell>
          <cell r="C1178">
            <v>600</v>
          </cell>
          <cell r="D1178" t="str">
            <v>5616</v>
          </cell>
          <cell r="E1178" t="str">
            <v>M</v>
          </cell>
          <cell r="F1178">
            <v>5</v>
          </cell>
        </row>
        <row r="1179">
          <cell r="A1179" t="str">
            <v>096015616</v>
          </cell>
          <cell r="B1179" t="str">
            <v>09</v>
          </cell>
          <cell r="C1179">
            <v>601</v>
          </cell>
          <cell r="D1179" t="str">
            <v>5616</v>
          </cell>
          <cell r="E1179" t="str">
            <v>Q</v>
          </cell>
          <cell r="F1179">
            <v>5</v>
          </cell>
        </row>
        <row r="1180">
          <cell r="A1180" t="str">
            <v>096025616</v>
          </cell>
          <cell r="B1180" t="str">
            <v>09</v>
          </cell>
          <cell r="C1180">
            <v>602</v>
          </cell>
          <cell r="D1180" t="str">
            <v>5616</v>
          </cell>
          <cell r="E1180" t="str">
            <v>R</v>
          </cell>
          <cell r="F1180">
            <v>6</v>
          </cell>
        </row>
        <row r="1181">
          <cell r="A1181" t="str">
            <v>096035616</v>
          </cell>
          <cell r="B1181" t="str">
            <v>09</v>
          </cell>
          <cell r="C1181">
            <v>603</v>
          </cell>
          <cell r="D1181" t="str">
            <v>5616</v>
          </cell>
          <cell r="E1181" t="str">
            <v>S</v>
          </cell>
          <cell r="F1181">
            <v>6</v>
          </cell>
        </row>
        <row r="1182">
          <cell r="A1182" t="str">
            <v>992005617</v>
          </cell>
          <cell r="B1182">
            <v>99</v>
          </cell>
          <cell r="C1182">
            <v>200</v>
          </cell>
          <cell r="D1182" t="str">
            <v>5617</v>
          </cell>
          <cell r="E1182" t="str">
            <v>Q</v>
          </cell>
          <cell r="F1182">
            <v>4</v>
          </cell>
        </row>
        <row r="1183">
          <cell r="A1183" t="str">
            <v>993005617</v>
          </cell>
          <cell r="B1183">
            <v>99</v>
          </cell>
          <cell r="C1183">
            <v>300</v>
          </cell>
          <cell r="D1183" t="str">
            <v>5617</v>
          </cell>
          <cell r="E1183" t="str">
            <v>Q</v>
          </cell>
          <cell r="F1183">
            <v>4</v>
          </cell>
        </row>
        <row r="1184">
          <cell r="A1184" t="str">
            <v>994005617</v>
          </cell>
          <cell r="B1184">
            <v>99</v>
          </cell>
          <cell r="C1184">
            <v>400</v>
          </cell>
          <cell r="D1184" t="str">
            <v>5617</v>
          </cell>
          <cell r="E1184" t="str">
            <v>M</v>
          </cell>
          <cell r="F1184">
            <v>5</v>
          </cell>
        </row>
        <row r="1185">
          <cell r="A1185" t="str">
            <v>995005617</v>
          </cell>
          <cell r="B1185">
            <v>99</v>
          </cell>
          <cell r="C1185">
            <v>500</v>
          </cell>
          <cell r="D1185" t="str">
            <v>5617</v>
          </cell>
          <cell r="E1185" t="str">
            <v>H</v>
          </cell>
          <cell r="F1185">
            <v>2</v>
          </cell>
        </row>
        <row r="1186">
          <cell r="A1186" t="str">
            <v>995015617</v>
          </cell>
          <cell r="B1186">
            <v>99</v>
          </cell>
          <cell r="C1186">
            <v>501</v>
          </cell>
          <cell r="D1186" t="str">
            <v>5617</v>
          </cell>
          <cell r="E1186" t="str">
            <v>Q</v>
          </cell>
          <cell r="F1186">
            <v>2</v>
          </cell>
        </row>
        <row r="1187">
          <cell r="A1187" t="str">
            <v>996005617</v>
          </cell>
          <cell r="B1187">
            <v>99</v>
          </cell>
          <cell r="C1187">
            <v>600</v>
          </cell>
          <cell r="D1187" t="str">
            <v>5617</v>
          </cell>
          <cell r="E1187" t="str">
            <v>M</v>
          </cell>
          <cell r="F1187">
            <v>5</v>
          </cell>
        </row>
        <row r="1188">
          <cell r="A1188" t="str">
            <v>996015617</v>
          </cell>
          <cell r="B1188">
            <v>99</v>
          </cell>
          <cell r="C1188">
            <v>601</v>
          </cell>
          <cell r="D1188" t="str">
            <v>5617</v>
          </cell>
          <cell r="E1188" t="str">
            <v>Q</v>
          </cell>
          <cell r="F1188">
            <v>5</v>
          </cell>
        </row>
        <row r="1189">
          <cell r="A1189" t="str">
            <v>996025617</v>
          </cell>
          <cell r="B1189">
            <v>99</v>
          </cell>
          <cell r="C1189">
            <v>602</v>
          </cell>
          <cell r="D1189" t="str">
            <v>5617</v>
          </cell>
          <cell r="E1189" t="str">
            <v>R</v>
          </cell>
          <cell r="F1189">
            <v>6</v>
          </cell>
        </row>
        <row r="1190">
          <cell r="A1190" t="str">
            <v>996035617</v>
          </cell>
          <cell r="B1190">
            <v>99</v>
          </cell>
          <cell r="C1190">
            <v>603</v>
          </cell>
          <cell r="D1190" t="str">
            <v>5617</v>
          </cell>
          <cell r="E1190" t="str">
            <v>S</v>
          </cell>
          <cell r="F1190">
            <v>6</v>
          </cell>
        </row>
        <row r="1191">
          <cell r="A1191" t="str">
            <v>092005617</v>
          </cell>
          <cell r="B1191" t="str">
            <v>09</v>
          </cell>
          <cell r="C1191">
            <v>200</v>
          </cell>
          <cell r="D1191" t="str">
            <v>5617</v>
          </cell>
          <cell r="E1191" t="str">
            <v>Q</v>
          </cell>
          <cell r="F1191">
            <v>4</v>
          </cell>
        </row>
        <row r="1192">
          <cell r="A1192" t="str">
            <v>093005617</v>
          </cell>
          <cell r="B1192" t="str">
            <v>09</v>
          </cell>
          <cell r="C1192">
            <v>300</v>
          </cell>
          <cell r="D1192" t="str">
            <v>5617</v>
          </cell>
          <cell r="E1192" t="str">
            <v>Q</v>
          </cell>
          <cell r="F1192">
            <v>4</v>
          </cell>
        </row>
        <row r="1193">
          <cell r="A1193" t="str">
            <v>094005617</v>
          </cell>
          <cell r="B1193" t="str">
            <v>09</v>
          </cell>
          <cell r="C1193">
            <v>400</v>
          </cell>
          <cell r="D1193" t="str">
            <v>5617</v>
          </cell>
          <cell r="E1193" t="str">
            <v>M</v>
          </cell>
          <cell r="F1193">
            <v>5</v>
          </cell>
        </row>
        <row r="1194">
          <cell r="A1194" t="str">
            <v>095005617</v>
          </cell>
          <cell r="B1194" t="str">
            <v>09</v>
          </cell>
          <cell r="C1194">
            <v>500</v>
          </cell>
          <cell r="D1194" t="str">
            <v>5617</v>
          </cell>
          <cell r="E1194" t="str">
            <v>H</v>
          </cell>
          <cell r="F1194">
            <v>2</v>
          </cell>
        </row>
        <row r="1195">
          <cell r="A1195" t="str">
            <v>095015617</v>
          </cell>
          <cell r="B1195" t="str">
            <v>09</v>
          </cell>
          <cell r="C1195">
            <v>501</v>
          </cell>
          <cell r="D1195" t="str">
            <v>5617</v>
          </cell>
          <cell r="E1195" t="str">
            <v>Q</v>
          </cell>
          <cell r="F1195">
            <v>2</v>
          </cell>
        </row>
        <row r="1196">
          <cell r="A1196" t="str">
            <v>096005617</v>
          </cell>
          <cell r="B1196" t="str">
            <v>09</v>
          </cell>
          <cell r="C1196">
            <v>600</v>
          </cell>
          <cell r="D1196" t="str">
            <v>5617</v>
          </cell>
          <cell r="E1196" t="str">
            <v>M</v>
          </cell>
          <cell r="F1196">
            <v>5</v>
          </cell>
        </row>
        <row r="1197">
          <cell r="A1197" t="str">
            <v>096015617</v>
          </cell>
          <cell r="B1197" t="str">
            <v>09</v>
          </cell>
          <cell r="C1197">
            <v>601</v>
          </cell>
          <cell r="D1197" t="str">
            <v>5617</v>
          </cell>
          <cell r="E1197" t="str">
            <v>Q</v>
          </cell>
          <cell r="F1197">
            <v>5</v>
          </cell>
        </row>
        <row r="1198">
          <cell r="A1198" t="str">
            <v>096025617</v>
          </cell>
          <cell r="B1198" t="str">
            <v>09</v>
          </cell>
          <cell r="C1198">
            <v>602</v>
          </cell>
          <cell r="D1198" t="str">
            <v>5617</v>
          </cell>
          <cell r="E1198" t="str">
            <v>R</v>
          </cell>
          <cell r="F1198">
            <v>6</v>
          </cell>
        </row>
        <row r="1199">
          <cell r="A1199" t="str">
            <v>096035617</v>
          </cell>
          <cell r="B1199" t="str">
            <v>09</v>
          </cell>
          <cell r="C1199">
            <v>603</v>
          </cell>
          <cell r="D1199" t="str">
            <v>5617</v>
          </cell>
          <cell r="E1199" t="str">
            <v>S</v>
          </cell>
          <cell r="F1199">
            <v>6</v>
          </cell>
        </row>
        <row r="1200">
          <cell r="A1200" t="str">
            <v>992005618</v>
          </cell>
          <cell r="B1200">
            <v>99</v>
          </cell>
          <cell r="C1200">
            <v>200</v>
          </cell>
          <cell r="D1200" t="str">
            <v>5618</v>
          </cell>
          <cell r="E1200" t="str">
            <v>Q</v>
          </cell>
          <cell r="F1200">
            <v>4</v>
          </cell>
        </row>
        <row r="1201">
          <cell r="A1201" t="str">
            <v>993005618</v>
          </cell>
          <cell r="B1201">
            <v>99</v>
          </cell>
          <cell r="C1201">
            <v>300</v>
          </cell>
          <cell r="D1201" t="str">
            <v>5618</v>
          </cell>
          <cell r="E1201" t="str">
            <v>Q</v>
          </cell>
          <cell r="F1201">
            <v>4</v>
          </cell>
        </row>
        <row r="1202">
          <cell r="A1202" t="str">
            <v>994005618</v>
          </cell>
          <cell r="B1202">
            <v>99</v>
          </cell>
          <cell r="C1202">
            <v>400</v>
          </cell>
          <cell r="D1202" t="str">
            <v>5618</v>
          </cell>
          <cell r="E1202" t="str">
            <v>M</v>
          </cell>
          <cell r="F1202">
            <v>5</v>
          </cell>
        </row>
        <row r="1203">
          <cell r="A1203" t="str">
            <v>995005618</v>
          </cell>
          <cell r="B1203">
            <v>99</v>
          </cell>
          <cell r="C1203">
            <v>500</v>
          </cell>
          <cell r="D1203" t="str">
            <v>5618</v>
          </cell>
          <cell r="E1203" t="str">
            <v>H</v>
          </cell>
          <cell r="F1203">
            <v>2</v>
          </cell>
        </row>
        <row r="1204">
          <cell r="A1204" t="str">
            <v>995015618</v>
          </cell>
          <cell r="B1204">
            <v>99</v>
          </cell>
          <cell r="C1204">
            <v>501</v>
          </cell>
          <cell r="D1204" t="str">
            <v>5618</v>
          </cell>
          <cell r="E1204" t="str">
            <v>Q</v>
          </cell>
          <cell r="F1204">
            <v>2</v>
          </cell>
        </row>
        <row r="1205">
          <cell r="A1205" t="str">
            <v>996005618</v>
          </cell>
          <cell r="B1205">
            <v>99</v>
          </cell>
          <cell r="C1205">
            <v>600</v>
          </cell>
          <cell r="D1205" t="str">
            <v>5618</v>
          </cell>
          <cell r="E1205" t="str">
            <v>M</v>
          </cell>
          <cell r="F1205">
            <v>5</v>
          </cell>
        </row>
        <row r="1206">
          <cell r="A1206" t="str">
            <v>996015618</v>
          </cell>
          <cell r="B1206">
            <v>99</v>
          </cell>
          <cell r="C1206">
            <v>601</v>
          </cell>
          <cell r="D1206" t="str">
            <v>5618</v>
          </cell>
          <cell r="E1206" t="str">
            <v>Q</v>
          </cell>
          <cell r="F1206">
            <v>5</v>
          </cell>
        </row>
        <row r="1207">
          <cell r="A1207" t="str">
            <v>996025618</v>
          </cell>
          <cell r="B1207">
            <v>99</v>
          </cell>
          <cell r="C1207">
            <v>602</v>
          </cell>
          <cell r="D1207" t="str">
            <v>5618</v>
          </cell>
          <cell r="E1207" t="str">
            <v>R</v>
          </cell>
          <cell r="F1207">
            <v>6</v>
          </cell>
        </row>
        <row r="1208">
          <cell r="A1208" t="str">
            <v>996035618</v>
          </cell>
          <cell r="B1208">
            <v>99</v>
          </cell>
          <cell r="C1208">
            <v>603</v>
          </cell>
          <cell r="D1208" t="str">
            <v>5618</v>
          </cell>
          <cell r="E1208" t="str">
            <v>S</v>
          </cell>
          <cell r="F1208">
            <v>6</v>
          </cell>
        </row>
        <row r="1209">
          <cell r="A1209" t="str">
            <v>092005618</v>
          </cell>
          <cell r="B1209" t="str">
            <v>09</v>
          </cell>
          <cell r="C1209">
            <v>200</v>
          </cell>
          <cell r="D1209" t="str">
            <v>5618</v>
          </cell>
          <cell r="E1209" t="str">
            <v>Q</v>
          </cell>
          <cell r="F1209">
            <v>4</v>
          </cell>
        </row>
        <row r="1210">
          <cell r="A1210" t="str">
            <v>093005618</v>
          </cell>
          <cell r="B1210" t="str">
            <v>09</v>
          </cell>
          <cell r="C1210">
            <v>300</v>
          </cell>
          <cell r="D1210" t="str">
            <v>5618</v>
          </cell>
          <cell r="E1210" t="str">
            <v>Q</v>
          </cell>
          <cell r="F1210">
            <v>4</v>
          </cell>
        </row>
        <row r="1211">
          <cell r="A1211" t="str">
            <v>094005618</v>
          </cell>
          <cell r="B1211" t="str">
            <v>09</v>
          </cell>
          <cell r="C1211">
            <v>400</v>
          </cell>
          <cell r="D1211" t="str">
            <v>5618</v>
          </cell>
          <cell r="E1211" t="str">
            <v>M</v>
          </cell>
          <cell r="F1211">
            <v>5</v>
          </cell>
        </row>
        <row r="1212">
          <cell r="A1212" t="str">
            <v>095005618</v>
          </cell>
          <cell r="B1212" t="str">
            <v>09</v>
          </cell>
          <cell r="C1212">
            <v>500</v>
          </cell>
          <cell r="D1212" t="str">
            <v>5618</v>
          </cell>
          <cell r="E1212" t="str">
            <v>H</v>
          </cell>
          <cell r="F1212">
            <v>2</v>
          </cell>
        </row>
        <row r="1213">
          <cell r="A1213" t="str">
            <v>095015618</v>
          </cell>
          <cell r="B1213" t="str">
            <v>09</v>
          </cell>
          <cell r="C1213">
            <v>501</v>
          </cell>
          <cell r="D1213" t="str">
            <v>5618</v>
          </cell>
          <cell r="E1213" t="str">
            <v>Q</v>
          </cell>
          <cell r="F1213">
            <v>2</v>
          </cell>
        </row>
        <row r="1214">
          <cell r="A1214" t="str">
            <v>096005618</v>
          </cell>
          <cell r="B1214" t="str">
            <v>09</v>
          </cell>
          <cell r="C1214">
            <v>600</v>
          </cell>
          <cell r="D1214" t="str">
            <v>5618</v>
          </cell>
          <cell r="E1214" t="str">
            <v>M</v>
          </cell>
          <cell r="F1214">
            <v>5</v>
          </cell>
        </row>
        <row r="1215">
          <cell r="A1215" t="str">
            <v>096015618</v>
          </cell>
          <cell r="B1215" t="str">
            <v>09</v>
          </cell>
          <cell r="C1215">
            <v>601</v>
          </cell>
          <cell r="D1215" t="str">
            <v>5618</v>
          </cell>
          <cell r="E1215" t="str">
            <v>Q</v>
          </cell>
          <cell r="F1215">
            <v>5</v>
          </cell>
        </row>
        <row r="1216">
          <cell r="A1216" t="str">
            <v>096025618</v>
          </cell>
          <cell r="B1216" t="str">
            <v>09</v>
          </cell>
          <cell r="C1216">
            <v>602</v>
          </cell>
          <cell r="D1216" t="str">
            <v>5618</v>
          </cell>
          <cell r="E1216" t="str">
            <v>R</v>
          </cell>
          <cell r="F1216">
            <v>6</v>
          </cell>
        </row>
        <row r="1217">
          <cell r="A1217" t="str">
            <v>096035618</v>
          </cell>
          <cell r="B1217" t="str">
            <v>09</v>
          </cell>
          <cell r="C1217">
            <v>603</v>
          </cell>
          <cell r="D1217" t="str">
            <v>5618</v>
          </cell>
          <cell r="E1217" t="str">
            <v>S</v>
          </cell>
          <cell r="F1217">
            <v>6</v>
          </cell>
        </row>
        <row r="1218">
          <cell r="A1218" t="str">
            <v>992005640</v>
          </cell>
          <cell r="B1218">
            <v>99</v>
          </cell>
          <cell r="C1218">
            <v>200</v>
          </cell>
          <cell r="D1218" t="str">
            <v>5640</v>
          </cell>
          <cell r="E1218" t="str">
            <v>Q</v>
          </cell>
          <cell r="F1218">
            <v>4</v>
          </cell>
        </row>
        <row r="1219">
          <cell r="A1219" t="str">
            <v>993005640</v>
          </cell>
          <cell r="B1219">
            <v>99</v>
          </cell>
          <cell r="C1219">
            <v>300</v>
          </cell>
          <cell r="D1219" t="str">
            <v>5640</v>
          </cell>
          <cell r="E1219" t="str">
            <v>Q</v>
          </cell>
          <cell r="F1219">
            <v>4</v>
          </cell>
        </row>
        <row r="1220">
          <cell r="A1220" t="str">
            <v>994005640</v>
          </cell>
          <cell r="B1220">
            <v>99</v>
          </cell>
          <cell r="C1220">
            <v>400</v>
          </cell>
          <cell r="D1220" t="str">
            <v>5640</v>
          </cell>
          <cell r="E1220" t="str">
            <v>M</v>
          </cell>
          <cell r="F1220">
            <v>5</v>
          </cell>
        </row>
        <row r="1221">
          <cell r="A1221" t="str">
            <v>995005640</v>
          </cell>
          <cell r="B1221">
            <v>99</v>
          </cell>
          <cell r="C1221">
            <v>500</v>
          </cell>
          <cell r="D1221" t="str">
            <v>5640</v>
          </cell>
          <cell r="E1221" t="str">
            <v>H</v>
          </cell>
          <cell r="F1221">
            <v>2</v>
          </cell>
        </row>
        <row r="1222">
          <cell r="A1222" t="str">
            <v>995015640</v>
          </cell>
          <cell r="B1222">
            <v>99</v>
          </cell>
          <cell r="C1222">
            <v>501</v>
          </cell>
          <cell r="D1222" t="str">
            <v>5640</v>
          </cell>
          <cell r="E1222" t="str">
            <v>Q</v>
          </cell>
          <cell r="F1222">
            <v>2</v>
          </cell>
        </row>
        <row r="1223">
          <cell r="A1223" t="str">
            <v>996005640</v>
          </cell>
          <cell r="B1223">
            <v>99</v>
          </cell>
          <cell r="C1223">
            <v>600</v>
          </cell>
          <cell r="D1223" t="str">
            <v>5640</v>
          </cell>
          <cell r="E1223" t="str">
            <v>M</v>
          </cell>
          <cell r="F1223">
            <v>5</v>
          </cell>
        </row>
        <row r="1224">
          <cell r="A1224" t="str">
            <v>996015640</v>
          </cell>
          <cell r="B1224">
            <v>99</v>
          </cell>
          <cell r="C1224">
            <v>601</v>
          </cell>
          <cell r="D1224" t="str">
            <v>5640</v>
          </cell>
          <cell r="E1224" t="str">
            <v>Q</v>
          </cell>
          <cell r="F1224">
            <v>5</v>
          </cell>
        </row>
        <row r="1225">
          <cell r="A1225" t="str">
            <v>996025640</v>
          </cell>
          <cell r="B1225">
            <v>99</v>
          </cell>
          <cell r="C1225">
            <v>602</v>
          </cell>
          <cell r="D1225" t="str">
            <v>5640</v>
          </cell>
          <cell r="E1225" t="str">
            <v>R</v>
          </cell>
          <cell r="F1225">
            <v>6</v>
          </cell>
        </row>
        <row r="1226">
          <cell r="A1226" t="str">
            <v>996035640</v>
          </cell>
          <cell r="B1226">
            <v>99</v>
          </cell>
          <cell r="C1226">
            <v>603</v>
          </cell>
          <cell r="D1226" t="str">
            <v>5640</v>
          </cell>
          <cell r="E1226" t="str">
            <v>S</v>
          </cell>
          <cell r="F1226">
            <v>6</v>
          </cell>
        </row>
        <row r="1227">
          <cell r="A1227" t="str">
            <v>092005640</v>
          </cell>
          <cell r="B1227" t="str">
            <v>09</v>
          </cell>
          <cell r="C1227">
            <v>200</v>
          </cell>
          <cell r="D1227" t="str">
            <v>5640</v>
          </cell>
          <cell r="E1227" t="str">
            <v>Q</v>
          </cell>
          <cell r="F1227">
            <v>4</v>
          </cell>
        </row>
        <row r="1228">
          <cell r="A1228" t="str">
            <v>093005640</v>
          </cell>
          <cell r="B1228" t="str">
            <v>09</v>
          </cell>
          <cell r="C1228">
            <v>300</v>
          </cell>
          <cell r="D1228" t="str">
            <v>5640</v>
          </cell>
          <cell r="E1228" t="str">
            <v>Q</v>
          </cell>
          <cell r="F1228">
            <v>4</v>
          </cell>
        </row>
        <row r="1229">
          <cell r="A1229" t="str">
            <v>094005640</v>
          </cell>
          <cell r="B1229" t="str">
            <v>09</v>
          </cell>
          <cell r="C1229">
            <v>400</v>
          </cell>
          <cell r="D1229" t="str">
            <v>5640</v>
          </cell>
          <cell r="E1229" t="str">
            <v>M</v>
          </cell>
          <cell r="F1229">
            <v>5</v>
          </cell>
        </row>
        <row r="1230">
          <cell r="A1230" t="str">
            <v>095005640</v>
          </cell>
          <cell r="B1230" t="str">
            <v>09</v>
          </cell>
          <cell r="C1230">
            <v>500</v>
          </cell>
          <cell r="D1230" t="str">
            <v>5640</v>
          </cell>
          <cell r="E1230" t="str">
            <v>H</v>
          </cell>
          <cell r="F1230">
            <v>2</v>
          </cell>
        </row>
        <row r="1231">
          <cell r="A1231" t="str">
            <v>095015640</v>
          </cell>
          <cell r="B1231" t="str">
            <v>09</v>
          </cell>
          <cell r="C1231">
            <v>501</v>
          </cell>
          <cell r="D1231" t="str">
            <v>5640</v>
          </cell>
          <cell r="E1231" t="str">
            <v>Q</v>
          </cell>
          <cell r="F1231">
            <v>2</v>
          </cell>
        </row>
        <row r="1232">
          <cell r="A1232" t="str">
            <v>096005640</v>
          </cell>
          <cell r="B1232" t="str">
            <v>09</v>
          </cell>
          <cell r="C1232">
            <v>600</v>
          </cell>
          <cell r="D1232" t="str">
            <v>5640</v>
          </cell>
          <cell r="E1232" t="str">
            <v>M</v>
          </cell>
          <cell r="F1232">
            <v>5</v>
          </cell>
        </row>
        <row r="1233">
          <cell r="A1233" t="str">
            <v>096015640</v>
          </cell>
          <cell r="B1233" t="str">
            <v>09</v>
          </cell>
          <cell r="C1233">
            <v>601</v>
          </cell>
          <cell r="D1233" t="str">
            <v>5640</v>
          </cell>
          <cell r="E1233" t="str">
            <v>Q</v>
          </cell>
          <cell r="F1233">
            <v>5</v>
          </cell>
        </row>
        <row r="1234">
          <cell r="A1234" t="str">
            <v>096025640</v>
          </cell>
          <cell r="B1234" t="str">
            <v>09</v>
          </cell>
          <cell r="C1234">
            <v>602</v>
          </cell>
          <cell r="D1234" t="str">
            <v>5640</v>
          </cell>
          <cell r="E1234" t="str">
            <v>R</v>
          </cell>
          <cell r="F1234">
            <v>6</v>
          </cell>
        </row>
        <row r="1235">
          <cell r="A1235" t="str">
            <v>096035640</v>
          </cell>
          <cell r="B1235" t="str">
            <v>09</v>
          </cell>
          <cell r="C1235">
            <v>603</v>
          </cell>
          <cell r="D1235" t="str">
            <v>5640</v>
          </cell>
          <cell r="E1235" t="str">
            <v>S</v>
          </cell>
          <cell r="F1235">
            <v>6</v>
          </cell>
        </row>
        <row r="1236">
          <cell r="A1236" t="str">
            <v>992005641</v>
          </cell>
          <cell r="B1236">
            <v>99</v>
          </cell>
          <cell r="C1236">
            <v>200</v>
          </cell>
          <cell r="D1236" t="str">
            <v>5641</v>
          </cell>
          <cell r="E1236" t="str">
            <v>Q</v>
          </cell>
          <cell r="F1236">
            <v>4</v>
          </cell>
        </row>
        <row r="1237">
          <cell r="A1237" t="str">
            <v>993005641</v>
          </cell>
          <cell r="B1237">
            <v>99</v>
          </cell>
          <cell r="C1237">
            <v>300</v>
          </cell>
          <cell r="D1237" t="str">
            <v>5641</v>
          </cell>
          <cell r="E1237" t="str">
            <v>Q</v>
          </cell>
          <cell r="F1237">
            <v>4</v>
          </cell>
        </row>
        <row r="1238">
          <cell r="A1238" t="str">
            <v>994005641</v>
          </cell>
          <cell r="B1238">
            <v>99</v>
          </cell>
          <cell r="C1238">
            <v>400</v>
          </cell>
          <cell r="D1238" t="str">
            <v>5641</v>
          </cell>
          <cell r="E1238" t="str">
            <v>M</v>
          </cell>
          <cell r="F1238">
            <v>5</v>
          </cell>
        </row>
        <row r="1239">
          <cell r="A1239" t="str">
            <v>995005641</v>
          </cell>
          <cell r="B1239">
            <v>99</v>
          </cell>
          <cell r="C1239">
            <v>500</v>
          </cell>
          <cell r="D1239" t="str">
            <v>5641</v>
          </cell>
          <cell r="E1239" t="str">
            <v>H</v>
          </cell>
          <cell r="F1239">
            <v>2</v>
          </cell>
        </row>
        <row r="1240">
          <cell r="A1240" t="str">
            <v>995015641</v>
          </cell>
          <cell r="B1240">
            <v>99</v>
          </cell>
          <cell r="C1240">
            <v>501</v>
          </cell>
          <cell r="D1240" t="str">
            <v>5641</v>
          </cell>
          <cell r="E1240" t="str">
            <v>Q</v>
          </cell>
          <cell r="F1240">
            <v>2</v>
          </cell>
        </row>
        <row r="1241">
          <cell r="A1241" t="str">
            <v>996005641</v>
          </cell>
          <cell r="B1241">
            <v>99</v>
          </cell>
          <cell r="C1241">
            <v>600</v>
          </cell>
          <cell r="D1241" t="str">
            <v>5641</v>
          </cell>
          <cell r="E1241" t="str">
            <v>M</v>
          </cell>
          <cell r="F1241">
            <v>5</v>
          </cell>
        </row>
        <row r="1242">
          <cell r="A1242" t="str">
            <v>996015641</v>
          </cell>
          <cell r="B1242">
            <v>99</v>
          </cell>
          <cell r="C1242">
            <v>601</v>
          </cell>
          <cell r="D1242" t="str">
            <v>5641</v>
          </cell>
          <cell r="E1242" t="str">
            <v>Q</v>
          </cell>
          <cell r="F1242">
            <v>5</v>
          </cell>
        </row>
        <row r="1243">
          <cell r="A1243" t="str">
            <v>996025641</v>
          </cell>
          <cell r="B1243">
            <v>99</v>
          </cell>
          <cell r="C1243">
            <v>602</v>
          </cell>
          <cell r="D1243" t="str">
            <v>5641</v>
          </cell>
          <cell r="E1243" t="str">
            <v>R</v>
          </cell>
          <cell r="F1243">
            <v>6</v>
          </cell>
        </row>
        <row r="1244">
          <cell r="A1244" t="str">
            <v>996035641</v>
          </cell>
          <cell r="B1244">
            <v>99</v>
          </cell>
          <cell r="C1244">
            <v>603</v>
          </cell>
          <cell r="D1244" t="str">
            <v>5641</v>
          </cell>
          <cell r="E1244" t="str">
            <v>S</v>
          </cell>
          <cell r="F1244">
            <v>6</v>
          </cell>
        </row>
        <row r="1245">
          <cell r="A1245" t="str">
            <v>092005641</v>
          </cell>
          <cell r="B1245" t="str">
            <v>09</v>
          </cell>
          <cell r="C1245">
            <v>200</v>
          </cell>
          <cell r="D1245" t="str">
            <v>5641</v>
          </cell>
          <cell r="E1245" t="str">
            <v>Q</v>
          </cell>
          <cell r="F1245">
            <v>4</v>
          </cell>
        </row>
        <row r="1246">
          <cell r="A1246" t="str">
            <v>093005641</v>
          </cell>
          <cell r="B1246" t="str">
            <v>09</v>
          </cell>
          <cell r="C1246">
            <v>300</v>
          </cell>
          <cell r="D1246" t="str">
            <v>5641</v>
          </cell>
          <cell r="E1246" t="str">
            <v>Q</v>
          </cell>
          <cell r="F1246">
            <v>4</v>
          </cell>
        </row>
        <row r="1247">
          <cell r="A1247" t="str">
            <v>094005641</v>
          </cell>
          <cell r="B1247" t="str">
            <v>09</v>
          </cell>
          <cell r="C1247">
            <v>400</v>
          </cell>
          <cell r="D1247" t="str">
            <v>5641</v>
          </cell>
          <cell r="E1247" t="str">
            <v>M</v>
          </cell>
          <cell r="F1247">
            <v>5</v>
          </cell>
        </row>
        <row r="1248">
          <cell r="A1248" t="str">
            <v>095005641</v>
          </cell>
          <cell r="B1248" t="str">
            <v>09</v>
          </cell>
          <cell r="C1248">
            <v>500</v>
          </cell>
          <cell r="D1248" t="str">
            <v>5641</v>
          </cell>
          <cell r="E1248" t="str">
            <v>H</v>
          </cell>
          <cell r="F1248">
            <v>2</v>
          </cell>
        </row>
        <row r="1249">
          <cell r="A1249" t="str">
            <v>095015641</v>
          </cell>
          <cell r="B1249" t="str">
            <v>09</v>
          </cell>
          <cell r="C1249">
            <v>501</v>
          </cell>
          <cell r="D1249" t="str">
            <v>5641</v>
          </cell>
          <cell r="E1249" t="str">
            <v>Q</v>
          </cell>
          <cell r="F1249">
            <v>2</v>
          </cell>
        </row>
        <row r="1250">
          <cell r="A1250" t="str">
            <v>096005641</v>
          </cell>
          <cell r="B1250" t="str">
            <v>09</v>
          </cell>
          <cell r="C1250">
            <v>600</v>
          </cell>
          <cell r="D1250" t="str">
            <v>5641</v>
          </cell>
          <cell r="E1250" t="str">
            <v>M</v>
          </cell>
          <cell r="F1250">
            <v>5</v>
          </cell>
        </row>
        <row r="1251">
          <cell r="A1251" t="str">
            <v>096015641</v>
          </cell>
          <cell r="B1251" t="str">
            <v>09</v>
          </cell>
          <cell r="C1251">
            <v>601</v>
          </cell>
          <cell r="D1251" t="str">
            <v>5641</v>
          </cell>
          <cell r="E1251" t="str">
            <v>Q</v>
          </cell>
          <cell r="F1251">
            <v>5</v>
          </cell>
        </row>
        <row r="1252">
          <cell r="A1252" t="str">
            <v>096025641</v>
          </cell>
          <cell r="B1252" t="str">
            <v>09</v>
          </cell>
          <cell r="C1252">
            <v>602</v>
          </cell>
          <cell r="D1252" t="str">
            <v>5641</v>
          </cell>
          <cell r="E1252" t="str">
            <v>R</v>
          </cell>
          <cell r="F1252">
            <v>6</v>
          </cell>
        </row>
        <row r="1253">
          <cell r="A1253" t="str">
            <v>096035641</v>
          </cell>
          <cell r="B1253" t="str">
            <v>09</v>
          </cell>
          <cell r="C1253">
            <v>603</v>
          </cell>
          <cell r="D1253" t="str">
            <v>5641</v>
          </cell>
          <cell r="E1253" t="str">
            <v>S</v>
          </cell>
          <cell r="F1253">
            <v>6</v>
          </cell>
        </row>
        <row r="1254">
          <cell r="A1254" t="str">
            <v>992005642</v>
          </cell>
          <cell r="B1254">
            <v>99</v>
          </cell>
          <cell r="C1254">
            <v>200</v>
          </cell>
          <cell r="D1254" t="str">
            <v>5642</v>
          </cell>
          <cell r="E1254" t="str">
            <v>Q</v>
          </cell>
          <cell r="F1254">
            <v>4</v>
          </cell>
        </row>
        <row r="1255">
          <cell r="A1255" t="str">
            <v>993005642</v>
          </cell>
          <cell r="B1255">
            <v>99</v>
          </cell>
          <cell r="C1255">
            <v>300</v>
          </cell>
          <cell r="D1255" t="str">
            <v>5642</v>
          </cell>
          <cell r="E1255" t="str">
            <v>Q</v>
          </cell>
          <cell r="F1255">
            <v>4</v>
          </cell>
        </row>
        <row r="1256">
          <cell r="A1256" t="str">
            <v>994005642</v>
          </cell>
          <cell r="B1256">
            <v>99</v>
          </cell>
          <cell r="C1256">
            <v>400</v>
          </cell>
          <cell r="D1256" t="str">
            <v>5642</v>
          </cell>
          <cell r="E1256" t="str">
            <v>M</v>
          </cell>
          <cell r="F1256">
            <v>5</v>
          </cell>
        </row>
        <row r="1257">
          <cell r="A1257" t="str">
            <v>995005642</v>
          </cell>
          <cell r="B1257">
            <v>99</v>
          </cell>
          <cell r="C1257">
            <v>500</v>
          </cell>
          <cell r="D1257" t="str">
            <v>5642</v>
          </cell>
          <cell r="E1257" t="str">
            <v>H</v>
          </cell>
          <cell r="F1257">
            <v>2</v>
          </cell>
        </row>
        <row r="1258">
          <cell r="A1258" t="str">
            <v>995015642</v>
          </cell>
          <cell r="B1258">
            <v>99</v>
          </cell>
          <cell r="C1258">
            <v>501</v>
          </cell>
          <cell r="D1258" t="str">
            <v>5642</v>
          </cell>
          <cell r="E1258" t="str">
            <v>Q</v>
          </cell>
          <cell r="F1258">
            <v>2</v>
          </cell>
        </row>
        <row r="1259">
          <cell r="A1259" t="str">
            <v>996005642</v>
          </cell>
          <cell r="B1259">
            <v>99</v>
          </cell>
          <cell r="C1259">
            <v>600</v>
          </cell>
          <cell r="D1259" t="str">
            <v>5642</v>
          </cell>
          <cell r="E1259" t="str">
            <v>M</v>
          </cell>
          <cell r="F1259">
            <v>5</v>
          </cell>
        </row>
        <row r="1260">
          <cell r="A1260" t="str">
            <v>996015642</v>
          </cell>
          <cell r="B1260">
            <v>99</v>
          </cell>
          <cell r="C1260">
            <v>601</v>
          </cell>
          <cell r="D1260" t="str">
            <v>5642</v>
          </cell>
          <cell r="E1260" t="str">
            <v>Q</v>
          </cell>
          <cell r="F1260">
            <v>5</v>
          </cell>
        </row>
        <row r="1261">
          <cell r="A1261" t="str">
            <v>996025642</v>
          </cell>
          <cell r="B1261">
            <v>99</v>
          </cell>
          <cell r="C1261">
            <v>602</v>
          </cell>
          <cell r="D1261" t="str">
            <v>5642</v>
          </cell>
          <cell r="E1261" t="str">
            <v>R</v>
          </cell>
          <cell r="F1261">
            <v>6</v>
          </cell>
        </row>
        <row r="1262">
          <cell r="A1262" t="str">
            <v>996035642</v>
          </cell>
          <cell r="B1262">
            <v>99</v>
          </cell>
          <cell r="C1262">
            <v>603</v>
          </cell>
          <cell r="D1262" t="str">
            <v>5642</v>
          </cell>
          <cell r="E1262" t="str">
            <v>S</v>
          </cell>
          <cell r="F1262">
            <v>6</v>
          </cell>
        </row>
        <row r="1263">
          <cell r="A1263" t="str">
            <v>092005642</v>
          </cell>
          <cell r="B1263" t="str">
            <v>09</v>
          </cell>
          <cell r="C1263">
            <v>200</v>
          </cell>
          <cell r="D1263" t="str">
            <v>5642</v>
          </cell>
          <cell r="E1263" t="str">
            <v>Q</v>
          </cell>
          <cell r="F1263">
            <v>4</v>
          </cell>
        </row>
        <row r="1264">
          <cell r="A1264" t="str">
            <v>093005642</v>
          </cell>
          <cell r="B1264" t="str">
            <v>09</v>
          </cell>
          <cell r="C1264">
            <v>300</v>
          </cell>
          <cell r="D1264" t="str">
            <v>5642</v>
          </cell>
          <cell r="E1264" t="str">
            <v>Q</v>
          </cell>
          <cell r="F1264">
            <v>4</v>
          </cell>
        </row>
        <row r="1265">
          <cell r="A1265" t="str">
            <v>094005642</v>
          </cell>
          <cell r="B1265" t="str">
            <v>09</v>
          </cell>
          <cell r="C1265">
            <v>400</v>
          </cell>
          <cell r="D1265" t="str">
            <v>5642</v>
          </cell>
          <cell r="E1265" t="str">
            <v>M</v>
          </cell>
          <cell r="F1265">
            <v>5</v>
          </cell>
        </row>
        <row r="1266">
          <cell r="A1266" t="str">
            <v>095005642</v>
          </cell>
          <cell r="B1266" t="str">
            <v>09</v>
          </cell>
          <cell r="C1266">
            <v>500</v>
          </cell>
          <cell r="D1266" t="str">
            <v>5642</v>
          </cell>
          <cell r="E1266" t="str">
            <v>H</v>
          </cell>
          <cell r="F1266">
            <v>2</v>
          </cell>
        </row>
        <row r="1267">
          <cell r="A1267" t="str">
            <v>095015642</v>
          </cell>
          <cell r="B1267" t="str">
            <v>09</v>
          </cell>
          <cell r="C1267">
            <v>501</v>
          </cell>
          <cell r="D1267" t="str">
            <v>5642</v>
          </cell>
          <cell r="E1267" t="str">
            <v>Q</v>
          </cell>
          <cell r="F1267">
            <v>2</v>
          </cell>
        </row>
        <row r="1268">
          <cell r="A1268" t="str">
            <v>096005642</v>
          </cell>
          <cell r="B1268" t="str">
            <v>09</v>
          </cell>
          <cell r="C1268">
            <v>600</v>
          </cell>
          <cell r="D1268" t="str">
            <v>5642</v>
          </cell>
          <cell r="E1268" t="str">
            <v>M</v>
          </cell>
          <cell r="F1268">
            <v>5</v>
          </cell>
        </row>
        <row r="1269">
          <cell r="A1269" t="str">
            <v>096015642</v>
          </cell>
          <cell r="B1269" t="str">
            <v>09</v>
          </cell>
          <cell r="C1269">
            <v>601</v>
          </cell>
          <cell r="D1269" t="str">
            <v>5642</v>
          </cell>
          <cell r="E1269" t="str">
            <v>Q</v>
          </cell>
          <cell r="F1269">
            <v>5</v>
          </cell>
        </row>
        <row r="1270">
          <cell r="A1270" t="str">
            <v>096025642</v>
          </cell>
          <cell r="B1270" t="str">
            <v>09</v>
          </cell>
          <cell r="C1270">
            <v>602</v>
          </cell>
          <cell r="D1270" t="str">
            <v>5642</v>
          </cell>
          <cell r="E1270" t="str">
            <v>R</v>
          </cell>
          <cell r="F1270">
            <v>6</v>
          </cell>
        </row>
        <row r="1271">
          <cell r="A1271" t="str">
            <v>096035642</v>
          </cell>
          <cell r="B1271" t="str">
            <v>09</v>
          </cell>
          <cell r="C1271">
            <v>603</v>
          </cell>
          <cell r="D1271" t="str">
            <v>5642</v>
          </cell>
          <cell r="E1271" t="str">
            <v>S</v>
          </cell>
          <cell r="F1271">
            <v>6</v>
          </cell>
        </row>
        <row r="1272">
          <cell r="A1272" t="str">
            <v>992005643</v>
          </cell>
          <cell r="B1272">
            <v>99</v>
          </cell>
          <cell r="C1272">
            <v>200</v>
          </cell>
          <cell r="D1272" t="str">
            <v>5643</v>
          </cell>
          <cell r="E1272" t="str">
            <v>Q</v>
          </cell>
          <cell r="F1272">
            <v>4</v>
          </cell>
        </row>
        <row r="1273">
          <cell r="A1273" t="str">
            <v>993005643</v>
          </cell>
          <cell r="B1273">
            <v>99</v>
          </cell>
          <cell r="C1273">
            <v>300</v>
          </cell>
          <cell r="D1273" t="str">
            <v>5643</v>
          </cell>
          <cell r="E1273" t="str">
            <v>Q</v>
          </cell>
          <cell r="F1273">
            <v>4</v>
          </cell>
        </row>
        <row r="1274">
          <cell r="A1274" t="str">
            <v>994005643</v>
          </cell>
          <cell r="B1274">
            <v>99</v>
          </cell>
          <cell r="C1274">
            <v>400</v>
          </cell>
          <cell r="D1274" t="str">
            <v>5643</v>
          </cell>
          <cell r="E1274" t="str">
            <v>M</v>
          </cell>
          <cell r="F1274">
            <v>5</v>
          </cell>
        </row>
        <row r="1275">
          <cell r="A1275" t="str">
            <v>995005643</v>
          </cell>
          <cell r="B1275">
            <v>99</v>
          </cell>
          <cell r="C1275">
            <v>500</v>
          </cell>
          <cell r="D1275" t="str">
            <v>5643</v>
          </cell>
          <cell r="E1275" t="str">
            <v>H</v>
          </cell>
          <cell r="F1275">
            <v>2</v>
          </cell>
        </row>
        <row r="1276">
          <cell r="A1276" t="str">
            <v>995015643</v>
          </cell>
          <cell r="B1276">
            <v>99</v>
          </cell>
          <cell r="C1276">
            <v>501</v>
          </cell>
          <cell r="D1276" t="str">
            <v>5643</v>
          </cell>
          <cell r="E1276" t="str">
            <v>Q</v>
          </cell>
          <cell r="F1276">
            <v>2</v>
          </cell>
        </row>
        <row r="1277">
          <cell r="A1277" t="str">
            <v>996005643</v>
          </cell>
          <cell r="B1277">
            <v>99</v>
          </cell>
          <cell r="C1277">
            <v>600</v>
          </cell>
          <cell r="D1277" t="str">
            <v>5643</v>
          </cell>
          <cell r="E1277" t="str">
            <v>M</v>
          </cell>
          <cell r="F1277">
            <v>5</v>
          </cell>
        </row>
        <row r="1278">
          <cell r="A1278" t="str">
            <v>996015643</v>
          </cell>
          <cell r="B1278">
            <v>99</v>
          </cell>
          <cell r="C1278">
            <v>601</v>
          </cell>
          <cell r="D1278" t="str">
            <v>5643</v>
          </cell>
          <cell r="E1278" t="str">
            <v>Q</v>
          </cell>
          <cell r="F1278">
            <v>5</v>
          </cell>
        </row>
        <row r="1279">
          <cell r="A1279" t="str">
            <v>996025643</v>
          </cell>
          <cell r="B1279">
            <v>99</v>
          </cell>
          <cell r="C1279">
            <v>602</v>
          </cell>
          <cell r="D1279" t="str">
            <v>5643</v>
          </cell>
          <cell r="E1279" t="str">
            <v>R</v>
          </cell>
          <cell r="F1279">
            <v>6</v>
          </cell>
        </row>
        <row r="1280">
          <cell r="A1280" t="str">
            <v>996035643</v>
          </cell>
          <cell r="B1280">
            <v>99</v>
          </cell>
          <cell r="C1280">
            <v>603</v>
          </cell>
          <cell r="D1280" t="str">
            <v>5643</v>
          </cell>
          <cell r="E1280" t="str">
            <v>S</v>
          </cell>
          <cell r="F1280">
            <v>6</v>
          </cell>
        </row>
        <row r="1281">
          <cell r="A1281" t="str">
            <v>092005643</v>
          </cell>
          <cell r="B1281" t="str">
            <v>09</v>
          </cell>
          <cell r="C1281">
            <v>200</v>
          </cell>
          <cell r="D1281" t="str">
            <v>5643</v>
          </cell>
          <cell r="E1281" t="str">
            <v>Q</v>
          </cell>
          <cell r="F1281">
            <v>4</v>
          </cell>
        </row>
        <row r="1282">
          <cell r="A1282" t="str">
            <v>093005643</v>
          </cell>
          <cell r="B1282" t="str">
            <v>09</v>
          </cell>
          <cell r="C1282">
            <v>300</v>
          </cell>
          <cell r="D1282" t="str">
            <v>5643</v>
          </cell>
          <cell r="E1282" t="str">
            <v>Q</v>
          </cell>
          <cell r="F1282">
            <v>4</v>
          </cell>
        </row>
        <row r="1283">
          <cell r="A1283" t="str">
            <v>094005643</v>
          </cell>
          <cell r="B1283" t="str">
            <v>09</v>
          </cell>
          <cell r="C1283">
            <v>400</v>
          </cell>
          <cell r="D1283" t="str">
            <v>5643</v>
          </cell>
          <cell r="E1283" t="str">
            <v>M</v>
          </cell>
          <cell r="F1283">
            <v>5</v>
          </cell>
        </row>
        <row r="1284">
          <cell r="A1284" t="str">
            <v>095005643</v>
          </cell>
          <cell r="B1284" t="str">
            <v>09</v>
          </cell>
          <cell r="C1284">
            <v>500</v>
          </cell>
          <cell r="D1284" t="str">
            <v>5643</v>
          </cell>
          <cell r="E1284" t="str">
            <v>H</v>
          </cell>
          <cell r="F1284">
            <v>2</v>
          </cell>
        </row>
        <row r="1285">
          <cell r="A1285" t="str">
            <v>095015643</v>
          </cell>
          <cell r="B1285" t="str">
            <v>09</v>
          </cell>
          <cell r="C1285">
            <v>501</v>
          </cell>
          <cell r="D1285" t="str">
            <v>5643</v>
          </cell>
          <cell r="E1285" t="str">
            <v>Q</v>
          </cell>
          <cell r="F1285">
            <v>2</v>
          </cell>
        </row>
        <row r="1286">
          <cell r="A1286" t="str">
            <v>096005643</v>
          </cell>
          <cell r="B1286" t="str">
            <v>09</v>
          </cell>
          <cell r="C1286">
            <v>600</v>
          </cell>
          <cell r="D1286" t="str">
            <v>5643</v>
          </cell>
          <cell r="E1286" t="str">
            <v>M</v>
          </cell>
          <cell r="F1286">
            <v>5</v>
          </cell>
        </row>
        <row r="1287">
          <cell r="A1287" t="str">
            <v>096015643</v>
          </cell>
          <cell r="B1287" t="str">
            <v>09</v>
          </cell>
          <cell r="C1287">
            <v>601</v>
          </cell>
          <cell r="D1287" t="str">
            <v>5643</v>
          </cell>
          <cell r="E1287" t="str">
            <v>Q</v>
          </cell>
          <cell r="F1287">
            <v>5</v>
          </cell>
        </row>
        <row r="1288">
          <cell r="A1288" t="str">
            <v>096025643</v>
          </cell>
          <cell r="B1288" t="str">
            <v>09</v>
          </cell>
          <cell r="C1288">
            <v>602</v>
          </cell>
          <cell r="D1288" t="str">
            <v>5643</v>
          </cell>
          <cell r="E1288" t="str">
            <v>R</v>
          </cell>
          <cell r="F1288">
            <v>6</v>
          </cell>
        </row>
        <row r="1289">
          <cell r="A1289" t="str">
            <v>096035643</v>
          </cell>
          <cell r="B1289" t="str">
            <v>09</v>
          </cell>
          <cell r="C1289">
            <v>603</v>
          </cell>
          <cell r="D1289" t="str">
            <v>5643</v>
          </cell>
          <cell r="E1289" t="str">
            <v>S</v>
          </cell>
          <cell r="F1289">
            <v>6</v>
          </cell>
        </row>
        <row r="1290">
          <cell r="A1290" t="str">
            <v>992005647</v>
          </cell>
          <cell r="B1290">
            <v>99</v>
          </cell>
          <cell r="C1290">
            <v>200</v>
          </cell>
          <cell r="D1290" t="str">
            <v>5647</v>
          </cell>
          <cell r="E1290" t="str">
            <v>Q</v>
          </cell>
          <cell r="F1290">
            <v>4</v>
          </cell>
        </row>
        <row r="1291">
          <cell r="A1291" t="str">
            <v>993005647</v>
          </cell>
          <cell r="B1291">
            <v>99</v>
          </cell>
          <cell r="C1291">
            <v>300</v>
          </cell>
          <cell r="D1291" t="str">
            <v>5647</v>
          </cell>
          <cell r="E1291" t="str">
            <v>Q</v>
          </cell>
          <cell r="F1291">
            <v>4</v>
          </cell>
        </row>
        <row r="1292">
          <cell r="A1292" t="str">
            <v>994005647</v>
          </cell>
          <cell r="B1292">
            <v>99</v>
          </cell>
          <cell r="C1292">
            <v>400</v>
          </cell>
          <cell r="D1292" t="str">
            <v>5647</v>
          </cell>
          <cell r="E1292" t="str">
            <v>M</v>
          </cell>
          <cell r="F1292">
            <v>5</v>
          </cell>
        </row>
        <row r="1293">
          <cell r="A1293" t="str">
            <v>995005647</v>
          </cell>
          <cell r="B1293">
            <v>99</v>
          </cell>
          <cell r="C1293">
            <v>500</v>
          </cell>
          <cell r="D1293" t="str">
            <v>5647</v>
          </cell>
          <cell r="E1293" t="str">
            <v>H</v>
          </cell>
          <cell r="F1293">
            <v>2</v>
          </cell>
        </row>
        <row r="1294">
          <cell r="A1294" t="str">
            <v>995015647</v>
          </cell>
          <cell r="B1294">
            <v>99</v>
          </cell>
          <cell r="C1294">
            <v>501</v>
          </cell>
          <cell r="D1294" t="str">
            <v>5647</v>
          </cell>
          <cell r="E1294" t="str">
            <v>Q</v>
          </cell>
          <cell r="F1294">
            <v>2</v>
          </cell>
        </row>
        <row r="1295">
          <cell r="A1295" t="str">
            <v>996005647</v>
          </cell>
          <cell r="B1295">
            <v>99</v>
          </cell>
          <cell r="C1295">
            <v>600</v>
          </cell>
          <cell r="D1295" t="str">
            <v>5647</v>
          </cell>
          <cell r="E1295" t="str">
            <v>M</v>
          </cell>
          <cell r="F1295">
            <v>5</v>
          </cell>
        </row>
        <row r="1296">
          <cell r="A1296" t="str">
            <v>996015647</v>
          </cell>
          <cell r="B1296">
            <v>99</v>
          </cell>
          <cell r="C1296">
            <v>601</v>
          </cell>
          <cell r="D1296" t="str">
            <v>5647</v>
          </cell>
          <cell r="E1296" t="str">
            <v>Q</v>
          </cell>
          <cell r="F1296">
            <v>5</v>
          </cell>
        </row>
        <row r="1297">
          <cell r="A1297" t="str">
            <v>996025647</v>
          </cell>
          <cell r="B1297">
            <v>99</v>
          </cell>
          <cell r="C1297">
            <v>602</v>
          </cell>
          <cell r="D1297" t="str">
            <v>5647</v>
          </cell>
          <cell r="E1297" t="str">
            <v>R</v>
          </cell>
          <cell r="F1297">
            <v>6</v>
          </cell>
        </row>
        <row r="1298">
          <cell r="A1298" t="str">
            <v>996035647</v>
          </cell>
          <cell r="B1298">
            <v>99</v>
          </cell>
          <cell r="C1298">
            <v>603</v>
          </cell>
          <cell r="D1298" t="str">
            <v>5647</v>
          </cell>
          <cell r="E1298" t="str">
            <v>S</v>
          </cell>
          <cell r="F1298">
            <v>6</v>
          </cell>
        </row>
        <row r="1299">
          <cell r="A1299" t="str">
            <v>092005647</v>
          </cell>
          <cell r="B1299" t="str">
            <v>09</v>
          </cell>
          <cell r="C1299">
            <v>200</v>
          </cell>
          <cell r="D1299" t="str">
            <v>5647</v>
          </cell>
          <cell r="E1299" t="str">
            <v>Q</v>
          </cell>
          <cell r="F1299">
            <v>4</v>
          </cell>
        </row>
        <row r="1300">
          <cell r="A1300" t="str">
            <v>093005647</v>
          </cell>
          <cell r="B1300" t="str">
            <v>09</v>
          </cell>
          <cell r="C1300">
            <v>300</v>
          </cell>
          <cell r="D1300" t="str">
            <v>5647</v>
          </cell>
          <cell r="E1300" t="str">
            <v>Q</v>
          </cell>
          <cell r="F1300">
            <v>4</v>
          </cell>
        </row>
        <row r="1301">
          <cell r="A1301" t="str">
            <v>094005647</v>
          </cell>
          <cell r="B1301" t="str">
            <v>09</v>
          </cell>
          <cell r="C1301">
            <v>400</v>
          </cell>
          <cell r="D1301" t="str">
            <v>5647</v>
          </cell>
          <cell r="E1301" t="str">
            <v>M</v>
          </cell>
          <cell r="F1301">
            <v>5</v>
          </cell>
        </row>
        <row r="1302">
          <cell r="A1302" t="str">
            <v>095005647</v>
          </cell>
          <cell r="B1302" t="str">
            <v>09</v>
          </cell>
          <cell r="C1302">
            <v>500</v>
          </cell>
          <cell r="D1302" t="str">
            <v>5647</v>
          </cell>
          <cell r="E1302" t="str">
            <v>H</v>
          </cell>
          <cell r="F1302">
            <v>2</v>
          </cell>
        </row>
        <row r="1303">
          <cell r="A1303" t="str">
            <v>095015647</v>
          </cell>
          <cell r="B1303" t="str">
            <v>09</v>
          </cell>
          <cell r="C1303">
            <v>501</v>
          </cell>
          <cell r="D1303" t="str">
            <v>5647</v>
          </cell>
          <cell r="E1303" t="str">
            <v>Q</v>
          </cell>
          <cell r="F1303">
            <v>2</v>
          </cell>
        </row>
        <row r="1304">
          <cell r="A1304" t="str">
            <v>096005647</v>
          </cell>
          <cell r="B1304" t="str">
            <v>09</v>
          </cell>
          <cell r="C1304">
            <v>600</v>
          </cell>
          <cell r="D1304" t="str">
            <v>5647</v>
          </cell>
          <cell r="E1304" t="str">
            <v>M</v>
          </cell>
          <cell r="F1304">
            <v>5</v>
          </cell>
        </row>
        <row r="1305">
          <cell r="A1305" t="str">
            <v>096015647</v>
          </cell>
          <cell r="B1305" t="str">
            <v>09</v>
          </cell>
          <cell r="C1305">
            <v>601</v>
          </cell>
          <cell r="D1305" t="str">
            <v>5647</v>
          </cell>
          <cell r="E1305" t="str">
            <v>Q</v>
          </cell>
          <cell r="F1305">
            <v>5</v>
          </cell>
        </row>
        <row r="1306">
          <cell r="A1306" t="str">
            <v>096025647</v>
          </cell>
          <cell r="B1306" t="str">
            <v>09</v>
          </cell>
          <cell r="C1306">
            <v>602</v>
          </cell>
          <cell r="D1306" t="str">
            <v>5647</v>
          </cell>
          <cell r="E1306" t="str">
            <v>R</v>
          </cell>
          <cell r="F1306">
            <v>6</v>
          </cell>
        </row>
        <row r="1307">
          <cell r="A1307" t="str">
            <v>096035647</v>
          </cell>
          <cell r="B1307" t="str">
            <v>09</v>
          </cell>
          <cell r="C1307">
            <v>603</v>
          </cell>
          <cell r="D1307" t="str">
            <v>5647</v>
          </cell>
          <cell r="E1307" t="str">
            <v>S</v>
          </cell>
          <cell r="F1307">
            <v>6</v>
          </cell>
        </row>
        <row r="1308">
          <cell r="A1308" t="str">
            <v>992005650</v>
          </cell>
          <cell r="B1308">
            <v>99</v>
          </cell>
          <cell r="C1308">
            <v>200</v>
          </cell>
          <cell r="D1308" t="str">
            <v>5650</v>
          </cell>
          <cell r="E1308" t="str">
            <v>Q</v>
          </cell>
          <cell r="F1308">
            <v>4</v>
          </cell>
        </row>
        <row r="1309">
          <cell r="A1309" t="str">
            <v>993005650</v>
          </cell>
          <cell r="B1309">
            <v>99</v>
          </cell>
          <cell r="C1309">
            <v>300</v>
          </cell>
          <cell r="D1309" t="str">
            <v>5650</v>
          </cell>
          <cell r="E1309" t="str">
            <v>Q</v>
          </cell>
          <cell r="F1309">
            <v>4</v>
          </cell>
        </row>
        <row r="1310">
          <cell r="A1310" t="str">
            <v>994005650</v>
          </cell>
          <cell r="B1310">
            <v>99</v>
          </cell>
          <cell r="C1310">
            <v>400</v>
          </cell>
          <cell r="D1310" t="str">
            <v>5650</v>
          </cell>
          <cell r="E1310" t="str">
            <v>M</v>
          </cell>
          <cell r="F1310">
            <v>5</v>
          </cell>
        </row>
        <row r="1311">
          <cell r="A1311" t="str">
            <v>995005650</v>
          </cell>
          <cell r="B1311">
            <v>99</v>
          </cell>
          <cell r="C1311">
            <v>500</v>
          </cell>
          <cell r="D1311" t="str">
            <v>5650</v>
          </cell>
          <cell r="E1311" t="str">
            <v>H</v>
          </cell>
          <cell r="F1311">
            <v>2</v>
          </cell>
        </row>
        <row r="1312">
          <cell r="A1312" t="str">
            <v>995015650</v>
          </cell>
          <cell r="B1312">
            <v>99</v>
          </cell>
          <cell r="C1312">
            <v>501</v>
          </cell>
          <cell r="D1312" t="str">
            <v>5650</v>
          </cell>
          <cell r="E1312" t="str">
            <v>Q</v>
          </cell>
          <cell r="F1312">
            <v>2</v>
          </cell>
        </row>
        <row r="1313">
          <cell r="A1313" t="str">
            <v>996005650</v>
          </cell>
          <cell r="B1313">
            <v>99</v>
          </cell>
          <cell r="C1313">
            <v>600</v>
          </cell>
          <cell r="D1313" t="str">
            <v>5650</v>
          </cell>
          <cell r="E1313" t="str">
            <v>M</v>
          </cell>
          <cell r="F1313">
            <v>5</v>
          </cell>
        </row>
        <row r="1314">
          <cell r="A1314" t="str">
            <v>996015650</v>
          </cell>
          <cell r="B1314">
            <v>99</v>
          </cell>
          <cell r="C1314">
            <v>601</v>
          </cell>
          <cell r="D1314" t="str">
            <v>5650</v>
          </cell>
          <cell r="E1314" t="str">
            <v>Q</v>
          </cell>
          <cell r="F1314">
            <v>5</v>
          </cell>
        </row>
        <row r="1315">
          <cell r="A1315" t="str">
            <v>996025650</v>
          </cell>
          <cell r="B1315">
            <v>99</v>
          </cell>
          <cell r="C1315">
            <v>602</v>
          </cell>
          <cell r="D1315" t="str">
            <v>5650</v>
          </cell>
          <cell r="E1315" t="str">
            <v>R</v>
          </cell>
          <cell r="F1315">
            <v>6</v>
          </cell>
        </row>
        <row r="1316">
          <cell r="A1316" t="str">
            <v>996035650</v>
          </cell>
          <cell r="B1316">
            <v>99</v>
          </cell>
          <cell r="C1316">
            <v>603</v>
          </cell>
          <cell r="D1316" t="str">
            <v>5650</v>
          </cell>
          <cell r="E1316" t="str">
            <v>S</v>
          </cell>
          <cell r="F1316">
            <v>6</v>
          </cell>
        </row>
        <row r="1317">
          <cell r="A1317" t="str">
            <v>092005650</v>
          </cell>
          <cell r="B1317" t="str">
            <v>09</v>
          </cell>
          <cell r="C1317">
            <v>200</v>
          </cell>
          <cell r="D1317" t="str">
            <v>5650</v>
          </cell>
          <cell r="E1317" t="str">
            <v>Q</v>
          </cell>
          <cell r="F1317">
            <v>4</v>
          </cell>
        </row>
        <row r="1318">
          <cell r="A1318" t="str">
            <v>093005650</v>
          </cell>
          <cell r="B1318" t="str">
            <v>09</v>
          </cell>
          <cell r="C1318">
            <v>300</v>
          </cell>
          <cell r="D1318" t="str">
            <v>5650</v>
          </cell>
          <cell r="E1318" t="str">
            <v>Q</v>
          </cell>
          <cell r="F1318">
            <v>4</v>
          </cell>
        </row>
        <row r="1319">
          <cell r="A1319" t="str">
            <v>094005650</v>
          </cell>
          <cell r="B1319" t="str">
            <v>09</v>
          </cell>
          <cell r="C1319">
            <v>400</v>
          </cell>
          <cell r="D1319" t="str">
            <v>5650</v>
          </cell>
          <cell r="E1319" t="str">
            <v>M</v>
          </cell>
          <cell r="F1319">
            <v>5</v>
          </cell>
        </row>
        <row r="1320">
          <cell r="A1320" t="str">
            <v>095005650</v>
          </cell>
          <cell r="B1320" t="str">
            <v>09</v>
          </cell>
          <cell r="C1320">
            <v>500</v>
          </cell>
          <cell r="D1320" t="str">
            <v>5650</v>
          </cell>
          <cell r="E1320" t="str">
            <v>H</v>
          </cell>
          <cell r="F1320">
            <v>2</v>
          </cell>
        </row>
        <row r="1321">
          <cell r="A1321" t="str">
            <v>095015650</v>
          </cell>
          <cell r="B1321" t="str">
            <v>09</v>
          </cell>
          <cell r="C1321">
            <v>501</v>
          </cell>
          <cell r="D1321" t="str">
            <v>5650</v>
          </cell>
          <cell r="E1321" t="str">
            <v>Q</v>
          </cell>
          <cell r="F1321">
            <v>2</v>
          </cell>
        </row>
        <row r="1322">
          <cell r="A1322" t="str">
            <v>096005650</v>
          </cell>
          <cell r="B1322" t="str">
            <v>09</v>
          </cell>
          <cell r="C1322">
            <v>600</v>
          </cell>
          <cell r="D1322" t="str">
            <v>5650</v>
          </cell>
          <cell r="E1322" t="str">
            <v>M</v>
          </cell>
          <cell r="F1322">
            <v>5</v>
          </cell>
        </row>
        <row r="1323">
          <cell r="A1323" t="str">
            <v>096015650</v>
          </cell>
          <cell r="B1323" t="str">
            <v>09</v>
          </cell>
          <cell r="C1323">
            <v>601</v>
          </cell>
          <cell r="D1323" t="str">
            <v>5650</v>
          </cell>
          <cell r="E1323" t="str">
            <v>Q</v>
          </cell>
          <cell r="F1323">
            <v>5</v>
          </cell>
        </row>
        <row r="1324">
          <cell r="A1324" t="str">
            <v>096025650</v>
          </cell>
          <cell r="B1324" t="str">
            <v>09</v>
          </cell>
          <cell r="C1324">
            <v>602</v>
          </cell>
          <cell r="D1324" t="str">
            <v>5650</v>
          </cell>
          <cell r="E1324" t="str">
            <v>R</v>
          </cell>
          <cell r="F1324">
            <v>6</v>
          </cell>
        </row>
        <row r="1325">
          <cell r="A1325" t="str">
            <v>096035650</v>
          </cell>
          <cell r="B1325" t="str">
            <v>09</v>
          </cell>
          <cell r="C1325">
            <v>603</v>
          </cell>
          <cell r="D1325" t="str">
            <v>5650</v>
          </cell>
          <cell r="E1325" t="str">
            <v>S</v>
          </cell>
          <cell r="F1325">
            <v>6</v>
          </cell>
        </row>
        <row r="1326">
          <cell r="A1326" t="str">
            <v>992005707</v>
          </cell>
          <cell r="B1326">
            <v>99</v>
          </cell>
          <cell r="C1326">
            <v>200</v>
          </cell>
          <cell r="D1326" t="str">
            <v>5707</v>
          </cell>
          <cell r="E1326" t="str">
            <v>Q</v>
          </cell>
          <cell r="F1326">
            <v>4</v>
          </cell>
        </row>
        <row r="1327">
          <cell r="A1327" t="str">
            <v>993005707</v>
          </cell>
          <cell r="B1327">
            <v>99</v>
          </cell>
          <cell r="C1327">
            <v>300</v>
          </cell>
          <cell r="D1327" t="str">
            <v>5707</v>
          </cell>
          <cell r="E1327" t="str">
            <v>Q</v>
          </cell>
          <cell r="F1327">
            <v>4</v>
          </cell>
        </row>
        <row r="1328">
          <cell r="A1328" t="str">
            <v>994005707</v>
          </cell>
          <cell r="B1328">
            <v>99</v>
          </cell>
          <cell r="C1328">
            <v>400</v>
          </cell>
          <cell r="D1328" t="str">
            <v>5707</v>
          </cell>
          <cell r="E1328" t="str">
            <v>M</v>
          </cell>
          <cell r="F1328">
            <v>5</v>
          </cell>
        </row>
        <row r="1329">
          <cell r="A1329" t="str">
            <v>995005707</v>
          </cell>
          <cell r="B1329">
            <v>99</v>
          </cell>
          <cell r="C1329">
            <v>500</v>
          </cell>
          <cell r="D1329" t="str">
            <v>5707</v>
          </cell>
          <cell r="E1329" t="str">
            <v>H</v>
          </cell>
          <cell r="F1329">
            <v>2</v>
          </cell>
        </row>
        <row r="1330">
          <cell r="A1330" t="str">
            <v>995015707</v>
          </cell>
          <cell r="B1330">
            <v>99</v>
          </cell>
          <cell r="C1330">
            <v>501</v>
          </cell>
          <cell r="D1330" t="str">
            <v>5707</v>
          </cell>
          <cell r="E1330" t="str">
            <v>Q</v>
          </cell>
          <cell r="F1330">
            <v>2</v>
          </cell>
        </row>
        <row r="1331">
          <cell r="A1331" t="str">
            <v>996005707</v>
          </cell>
          <cell r="B1331">
            <v>99</v>
          </cell>
          <cell r="C1331">
            <v>600</v>
          </cell>
          <cell r="D1331" t="str">
            <v>5707</v>
          </cell>
          <cell r="E1331" t="str">
            <v>M</v>
          </cell>
          <cell r="F1331">
            <v>5</v>
          </cell>
        </row>
        <row r="1332">
          <cell r="A1332" t="str">
            <v>996015707</v>
          </cell>
          <cell r="B1332">
            <v>99</v>
          </cell>
          <cell r="C1332">
            <v>601</v>
          </cell>
          <cell r="D1332" t="str">
            <v>5707</v>
          </cell>
          <cell r="E1332" t="str">
            <v>Q</v>
          </cell>
          <cell r="F1332">
            <v>5</v>
          </cell>
        </row>
        <row r="1333">
          <cell r="A1333" t="str">
            <v>996025707</v>
          </cell>
          <cell r="B1333">
            <v>99</v>
          </cell>
          <cell r="C1333">
            <v>602</v>
          </cell>
          <cell r="D1333" t="str">
            <v>5707</v>
          </cell>
          <cell r="E1333" t="str">
            <v>R</v>
          </cell>
          <cell r="F1333">
            <v>6</v>
          </cell>
        </row>
        <row r="1334">
          <cell r="A1334" t="str">
            <v>996035707</v>
          </cell>
          <cell r="B1334">
            <v>99</v>
          </cell>
          <cell r="C1334">
            <v>603</v>
          </cell>
          <cell r="D1334" t="str">
            <v>5707</v>
          </cell>
          <cell r="E1334" t="str">
            <v>S</v>
          </cell>
          <cell r="F1334">
            <v>6</v>
          </cell>
        </row>
        <row r="1335">
          <cell r="A1335" t="str">
            <v>092005707</v>
          </cell>
          <cell r="B1335" t="str">
            <v>09</v>
          </cell>
          <cell r="C1335">
            <v>200</v>
          </cell>
          <cell r="D1335" t="str">
            <v>5707</v>
          </cell>
          <cell r="E1335" t="str">
            <v>Q</v>
          </cell>
          <cell r="F1335">
            <v>4</v>
          </cell>
        </row>
        <row r="1336">
          <cell r="A1336" t="str">
            <v>093005707</v>
          </cell>
          <cell r="B1336" t="str">
            <v>09</v>
          </cell>
          <cell r="C1336">
            <v>300</v>
          </cell>
          <cell r="D1336" t="str">
            <v>5707</v>
          </cell>
          <cell r="E1336" t="str">
            <v>Q</v>
          </cell>
          <cell r="F1336">
            <v>4</v>
          </cell>
        </row>
        <row r="1337">
          <cell r="A1337" t="str">
            <v>094005707</v>
          </cell>
          <cell r="B1337" t="str">
            <v>09</v>
          </cell>
          <cell r="C1337">
            <v>400</v>
          </cell>
          <cell r="D1337" t="str">
            <v>5707</v>
          </cell>
          <cell r="E1337" t="str">
            <v>M</v>
          </cell>
          <cell r="F1337">
            <v>5</v>
          </cell>
        </row>
        <row r="1338">
          <cell r="A1338" t="str">
            <v>095005707</v>
          </cell>
          <cell r="B1338" t="str">
            <v>09</v>
          </cell>
          <cell r="C1338">
            <v>500</v>
          </cell>
          <cell r="D1338" t="str">
            <v>5707</v>
          </cell>
          <cell r="E1338" t="str">
            <v>H</v>
          </cell>
          <cell r="F1338">
            <v>2</v>
          </cell>
        </row>
        <row r="1339">
          <cell r="A1339" t="str">
            <v>095015707</v>
          </cell>
          <cell r="B1339" t="str">
            <v>09</v>
          </cell>
          <cell r="C1339">
            <v>501</v>
          </cell>
          <cell r="D1339" t="str">
            <v>5707</v>
          </cell>
          <cell r="E1339" t="str">
            <v>Q</v>
          </cell>
          <cell r="F1339">
            <v>2</v>
          </cell>
        </row>
        <row r="1340">
          <cell r="A1340" t="str">
            <v>096005707</v>
          </cell>
          <cell r="B1340" t="str">
            <v>09</v>
          </cell>
          <cell r="C1340">
            <v>600</v>
          </cell>
          <cell r="D1340" t="str">
            <v>5707</v>
          </cell>
          <cell r="E1340" t="str">
            <v>M</v>
          </cell>
          <cell r="F1340">
            <v>5</v>
          </cell>
        </row>
        <row r="1341">
          <cell r="A1341" t="str">
            <v>096015707</v>
          </cell>
          <cell r="B1341" t="str">
            <v>09</v>
          </cell>
          <cell r="C1341">
            <v>601</v>
          </cell>
          <cell r="D1341" t="str">
            <v>5707</v>
          </cell>
          <cell r="E1341" t="str">
            <v>Q</v>
          </cell>
          <cell r="F1341">
            <v>5</v>
          </cell>
        </row>
        <row r="1342">
          <cell r="A1342" t="str">
            <v>096025707</v>
          </cell>
          <cell r="B1342" t="str">
            <v>09</v>
          </cell>
          <cell r="C1342">
            <v>602</v>
          </cell>
          <cell r="D1342" t="str">
            <v>5707</v>
          </cell>
          <cell r="E1342" t="str">
            <v>R</v>
          </cell>
          <cell r="F1342">
            <v>6</v>
          </cell>
        </row>
        <row r="1343">
          <cell r="A1343" t="str">
            <v>096035707</v>
          </cell>
          <cell r="B1343" t="str">
            <v>09</v>
          </cell>
          <cell r="C1343">
            <v>603</v>
          </cell>
          <cell r="D1343" t="str">
            <v>5707</v>
          </cell>
          <cell r="E1343" t="str">
            <v>S</v>
          </cell>
          <cell r="F1343">
            <v>6</v>
          </cell>
        </row>
        <row r="1344">
          <cell r="A1344" t="str">
            <v>015015854</v>
          </cell>
          <cell r="B1344" t="str">
            <v>01</v>
          </cell>
          <cell r="C1344" t="str">
            <v>501</v>
          </cell>
          <cell r="D1344" t="str">
            <v>5854</v>
          </cell>
          <cell r="E1344" t="str">
            <v>Q</v>
          </cell>
          <cell r="F1344">
            <v>3</v>
          </cell>
        </row>
        <row r="1345">
          <cell r="A1345" t="str">
            <v>015015855</v>
          </cell>
          <cell r="B1345" t="str">
            <v>01</v>
          </cell>
          <cell r="C1345" t="str">
            <v>501</v>
          </cell>
          <cell r="D1345" t="str">
            <v>5855</v>
          </cell>
          <cell r="E1345" t="str">
            <v>Q</v>
          </cell>
          <cell r="F1345">
            <v>3</v>
          </cell>
        </row>
        <row r="1346">
          <cell r="A1346" t="str">
            <v>015015857</v>
          </cell>
          <cell r="B1346" t="str">
            <v>01</v>
          </cell>
          <cell r="C1346" t="str">
            <v>501</v>
          </cell>
          <cell r="D1346" t="str">
            <v>5857</v>
          </cell>
          <cell r="E1346" t="str">
            <v>Q</v>
          </cell>
          <cell r="F1346">
            <v>3</v>
          </cell>
        </row>
        <row r="1347">
          <cell r="A1347" t="str">
            <v>015005862</v>
          </cell>
          <cell r="B1347" t="str">
            <v>01</v>
          </cell>
          <cell r="C1347" t="str">
            <v>500</v>
          </cell>
          <cell r="D1347" t="str">
            <v>5862</v>
          </cell>
          <cell r="E1347" t="str">
            <v>Q</v>
          </cell>
          <cell r="F1347">
            <v>2</v>
          </cell>
        </row>
        <row r="1348">
          <cell r="A1348" t="str">
            <v>99200A503</v>
          </cell>
          <cell r="B1348">
            <v>99</v>
          </cell>
          <cell r="C1348">
            <v>200</v>
          </cell>
          <cell r="D1348" t="str">
            <v>A503</v>
          </cell>
          <cell r="E1348" t="str">
            <v>Q</v>
          </cell>
          <cell r="F1348">
            <v>4</v>
          </cell>
        </row>
        <row r="1349">
          <cell r="A1349" t="str">
            <v>99200A503</v>
          </cell>
          <cell r="B1349">
            <v>99</v>
          </cell>
          <cell r="C1349">
            <v>200</v>
          </cell>
          <cell r="D1349" t="str">
            <v>A503</v>
          </cell>
          <cell r="E1349" t="str">
            <v>Q</v>
          </cell>
          <cell r="F1349">
            <v>4</v>
          </cell>
        </row>
        <row r="1350">
          <cell r="A1350" t="str">
            <v>99300A503</v>
          </cell>
          <cell r="B1350">
            <v>99</v>
          </cell>
          <cell r="C1350">
            <v>300</v>
          </cell>
          <cell r="D1350" t="str">
            <v>A503</v>
          </cell>
          <cell r="E1350" t="str">
            <v>Q</v>
          </cell>
          <cell r="F1350">
            <v>4</v>
          </cell>
        </row>
        <row r="1351">
          <cell r="A1351" t="str">
            <v>99300A503</v>
          </cell>
          <cell r="B1351">
            <v>99</v>
          </cell>
          <cell r="C1351">
            <v>300</v>
          </cell>
          <cell r="D1351" t="str">
            <v>A503</v>
          </cell>
          <cell r="E1351" t="str">
            <v>Q</v>
          </cell>
          <cell r="F1351">
            <v>4</v>
          </cell>
        </row>
        <row r="1352">
          <cell r="A1352" t="str">
            <v>99400A503</v>
          </cell>
          <cell r="B1352">
            <v>99</v>
          </cell>
          <cell r="C1352" t="str">
            <v>400</v>
          </cell>
          <cell r="D1352" t="str">
            <v>A503</v>
          </cell>
          <cell r="E1352" t="str">
            <v>M</v>
          </cell>
          <cell r="F1352">
            <v>5</v>
          </cell>
        </row>
        <row r="1353">
          <cell r="A1353" t="str">
            <v>99500A503</v>
          </cell>
          <cell r="B1353">
            <v>99</v>
          </cell>
          <cell r="C1353">
            <v>500</v>
          </cell>
          <cell r="D1353" t="str">
            <v>A503</v>
          </cell>
          <cell r="E1353" t="str">
            <v>D</v>
          </cell>
          <cell r="F1353">
            <v>1</v>
          </cell>
        </row>
        <row r="1354">
          <cell r="A1354" t="str">
            <v>99501A503</v>
          </cell>
          <cell r="B1354">
            <v>99</v>
          </cell>
          <cell r="C1354">
            <v>501</v>
          </cell>
          <cell r="D1354" t="str">
            <v>A503</v>
          </cell>
          <cell r="E1354" t="str">
            <v>Q</v>
          </cell>
          <cell r="F1354">
            <v>1</v>
          </cell>
        </row>
        <row r="1355">
          <cell r="A1355" t="str">
            <v>99509A503</v>
          </cell>
          <cell r="B1355">
            <v>99</v>
          </cell>
          <cell r="C1355">
            <v>509</v>
          </cell>
          <cell r="D1355" t="str">
            <v>A503</v>
          </cell>
          <cell r="E1355" t="str">
            <v>J</v>
          </cell>
          <cell r="F1355">
            <v>1</v>
          </cell>
        </row>
        <row r="1356">
          <cell r="A1356" t="str">
            <v>99601A503</v>
          </cell>
          <cell r="B1356">
            <v>99</v>
          </cell>
          <cell r="C1356">
            <v>601</v>
          </cell>
          <cell r="D1356" t="str">
            <v>A503</v>
          </cell>
          <cell r="E1356" t="str">
            <v>Q</v>
          </cell>
          <cell r="F1356">
            <v>5</v>
          </cell>
        </row>
        <row r="1357">
          <cell r="A1357" t="str">
            <v>99601A503</v>
          </cell>
          <cell r="B1357">
            <v>99</v>
          </cell>
          <cell r="C1357">
            <v>601</v>
          </cell>
          <cell r="D1357" t="str">
            <v>A503</v>
          </cell>
          <cell r="E1357" t="str">
            <v>Q</v>
          </cell>
          <cell r="F1357">
            <v>5</v>
          </cell>
        </row>
        <row r="1358">
          <cell r="A1358" t="str">
            <v>99602A503</v>
          </cell>
          <cell r="B1358">
            <v>99</v>
          </cell>
          <cell r="C1358">
            <v>602</v>
          </cell>
          <cell r="D1358" t="str">
            <v>A503</v>
          </cell>
          <cell r="E1358" t="str">
            <v>R</v>
          </cell>
          <cell r="F1358">
            <v>6</v>
          </cell>
        </row>
        <row r="1359">
          <cell r="A1359" t="str">
            <v>99602A503</v>
          </cell>
          <cell r="B1359">
            <v>99</v>
          </cell>
          <cell r="C1359">
            <v>602</v>
          </cell>
          <cell r="D1359" t="str">
            <v>A503</v>
          </cell>
          <cell r="E1359" t="str">
            <v>R</v>
          </cell>
          <cell r="F1359">
            <v>6</v>
          </cell>
        </row>
        <row r="1360">
          <cell r="A1360" t="str">
            <v>99603A503</v>
          </cell>
          <cell r="B1360">
            <v>99</v>
          </cell>
          <cell r="C1360">
            <v>603</v>
          </cell>
          <cell r="D1360" t="str">
            <v>A503</v>
          </cell>
          <cell r="E1360" t="str">
            <v>S</v>
          </cell>
          <cell r="F1360">
            <v>6</v>
          </cell>
        </row>
        <row r="1361">
          <cell r="A1361" t="str">
            <v>99603A503</v>
          </cell>
          <cell r="B1361">
            <v>99</v>
          </cell>
          <cell r="C1361">
            <v>603</v>
          </cell>
          <cell r="D1361" t="str">
            <v>A503</v>
          </cell>
          <cell r="E1361" t="str">
            <v>S</v>
          </cell>
          <cell r="F1361">
            <v>6</v>
          </cell>
        </row>
        <row r="1362">
          <cell r="A1362" t="str">
            <v>09200A503</v>
          </cell>
          <cell r="B1362" t="str">
            <v>09</v>
          </cell>
          <cell r="C1362">
            <v>200</v>
          </cell>
          <cell r="D1362" t="str">
            <v>A503</v>
          </cell>
          <cell r="E1362" t="str">
            <v>Q</v>
          </cell>
          <cell r="F1362">
            <v>4</v>
          </cell>
        </row>
        <row r="1363">
          <cell r="A1363" t="str">
            <v>09200A503</v>
          </cell>
          <cell r="B1363" t="str">
            <v>09</v>
          </cell>
          <cell r="C1363">
            <v>200</v>
          </cell>
          <cell r="D1363" t="str">
            <v>A503</v>
          </cell>
          <cell r="E1363" t="str">
            <v>Q</v>
          </cell>
          <cell r="F1363">
            <v>4</v>
          </cell>
        </row>
        <row r="1364">
          <cell r="A1364" t="str">
            <v>09300A503</v>
          </cell>
          <cell r="B1364" t="str">
            <v>09</v>
          </cell>
          <cell r="C1364">
            <v>300</v>
          </cell>
          <cell r="D1364" t="str">
            <v>A503</v>
          </cell>
          <cell r="E1364" t="str">
            <v>Q</v>
          </cell>
          <cell r="F1364">
            <v>4</v>
          </cell>
        </row>
        <row r="1365">
          <cell r="A1365" t="str">
            <v>09300A503</v>
          </cell>
          <cell r="B1365" t="str">
            <v>09</v>
          </cell>
          <cell r="C1365">
            <v>300</v>
          </cell>
          <cell r="D1365" t="str">
            <v>A503</v>
          </cell>
          <cell r="E1365" t="str">
            <v>Q</v>
          </cell>
          <cell r="F1365">
            <v>4</v>
          </cell>
        </row>
        <row r="1366">
          <cell r="A1366" t="str">
            <v>09500A503</v>
          </cell>
          <cell r="B1366" t="str">
            <v>09</v>
          </cell>
          <cell r="C1366">
            <v>500</v>
          </cell>
          <cell r="D1366" t="str">
            <v>A503</v>
          </cell>
          <cell r="E1366" t="str">
            <v>J</v>
          </cell>
          <cell r="F1366">
            <v>1</v>
          </cell>
        </row>
        <row r="1367">
          <cell r="A1367" t="str">
            <v>09501A503</v>
          </cell>
          <cell r="B1367" t="str">
            <v>09</v>
          </cell>
          <cell r="C1367">
            <v>501</v>
          </cell>
          <cell r="D1367" t="str">
            <v>A503</v>
          </cell>
          <cell r="E1367" t="str">
            <v>Q</v>
          </cell>
          <cell r="F1367">
            <v>1</v>
          </cell>
        </row>
        <row r="1368">
          <cell r="A1368" t="str">
            <v>09501A503</v>
          </cell>
          <cell r="B1368" t="str">
            <v>09</v>
          </cell>
          <cell r="C1368">
            <v>501</v>
          </cell>
          <cell r="D1368" t="str">
            <v>A503</v>
          </cell>
          <cell r="E1368" t="str">
            <v>Q</v>
          </cell>
          <cell r="F1368">
            <v>1</v>
          </cell>
        </row>
        <row r="1369">
          <cell r="A1369" t="str">
            <v>09601A503</v>
          </cell>
          <cell r="B1369" t="str">
            <v>09</v>
          </cell>
          <cell r="C1369">
            <v>601</v>
          </cell>
          <cell r="D1369" t="str">
            <v>A503</v>
          </cell>
          <cell r="E1369" t="str">
            <v>Q</v>
          </cell>
          <cell r="F1369">
            <v>5</v>
          </cell>
        </row>
        <row r="1370">
          <cell r="A1370" t="str">
            <v>09601A503</v>
          </cell>
          <cell r="B1370" t="str">
            <v>09</v>
          </cell>
          <cell r="C1370">
            <v>601</v>
          </cell>
          <cell r="D1370" t="str">
            <v>A503</v>
          </cell>
          <cell r="E1370" t="str">
            <v>Q</v>
          </cell>
          <cell r="F1370">
            <v>5</v>
          </cell>
        </row>
        <row r="1371">
          <cell r="A1371" t="str">
            <v>09602A503</v>
          </cell>
          <cell r="B1371" t="str">
            <v>09</v>
          </cell>
          <cell r="C1371">
            <v>602</v>
          </cell>
          <cell r="D1371" t="str">
            <v>A503</v>
          </cell>
          <cell r="E1371" t="str">
            <v>R</v>
          </cell>
          <cell r="F1371">
            <v>6</v>
          </cell>
        </row>
        <row r="1372">
          <cell r="A1372" t="str">
            <v>09602A503</v>
          </cell>
          <cell r="B1372" t="str">
            <v>09</v>
          </cell>
          <cell r="C1372">
            <v>602</v>
          </cell>
          <cell r="D1372" t="str">
            <v>A503</v>
          </cell>
          <cell r="E1372" t="str">
            <v>R</v>
          </cell>
          <cell r="F1372">
            <v>6</v>
          </cell>
        </row>
        <row r="1373">
          <cell r="A1373" t="str">
            <v>09603A503</v>
          </cell>
          <cell r="B1373" t="str">
            <v>09</v>
          </cell>
          <cell r="C1373">
            <v>603</v>
          </cell>
          <cell r="D1373" t="str">
            <v>A503</v>
          </cell>
          <cell r="E1373" t="str">
            <v>S</v>
          </cell>
          <cell r="F1373">
            <v>6</v>
          </cell>
        </row>
        <row r="1374">
          <cell r="A1374" t="str">
            <v>09603A503</v>
          </cell>
          <cell r="B1374" t="str">
            <v>09</v>
          </cell>
          <cell r="C1374">
            <v>603</v>
          </cell>
          <cell r="D1374" t="str">
            <v>A503</v>
          </cell>
          <cell r="E1374" t="str">
            <v>S</v>
          </cell>
          <cell r="F1374">
            <v>6</v>
          </cell>
        </row>
        <row r="1375">
          <cell r="A1375" t="str">
            <v>99200A529</v>
          </cell>
          <cell r="B1375">
            <v>99</v>
          </cell>
          <cell r="C1375">
            <v>200</v>
          </cell>
          <cell r="D1375" t="str">
            <v>A529</v>
          </cell>
          <cell r="E1375" t="str">
            <v>Q</v>
          </cell>
          <cell r="F1375">
            <v>4</v>
          </cell>
        </row>
        <row r="1376">
          <cell r="A1376" t="str">
            <v>99300A529</v>
          </cell>
          <cell r="B1376">
            <v>99</v>
          </cell>
          <cell r="C1376">
            <v>300</v>
          </cell>
          <cell r="D1376" t="str">
            <v>A529</v>
          </cell>
          <cell r="E1376" t="str">
            <v>Q</v>
          </cell>
          <cell r="F1376">
            <v>4</v>
          </cell>
        </row>
        <row r="1377">
          <cell r="A1377" t="str">
            <v>99500A529</v>
          </cell>
          <cell r="B1377">
            <v>99</v>
          </cell>
          <cell r="C1377">
            <v>500</v>
          </cell>
          <cell r="D1377" t="str">
            <v>A529</v>
          </cell>
          <cell r="E1377" t="str">
            <v>A</v>
          </cell>
          <cell r="F1377">
            <v>1</v>
          </cell>
        </row>
        <row r="1378">
          <cell r="A1378" t="str">
            <v>99501A529</v>
          </cell>
          <cell r="B1378">
            <v>99</v>
          </cell>
          <cell r="C1378">
            <v>501</v>
          </cell>
          <cell r="D1378" t="str">
            <v>A529</v>
          </cell>
          <cell r="E1378" t="str">
            <v>Q</v>
          </cell>
          <cell r="F1378">
            <v>1</v>
          </cell>
        </row>
        <row r="1379">
          <cell r="A1379" t="str">
            <v>99601A529</v>
          </cell>
          <cell r="B1379">
            <v>99</v>
          </cell>
          <cell r="C1379">
            <v>601</v>
          </cell>
          <cell r="D1379" t="str">
            <v>A529</v>
          </cell>
          <cell r="E1379" t="str">
            <v>Q</v>
          </cell>
          <cell r="F1379">
            <v>5</v>
          </cell>
        </row>
        <row r="1380">
          <cell r="A1380" t="str">
            <v>99602A529</v>
          </cell>
          <cell r="B1380">
            <v>99</v>
          </cell>
          <cell r="C1380">
            <v>602</v>
          </cell>
          <cell r="D1380" t="str">
            <v>A529</v>
          </cell>
          <cell r="E1380" t="str">
            <v>R</v>
          </cell>
          <cell r="F1380">
            <v>6</v>
          </cell>
        </row>
        <row r="1381">
          <cell r="A1381" t="str">
            <v>99603A529</v>
          </cell>
          <cell r="B1381">
            <v>99</v>
          </cell>
          <cell r="C1381">
            <v>603</v>
          </cell>
          <cell r="D1381" t="str">
            <v>A529</v>
          </cell>
          <cell r="E1381" t="str">
            <v>S</v>
          </cell>
          <cell r="F1381">
            <v>6</v>
          </cell>
        </row>
        <row r="1382">
          <cell r="A1382" t="str">
            <v>09200A529</v>
          </cell>
          <cell r="B1382" t="str">
            <v>09</v>
          </cell>
          <cell r="C1382">
            <v>200</v>
          </cell>
          <cell r="D1382" t="str">
            <v>A529</v>
          </cell>
          <cell r="E1382" t="str">
            <v>Q</v>
          </cell>
          <cell r="F1382">
            <v>4</v>
          </cell>
        </row>
        <row r="1383">
          <cell r="A1383" t="str">
            <v>09300A529</v>
          </cell>
          <cell r="B1383" t="str">
            <v>09</v>
          </cell>
          <cell r="C1383">
            <v>300</v>
          </cell>
          <cell r="D1383" t="str">
            <v>A529</v>
          </cell>
          <cell r="E1383" t="str">
            <v>Q</v>
          </cell>
          <cell r="F1383">
            <v>4</v>
          </cell>
        </row>
        <row r="1384">
          <cell r="A1384" t="str">
            <v>09500A529</v>
          </cell>
          <cell r="B1384" t="str">
            <v>09</v>
          </cell>
          <cell r="C1384">
            <v>500</v>
          </cell>
          <cell r="D1384" t="str">
            <v>A529</v>
          </cell>
          <cell r="E1384" t="str">
            <v>A</v>
          </cell>
          <cell r="F1384">
            <v>1</v>
          </cell>
        </row>
        <row r="1385">
          <cell r="A1385" t="str">
            <v>09501A529</v>
          </cell>
          <cell r="B1385" t="str">
            <v>09</v>
          </cell>
          <cell r="C1385">
            <v>501</v>
          </cell>
          <cell r="D1385" t="str">
            <v>A529</v>
          </cell>
          <cell r="E1385" t="str">
            <v>Q</v>
          </cell>
          <cell r="F1385">
            <v>1</v>
          </cell>
        </row>
        <row r="1386">
          <cell r="A1386" t="str">
            <v>09601A529</v>
          </cell>
          <cell r="B1386" t="str">
            <v>09</v>
          </cell>
          <cell r="C1386">
            <v>601</v>
          </cell>
          <cell r="D1386" t="str">
            <v>A529</v>
          </cell>
          <cell r="E1386" t="str">
            <v>Q</v>
          </cell>
          <cell r="F1386">
            <v>5</v>
          </cell>
        </row>
        <row r="1387">
          <cell r="A1387" t="str">
            <v>09602A529</v>
          </cell>
          <cell r="B1387" t="str">
            <v>09</v>
          </cell>
          <cell r="C1387">
            <v>602</v>
          </cell>
          <cell r="D1387" t="str">
            <v>A529</v>
          </cell>
          <cell r="E1387" t="str">
            <v>R</v>
          </cell>
          <cell r="F1387">
            <v>6</v>
          </cell>
        </row>
        <row r="1388">
          <cell r="A1388" t="str">
            <v>09603A529</v>
          </cell>
          <cell r="B1388" t="str">
            <v>09</v>
          </cell>
          <cell r="C1388">
            <v>603</v>
          </cell>
          <cell r="D1388" t="str">
            <v>A529</v>
          </cell>
          <cell r="E1388" t="str">
            <v>S</v>
          </cell>
          <cell r="F1388">
            <v>6</v>
          </cell>
        </row>
        <row r="1389">
          <cell r="A1389" t="str">
            <v>99200A551</v>
          </cell>
          <cell r="B1389">
            <v>99</v>
          </cell>
          <cell r="C1389">
            <v>200</v>
          </cell>
          <cell r="D1389" t="str">
            <v>A551</v>
          </cell>
          <cell r="E1389" t="str">
            <v>Q</v>
          </cell>
          <cell r="F1389">
            <v>4</v>
          </cell>
        </row>
        <row r="1390">
          <cell r="A1390" t="str">
            <v>99300A551</v>
          </cell>
          <cell r="B1390">
            <v>99</v>
          </cell>
          <cell r="C1390">
            <v>300</v>
          </cell>
          <cell r="D1390" t="str">
            <v>A551</v>
          </cell>
          <cell r="E1390" t="str">
            <v>Q</v>
          </cell>
          <cell r="F1390">
            <v>4</v>
          </cell>
        </row>
        <row r="1391">
          <cell r="A1391" t="str">
            <v>99500A551</v>
          </cell>
          <cell r="B1391">
            <v>99</v>
          </cell>
          <cell r="C1391">
            <v>500</v>
          </cell>
          <cell r="D1391" t="str">
            <v>A551</v>
          </cell>
          <cell r="E1391" t="str">
            <v>A</v>
          </cell>
          <cell r="F1391">
            <v>1</v>
          </cell>
        </row>
        <row r="1392">
          <cell r="A1392" t="str">
            <v>99501A551</v>
          </cell>
          <cell r="B1392">
            <v>99</v>
          </cell>
          <cell r="C1392">
            <v>501</v>
          </cell>
          <cell r="D1392" t="str">
            <v>A551</v>
          </cell>
          <cell r="E1392" t="str">
            <v>Q</v>
          </cell>
          <cell r="F1392">
            <v>1</v>
          </cell>
        </row>
        <row r="1393">
          <cell r="A1393" t="str">
            <v>99601A551</v>
          </cell>
          <cell r="B1393">
            <v>99</v>
          </cell>
          <cell r="C1393">
            <v>601</v>
          </cell>
          <cell r="D1393" t="str">
            <v>A551</v>
          </cell>
          <cell r="E1393" t="str">
            <v>Q</v>
          </cell>
          <cell r="F1393">
            <v>5</v>
          </cell>
        </row>
        <row r="1394">
          <cell r="A1394" t="str">
            <v>99602A551</v>
          </cell>
          <cell r="B1394">
            <v>99</v>
          </cell>
          <cell r="C1394">
            <v>602</v>
          </cell>
          <cell r="D1394" t="str">
            <v>A551</v>
          </cell>
          <cell r="E1394" t="str">
            <v>R</v>
          </cell>
          <cell r="F1394">
            <v>6</v>
          </cell>
        </row>
        <row r="1395">
          <cell r="A1395" t="str">
            <v>99603A551</v>
          </cell>
          <cell r="B1395">
            <v>99</v>
          </cell>
          <cell r="C1395">
            <v>603</v>
          </cell>
          <cell r="D1395" t="str">
            <v>A551</v>
          </cell>
          <cell r="E1395" t="str">
            <v>S</v>
          </cell>
          <cell r="F1395">
            <v>6</v>
          </cell>
        </row>
        <row r="1396">
          <cell r="A1396" t="str">
            <v>09200A551</v>
          </cell>
          <cell r="B1396" t="str">
            <v>09</v>
          </cell>
          <cell r="C1396">
            <v>200</v>
          </cell>
          <cell r="D1396" t="str">
            <v>A551</v>
          </cell>
          <cell r="E1396" t="str">
            <v>Q</v>
          </cell>
          <cell r="F1396">
            <v>4</v>
          </cell>
        </row>
        <row r="1397">
          <cell r="A1397" t="str">
            <v>09300A551</v>
          </cell>
          <cell r="B1397" t="str">
            <v>09</v>
          </cell>
          <cell r="C1397">
            <v>300</v>
          </cell>
          <cell r="D1397" t="str">
            <v>A551</v>
          </cell>
          <cell r="E1397" t="str">
            <v>Q</v>
          </cell>
          <cell r="F1397">
            <v>4</v>
          </cell>
        </row>
        <row r="1398">
          <cell r="A1398" t="str">
            <v>09500A551</v>
          </cell>
          <cell r="B1398" t="str">
            <v>09</v>
          </cell>
          <cell r="C1398">
            <v>500</v>
          </cell>
          <cell r="D1398" t="str">
            <v>A551</v>
          </cell>
          <cell r="E1398" t="str">
            <v>A</v>
          </cell>
          <cell r="F1398">
            <v>1</v>
          </cell>
        </row>
        <row r="1399">
          <cell r="A1399" t="str">
            <v>09501A551</v>
          </cell>
          <cell r="B1399" t="str">
            <v>09</v>
          </cell>
          <cell r="C1399">
            <v>501</v>
          </cell>
          <cell r="D1399" t="str">
            <v>A551</v>
          </cell>
          <cell r="E1399" t="str">
            <v>Q</v>
          </cell>
          <cell r="F1399">
            <v>1</v>
          </cell>
        </row>
        <row r="1400">
          <cell r="A1400" t="str">
            <v>09601A551</v>
          </cell>
          <cell r="B1400" t="str">
            <v>09</v>
          </cell>
          <cell r="C1400">
            <v>601</v>
          </cell>
          <cell r="D1400" t="str">
            <v>A551</v>
          </cell>
          <cell r="E1400" t="str">
            <v>Q</v>
          </cell>
          <cell r="F1400">
            <v>5</v>
          </cell>
        </row>
        <row r="1401">
          <cell r="A1401" t="str">
            <v>09602A551</v>
          </cell>
          <cell r="B1401" t="str">
            <v>09</v>
          </cell>
          <cell r="C1401">
            <v>602</v>
          </cell>
          <cell r="D1401" t="str">
            <v>A551</v>
          </cell>
          <cell r="E1401" t="str">
            <v>R</v>
          </cell>
          <cell r="F1401">
            <v>6</v>
          </cell>
        </row>
        <row r="1402">
          <cell r="A1402" t="str">
            <v>09603A551</v>
          </cell>
          <cell r="B1402" t="str">
            <v>09</v>
          </cell>
          <cell r="C1402">
            <v>603</v>
          </cell>
          <cell r="D1402" t="str">
            <v>A551</v>
          </cell>
          <cell r="E1402" t="str">
            <v>S</v>
          </cell>
          <cell r="F1402">
            <v>6</v>
          </cell>
        </row>
        <row r="1403">
          <cell r="A1403" t="str">
            <v>99200A552</v>
          </cell>
          <cell r="B1403">
            <v>99</v>
          </cell>
          <cell r="C1403">
            <v>200</v>
          </cell>
          <cell r="D1403" t="str">
            <v>A552</v>
          </cell>
          <cell r="E1403" t="str">
            <v>Q</v>
          </cell>
          <cell r="F1403">
            <v>4</v>
          </cell>
        </row>
        <row r="1404">
          <cell r="A1404" t="str">
            <v>99300A552</v>
          </cell>
          <cell r="B1404">
            <v>99</v>
          </cell>
          <cell r="C1404">
            <v>300</v>
          </cell>
          <cell r="D1404" t="str">
            <v>A552</v>
          </cell>
          <cell r="E1404" t="str">
            <v>Q</v>
          </cell>
          <cell r="F1404">
            <v>4</v>
          </cell>
        </row>
        <row r="1405">
          <cell r="A1405" t="str">
            <v>99500A552</v>
          </cell>
          <cell r="B1405">
            <v>99</v>
          </cell>
          <cell r="C1405">
            <v>500</v>
          </cell>
          <cell r="D1405" t="str">
            <v>A552</v>
          </cell>
          <cell r="E1405" t="str">
            <v>D</v>
          </cell>
          <cell r="F1405">
            <v>1</v>
          </cell>
        </row>
        <row r="1406">
          <cell r="A1406" t="str">
            <v>99501A552</v>
          </cell>
          <cell r="B1406">
            <v>99</v>
          </cell>
          <cell r="C1406">
            <v>501</v>
          </cell>
          <cell r="D1406" t="str">
            <v>A552</v>
          </cell>
          <cell r="E1406" t="str">
            <v>Q</v>
          </cell>
          <cell r="F1406">
            <v>1</v>
          </cell>
        </row>
        <row r="1407">
          <cell r="A1407" t="str">
            <v>99601A552</v>
          </cell>
          <cell r="B1407">
            <v>99</v>
          </cell>
          <cell r="C1407">
            <v>601</v>
          </cell>
          <cell r="D1407" t="str">
            <v>A552</v>
          </cell>
          <cell r="E1407" t="str">
            <v>Q</v>
          </cell>
          <cell r="F1407">
            <v>5</v>
          </cell>
        </row>
        <row r="1408">
          <cell r="A1408" t="str">
            <v>99602A552</v>
          </cell>
          <cell r="B1408">
            <v>99</v>
          </cell>
          <cell r="C1408">
            <v>602</v>
          </cell>
          <cell r="D1408" t="str">
            <v>A552</v>
          </cell>
          <cell r="E1408" t="str">
            <v>R</v>
          </cell>
          <cell r="F1408">
            <v>6</v>
          </cell>
        </row>
        <row r="1409">
          <cell r="A1409" t="str">
            <v>99603A552</v>
          </cell>
          <cell r="B1409">
            <v>99</v>
          </cell>
          <cell r="C1409">
            <v>603</v>
          </cell>
          <cell r="D1409" t="str">
            <v>A552</v>
          </cell>
          <cell r="E1409" t="str">
            <v>S</v>
          </cell>
          <cell r="F1409">
            <v>6</v>
          </cell>
        </row>
        <row r="1410">
          <cell r="A1410" t="str">
            <v>09200A552</v>
          </cell>
          <cell r="B1410" t="str">
            <v>09</v>
          </cell>
          <cell r="C1410">
            <v>200</v>
          </cell>
          <cell r="D1410" t="str">
            <v>A552</v>
          </cell>
          <cell r="E1410" t="str">
            <v>Q</v>
          </cell>
          <cell r="F1410">
            <v>4</v>
          </cell>
        </row>
        <row r="1411">
          <cell r="A1411" t="str">
            <v>09300A552</v>
          </cell>
          <cell r="B1411" t="str">
            <v>09</v>
          </cell>
          <cell r="C1411">
            <v>300</v>
          </cell>
          <cell r="D1411" t="str">
            <v>A552</v>
          </cell>
          <cell r="E1411" t="str">
            <v>Q</v>
          </cell>
          <cell r="F1411">
            <v>4</v>
          </cell>
        </row>
        <row r="1412">
          <cell r="A1412" t="str">
            <v>09500A552</v>
          </cell>
          <cell r="B1412" t="str">
            <v>09</v>
          </cell>
          <cell r="C1412">
            <v>500</v>
          </cell>
          <cell r="D1412" t="str">
            <v>A552</v>
          </cell>
          <cell r="E1412" t="str">
            <v>D</v>
          </cell>
          <cell r="F1412">
            <v>1</v>
          </cell>
        </row>
        <row r="1413">
          <cell r="A1413" t="str">
            <v>09501A552</v>
          </cell>
          <cell r="B1413" t="str">
            <v>09</v>
          </cell>
          <cell r="C1413">
            <v>501</v>
          </cell>
          <cell r="D1413" t="str">
            <v>A552</v>
          </cell>
          <cell r="E1413" t="str">
            <v>Q</v>
          </cell>
          <cell r="F1413">
            <v>1</v>
          </cell>
        </row>
        <row r="1414">
          <cell r="A1414" t="str">
            <v>09601A552</v>
          </cell>
          <cell r="B1414" t="str">
            <v>09</v>
          </cell>
          <cell r="C1414">
            <v>601</v>
          </cell>
          <cell r="D1414" t="str">
            <v>A552</v>
          </cell>
          <cell r="E1414" t="str">
            <v>Q</v>
          </cell>
          <cell r="F1414">
            <v>5</v>
          </cell>
        </row>
        <row r="1415">
          <cell r="A1415" t="str">
            <v>09602A552</v>
          </cell>
          <cell r="B1415" t="str">
            <v>09</v>
          </cell>
          <cell r="C1415">
            <v>602</v>
          </cell>
          <cell r="D1415" t="str">
            <v>A552</v>
          </cell>
          <cell r="E1415" t="str">
            <v>R</v>
          </cell>
          <cell r="F1415">
            <v>6</v>
          </cell>
        </row>
        <row r="1416">
          <cell r="A1416" t="str">
            <v>09603A552</v>
          </cell>
          <cell r="B1416" t="str">
            <v>09</v>
          </cell>
          <cell r="C1416">
            <v>603</v>
          </cell>
          <cell r="D1416" t="str">
            <v>A552</v>
          </cell>
          <cell r="E1416" t="str">
            <v>S</v>
          </cell>
          <cell r="F1416">
            <v>6</v>
          </cell>
        </row>
        <row r="1417">
          <cell r="A1417" t="str">
            <v>99200A553</v>
          </cell>
          <cell r="B1417">
            <v>99</v>
          </cell>
          <cell r="C1417">
            <v>200</v>
          </cell>
          <cell r="D1417" t="str">
            <v>A553</v>
          </cell>
          <cell r="E1417" t="str">
            <v>Q</v>
          </cell>
          <cell r="F1417">
            <v>4</v>
          </cell>
        </row>
        <row r="1418">
          <cell r="A1418" t="str">
            <v>99300A553</v>
          </cell>
          <cell r="B1418">
            <v>99</v>
          </cell>
          <cell r="C1418">
            <v>300</v>
          </cell>
          <cell r="D1418" t="str">
            <v>A553</v>
          </cell>
          <cell r="E1418" t="str">
            <v>Q</v>
          </cell>
          <cell r="F1418">
            <v>4</v>
          </cell>
        </row>
        <row r="1419">
          <cell r="A1419" t="str">
            <v>99500A553</v>
          </cell>
          <cell r="B1419">
            <v>99</v>
          </cell>
          <cell r="C1419">
            <v>500</v>
          </cell>
          <cell r="D1419" t="str">
            <v>A553</v>
          </cell>
          <cell r="E1419" t="str">
            <v>A</v>
          </cell>
          <cell r="F1419">
            <v>1</v>
          </cell>
        </row>
        <row r="1420">
          <cell r="A1420" t="str">
            <v>99501A553</v>
          </cell>
          <cell r="B1420">
            <v>99</v>
          </cell>
          <cell r="C1420">
            <v>501</v>
          </cell>
          <cell r="D1420" t="str">
            <v>A553</v>
          </cell>
          <cell r="E1420" t="str">
            <v>Q</v>
          </cell>
          <cell r="F1420">
            <v>1</v>
          </cell>
        </row>
        <row r="1421">
          <cell r="A1421" t="str">
            <v>99509A553</v>
          </cell>
          <cell r="B1421">
            <v>99</v>
          </cell>
          <cell r="C1421">
            <v>509</v>
          </cell>
          <cell r="D1421" t="str">
            <v>A553</v>
          </cell>
          <cell r="E1421" t="str">
            <v>G</v>
          </cell>
          <cell r="F1421">
            <v>1</v>
          </cell>
        </row>
        <row r="1422">
          <cell r="A1422" t="str">
            <v>99601A553</v>
          </cell>
          <cell r="B1422">
            <v>99</v>
          </cell>
          <cell r="C1422">
            <v>601</v>
          </cell>
          <cell r="D1422" t="str">
            <v>A553</v>
          </cell>
          <cell r="E1422" t="str">
            <v>Q</v>
          </cell>
          <cell r="F1422">
            <v>5</v>
          </cell>
        </row>
        <row r="1423">
          <cell r="A1423" t="str">
            <v>99602A553</v>
          </cell>
          <cell r="B1423">
            <v>99</v>
          </cell>
          <cell r="C1423">
            <v>602</v>
          </cell>
          <cell r="D1423" t="str">
            <v>A553</v>
          </cell>
          <cell r="E1423" t="str">
            <v>R</v>
          </cell>
          <cell r="F1423">
            <v>6</v>
          </cell>
        </row>
        <row r="1424">
          <cell r="A1424" t="str">
            <v>99603A553</v>
          </cell>
          <cell r="B1424">
            <v>99</v>
          </cell>
          <cell r="C1424">
            <v>603</v>
          </cell>
          <cell r="D1424" t="str">
            <v>A553</v>
          </cell>
          <cell r="E1424" t="str">
            <v>S</v>
          </cell>
          <cell r="F1424">
            <v>6</v>
          </cell>
        </row>
        <row r="1425">
          <cell r="A1425" t="str">
            <v>09200A553</v>
          </cell>
          <cell r="B1425" t="str">
            <v>09</v>
          </cell>
          <cell r="C1425">
            <v>200</v>
          </cell>
          <cell r="D1425" t="str">
            <v>A553</v>
          </cell>
          <cell r="E1425" t="str">
            <v>Q</v>
          </cell>
          <cell r="F1425">
            <v>4</v>
          </cell>
        </row>
        <row r="1426">
          <cell r="A1426" t="str">
            <v>09300A553</v>
          </cell>
          <cell r="B1426" t="str">
            <v>09</v>
          </cell>
          <cell r="C1426">
            <v>300</v>
          </cell>
          <cell r="D1426" t="str">
            <v>A553</v>
          </cell>
          <cell r="E1426" t="str">
            <v>Q</v>
          </cell>
          <cell r="F1426">
            <v>4</v>
          </cell>
        </row>
        <row r="1427">
          <cell r="A1427" t="str">
            <v>09500A553</v>
          </cell>
          <cell r="B1427" t="str">
            <v>09</v>
          </cell>
          <cell r="C1427">
            <v>500</v>
          </cell>
          <cell r="D1427" t="str">
            <v>A553</v>
          </cell>
          <cell r="E1427" t="str">
            <v>A</v>
          </cell>
          <cell r="F1427">
            <v>1</v>
          </cell>
        </row>
        <row r="1428">
          <cell r="A1428" t="str">
            <v>09501A553</v>
          </cell>
          <cell r="B1428" t="str">
            <v>09</v>
          </cell>
          <cell r="C1428">
            <v>501</v>
          </cell>
          <cell r="D1428" t="str">
            <v>A553</v>
          </cell>
          <cell r="E1428" t="str">
            <v>Q</v>
          </cell>
          <cell r="F1428">
            <v>1</v>
          </cell>
        </row>
        <row r="1429">
          <cell r="A1429" t="str">
            <v>09601A553</v>
          </cell>
          <cell r="B1429" t="str">
            <v>09</v>
          </cell>
          <cell r="C1429">
            <v>601</v>
          </cell>
          <cell r="D1429" t="str">
            <v>A553</v>
          </cell>
          <cell r="E1429" t="str">
            <v>Q</v>
          </cell>
          <cell r="F1429">
            <v>5</v>
          </cell>
        </row>
        <row r="1430">
          <cell r="A1430" t="str">
            <v>09602A553</v>
          </cell>
          <cell r="B1430" t="str">
            <v>09</v>
          </cell>
          <cell r="C1430">
            <v>602</v>
          </cell>
          <cell r="D1430" t="str">
            <v>A553</v>
          </cell>
          <cell r="E1430" t="str">
            <v>R</v>
          </cell>
          <cell r="F1430">
            <v>6</v>
          </cell>
        </row>
        <row r="1431">
          <cell r="A1431" t="str">
            <v>09603A553</v>
          </cell>
          <cell r="B1431" t="str">
            <v>09</v>
          </cell>
          <cell r="C1431">
            <v>603</v>
          </cell>
          <cell r="D1431" t="str">
            <v>A553</v>
          </cell>
          <cell r="E1431" t="str">
            <v>S</v>
          </cell>
          <cell r="F1431">
            <v>6</v>
          </cell>
        </row>
        <row r="1432">
          <cell r="A1432" t="str">
            <v>99200A571</v>
          </cell>
          <cell r="B1432">
            <v>99</v>
          </cell>
          <cell r="C1432">
            <v>200</v>
          </cell>
          <cell r="D1432" t="str">
            <v>A571</v>
          </cell>
          <cell r="E1432" t="str">
            <v>Q</v>
          </cell>
          <cell r="F1432">
            <v>4</v>
          </cell>
        </row>
        <row r="1433">
          <cell r="A1433" t="str">
            <v>99300A571</v>
          </cell>
          <cell r="B1433">
            <v>99</v>
          </cell>
          <cell r="C1433">
            <v>300</v>
          </cell>
          <cell r="D1433" t="str">
            <v>A571</v>
          </cell>
          <cell r="E1433" t="str">
            <v>Q</v>
          </cell>
          <cell r="F1433">
            <v>4</v>
          </cell>
        </row>
        <row r="1434">
          <cell r="A1434" t="str">
            <v>99400A571</v>
          </cell>
          <cell r="B1434">
            <v>99</v>
          </cell>
          <cell r="C1434">
            <v>400</v>
          </cell>
          <cell r="D1434" t="str">
            <v>A571</v>
          </cell>
          <cell r="E1434" t="str">
            <v>M</v>
          </cell>
          <cell r="F1434">
            <v>5</v>
          </cell>
        </row>
        <row r="1435">
          <cell r="A1435" t="str">
            <v>99500A571</v>
          </cell>
          <cell r="B1435">
            <v>99</v>
          </cell>
          <cell r="C1435">
            <v>500</v>
          </cell>
          <cell r="D1435" t="str">
            <v>A571</v>
          </cell>
          <cell r="E1435" t="str">
            <v>D</v>
          </cell>
          <cell r="F1435">
            <v>1</v>
          </cell>
        </row>
        <row r="1436">
          <cell r="A1436" t="str">
            <v>99501A571</v>
          </cell>
          <cell r="B1436">
            <v>99</v>
          </cell>
          <cell r="C1436">
            <v>501</v>
          </cell>
          <cell r="D1436" t="str">
            <v>A571</v>
          </cell>
          <cell r="E1436" t="str">
            <v>Q</v>
          </cell>
          <cell r="F1436">
            <v>1</v>
          </cell>
        </row>
        <row r="1437">
          <cell r="A1437" t="str">
            <v>99601A571</v>
          </cell>
          <cell r="B1437">
            <v>99</v>
          </cell>
          <cell r="C1437">
            <v>601</v>
          </cell>
          <cell r="D1437" t="str">
            <v>A571</v>
          </cell>
          <cell r="E1437" t="str">
            <v>Q</v>
          </cell>
          <cell r="F1437">
            <v>5</v>
          </cell>
        </row>
        <row r="1438">
          <cell r="A1438" t="str">
            <v>99602A571</v>
          </cell>
          <cell r="B1438">
            <v>99</v>
          </cell>
          <cell r="C1438">
            <v>602</v>
          </cell>
          <cell r="D1438" t="str">
            <v>A571</v>
          </cell>
          <cell r="E1438" t="str">
            <v>R</v>
          </cell>
          <cell r="F1438">
            <v>6</v>
          </cell>
        </row>
        <row r="1439">
          <cell r="A1439" t="str">
            <v>99603A571</v>
          </cell>
          <cell r="B1439">
            <v>99</v>
          </cell>
          <cell r="C1439">
            <v>603</v>
          </cell>
          <cell r="D1439" t="str">
            <v>A571</v>
          </cell>
          <cell r="E1439" t="str">
            <v>S</v>
          </cell>
          <cell r="F1439">
            <v>6</v>
          </cell>
        </row>
        <row r="1440">
          <cell r="A1440" t="str">
            <v>09200A571</v>
          </cell>
          <cell r="B1440" t="str">
            <v>09</v>
          </cell>
          <cell r="C1440">
            <v>200</v>
          </cell>
          <cell r="D1440" t="str">
            <v>A571</v>
          </cell>
          <cell r="E1440" t="str">
            <v>Q</v>
          </cell>
          <cell r="F1440">
            <v>4</v>
          </cell>
        </row>
        <row r="1441">
          <cell r="A1441" t="str">
            <v>09300A571</v>
          </cell>
          <cell r="B1441" t="str">
            <v>09</v>
          </cell>
          <cell r="C1441">
            <v>300</v>
          </cell>
          <cell r="D1441" t="str">
            <v>A571</v>
          </cell>
          <cell r="E1441" t="str">
            <v>Q</v>
          </cell>
          <cell r="F1441">
            <v>4</v>
          </cell>
        </row>
        <row r="1442">
          <cell r="A1442" t="str">
            <v>09400A571</v>
          </cell>
          <cell r="B1442" t="str">
            <v>09</v>
          </cell>
          <cell r="C1442">
            <v>400</v>
          </cell>
          <cell r="D1442" t="str">
            <v>A571</v>
          </cell>
          <cell r="E1442" t="str">
            <v>M</v>
          </cell>
          <cell r="F1442">
            <v>5</v>
          </cell>
        </row>
        <row r="1443">
          <cell r="A1443" t="str">
            <v>09500A571</v>
          </cell>
          <cell r="B1443" t="str">
            <v>09</v>
          </cell>
          <cell r="C1443">
            <v>500</v>
          </cell>
          <cell r="D1443" t="str">
            <v>A571</v>
          </cell>
          <cell r="E1443" t="str">
            <v>D</v>
          </cell>
          <cell r="F1443">
            <v>1</v>
          </cell>
        </row>
        <row r="1444">
          <cell r="A1444" t="str">
            <v>09501A571</v>
          </cell>
          <cell r="B1444" t="str">
            <v>09</v>
          </cell>
          <cell r="C1444">
            <v>501</v>
          </cell>
          <cell r="D1444" t="str">
            <v>A571</v>
          </cell>
          <cell r="E1444" t="str">
            <v>Q</v>
          </cell>
          <cell r="F1444">
            <v>1</v>
          </cell>
        </row>
        <row r="1445">
          <cell r="A1445" t="str">
            <v>09601A571</v>
          </cell>
          <cell r="B1445" t="str">
            <v>09</v>
          </cell>
          <cell r="C1445">
            <v>601</v>
          </cell>
          <cell r="D1445" t="str">
            <v>A571</v>
          </cell>
          <cell r="E1445" t="str">
            <v>Q</v>
          </cell>
          <cell r="F1445">
            <v>5</v>
          </cell>
        </row>
        <row r="1446">
          <cell r="A1446" t="str">
            <v>09602A571</v>
          </cell>
          <cell r="B1446" t="str">
            <v>09</v>
          </cell>
          <cell r="C1446">
            <v>602</v>
          </cell>
          <cell r="D1446" t="str">
            <v>A571</v>
          </cell>
          <cell r="E1446" t="str">
            <v>R</v>
          </cell>
          <cell r="F1446">
            <v>6</v>
          </cell>
        </row>
        <row r="1447">
          <cell r="A1447" t="str">
            <v>09603A571</v>
          </cell>
          <cell r="B1447" t="str">
            <v>09</v>
          </cell>
          <cell r="C1447">
            <v>603</v>
          </cell>
          <cell r="D1447" t="str">
            <v>A571</v>
          </cell>
          <cell r="E1447" t="str">
            <v>S</v>
          </cell>
          <cell r="F1447">
            <v>6</v>
          </cell>
        </row>
        <row r="1448">
          <cell r="A1448" t="str">
            <v>99200A575</v>
          </cell>
          <cell r="B1448">
            <v>99</v>
          </cell>
          <cell r="C1448">
            <v>200</v>
          </cell>
          <cell r="D1448" t="str">
            <v>A575</v>
          </cell>
          <cell r="E1448" t="str">
            <v>Q</v>
          </cell>
          <cell r="F1448">
            <v>4</v>
          </cell>
        </row>
        <row r="1449">
          <cell r="A1449" t="str">
            <v>99300A575</v>
          </cell>
          <cell r="B1449">
            <v>99</v>
          </cell>
          <cell r="C1449">
            <v>300</v>
          </cell>
          <cell r="D1449" t="str">
            <v>A575</v>
          </cell>
          <cell r="E1449" t="str">
            <v>Q</v>
          </cell>
          <cell r="F1449">
            <v>4</v>
          </cell>
        </row>
        <row r="1450">
          <cell r="A1450" t="str">
            <v>99400A575</v>
          </cell>
          <cell r="B1450">
            <v>99</v>
          </cell>
          <cell r="C1450">
            <v>400</v>
          </cell>
          <cell r="D1450" t="str">
            <v>A575</v>
          </cell>
          <cell r="E1450" t="str">
            <v>M</v>
          </cell>
          <cell r="F1450">
            <v>5</v>
          </cell>
        </row>
        <row r="1451">
          <cell r="A1451" t="str">
            <v>99500A575</v>
          </cell>
          <cell r="B1451">
            <v>99</v>
          </cell>
          <cell r="C1451">
            <v>500</v>
          </cell>
          <cell r="D1451" t="str">
            <v>A575</v>
          </cell>
          <cell r="E1451" t="str">
            <v>E</v>
          </cell>
          <cell r="F1451">
            <v>1</v>
          </cell>
        </row>
        <row r="1452">
          <cell r="A1452" t="str">
            <v>99501A575</v>
          </cell>
          <cell r="B1452">
            <v>99</v>
          </cell>
          <cell r="C1452">
            <v>501</v>
          </cell>
          <cell r="D1452" t="str">
            <v>A575</v>
          </cell>
          <cell r="E1452" t="str">
            <v>Q</v>
          </cell>
          <cell r="F1452">
            <v>1</v>
          </cell>
        </row>
        <row r="1453">
          <cell r="A1453" t="str">
            <v>99600A575</v>
          </cell>
          <cell r="B1453">
            <v>99</v>
          </cell>
          <cell r="C1453">
            <v>600</v>
          </cell>
          <cell r="D1453" t="str">
            <v>A575</v>
          </cell>
          <cell r="E1453" t="str">
            <v>M</v>
          </cell>
          <cell r="F1453">
            <v>5</v>
          </cell>
        </row>
        <row r="1454">
          <cell r="A1454" t="str">
            <v>99601A575</v>
          </cell>
          <cell r="B1454">
            <v>99</v>
          </cell>
          <cell r="C1454">
            <v>601</v>
          </cell>
          <cell r="D1454" t="str">
            <v>A575</v>
          </cell>
          <cell r="E1454" t="str">
            <v>Q</v>
          </cell>
          <cell r="F1454">
            <v>5</v>
          </cell>
        </row>
        <row r="1455">
          <cell r="A1455" t="str">
            <v>99602A575</v>
          </cell>
          <cell r="B1455">
            <v>99</v>
          </cell>
          <cell r="C1455">
            <v>602</v>
          </cell>
          <cell r="D1455" t="str">
            <v>A575</v>
          </cell>
          <cell r="E1455" t="str">
            <v>R</v>
          </cell>
          <cell r="F1455">
            <v>6</v>
          </cell>
        </row>
        <row r="1456">
          <cell r="A1456" t="str">
            <v>99603A575</v>
          </cell>
          <cell r="B1456">
            <v>99</v>
          </cell>
          <cell r="C1456">
            <v>603</v>
          </cell>
          <cell r="D1456" t="str">
            <v>A575</v>
          </cell>
          <cell r="E1456" t="str">
            <v>S</v>
          </cell>
          <cell r="F1456">
            <v>6</v>
          </cell>
        </row>
        <row r="1457">
          <cell r="A1457" t="str">
            <v>09200A575</v>
          </cell>
          <cell r="B1457" t="str">
            <v>09</v>
          </cell>
          <cell r="C1457">
            <v>200</v>
          </cell>
          <cell r="D1457" t="str">
            <v>A575</v>
          </cell>
          <cell r="E1457" t="str">
            <v>Q</v>
          </cell>
          <cell r="F1457">
            <v>4</v>
          </cell>
        </row>
        <row r="1458">
          <cell r="A1458" t="str">
            <v>09300A575</v>
          </cell>
          <cell r="B1458" t="str">
            <v>09</v>
          </cell>
          <cell r="C1458">
            <v>300</v>
          </cell>
          <cell r="D1458" t="str">
            <v>A575</v>
          </cell>
          <cell r="E1458" t="str">
            <v>Q</v>
          </cell>
          <cell r="F1458">
            <v>4</v>
          </cell>
        </row>
        <row r="1459">
          <cell r="A1459" t="str">
            <v>09400A575</v>
          </cell>
          <cell r="B1459" t="str">
            <v>09</v>
          </cell>
          <cell r="C1459" t="str">
            <v>400</v>
          </cell>
          <cell r="D1459" t="str">
            <v>A575</v>
          </cell>
          <cell r="E1459" t="str">
            <v>M</v>
          </cell>
          <cell r="F1459">
            <v>5</v>
          </cell>
        </row>
        <row r="1460">
          <cell r="A1460" t="str">
            <v>09500A575</v>
          </cell>
          <cell r="B1460" t="str">
            <v>09</v>
          </cell>
          <cell r="C1460">
            <v>500</v>
          </cell>
          <cell r="D1460" t="str">
            <v>A575</v>
          </cell>
          <cell r="E1460" t="str">
            <v>E</v>
          </cell>
          <cell r="F1460">
            <v>1</v>
          </cell>
        </row>
        <row r="1461">
          <cell r="A1461" t="str">
            <v>09501A575</v>
          </cell>
          <cell r="B1461" t="str">
            <v>09</v>
          </cell>
          <cell r="C1461">
            <v>501</v>
          </cell>
          <cell r="D1461" t="str">
            <v>A575</v>
          </cell>
          <cell r="E1461" t="str">
            <v>Q</v>
          </cell>
          <cell r="F1461">
            <v>1</v>
          </cell>
        </row>
        <row r="1462">
          <cell r="A1462" t="str">
            <v>09600A575</v>
          </cell>
          <cell r="B1462" t="str">
            <v>09</v>
          </cell>
          <cell r="C1462" t="str">
            <v>600</v>
          </cell>
          <cell r="D1462" t="str">
            <v>A575</v>
          </cell>
          <cell r="E1462" t="str">
            <v>M</v>
          </cell>
          <cell r="F1462">
            <v>5</v>
          </cell>
        </row>
        <row r="1463">
          <cell r="A1463" t="str">
            <v>09601A575</v>
          </cell>
          <cell r="B1463" t="str">
            <v>09</v>
          </cell>
          <cell r="C1463">
            <v>601</v>
          </cell>
          <cell r="D1463" t="str">
            <v>A575</v>
          </cell>
          <cell r="E1463" t="str">
            <v>Q</v>
          </cell>
          <cell r="F1463">
            <v>5</v>
          </cell>
        </row>
        <row r="1464">
          <cell r="A1464" t="str">
            <v>09602A575</v>
          </cell>
          <cell r="B1464" t="str">
            <v>09</v>
          </cell>
          <cell r="C1464">
            <v>602</v>
          </cell>
          <cell r="D1464" t="str">
            <v>A575</v>
          </cell>
          <cell r="E1464" t="str">
            <v>R</v>
          </cell>
          <cell r="F1464">
            <v>6</v>
          </cell>
        </row>
        <row r="1465">
          <cell r="A1465" t="str">
            <v>09603A575</v>
          </cell>
          <cell r="B1465" t="str">
            <v>09</v>
          </cell>
          <cell r="C1465">
            <v>603</v>
          </cell>
          <cell r="D1465" t="str">
            <v>A575</v>
          </cell>
          <cell r="E1465" t="str">
            <v>S</v>
          </cell>
          <cell r="F1465">
            <v>6</v>
          </cell>
        </row>
        <row r="1466">
          <cell r="A1466" t="str">
            <v>99200B503</v>
          </cell>
          <cell r="B1466">
            <v>99</v>
          </cell>
          <cell r="C1466">
            <v>200</v>
          </cell>
          <cell r="D1466" t="str">
            <v>B503</v>
          </cell>
          <cell r="E1466" t="str">
            <v>Q</v>
          </cell>
          <cell r="F1466">
            <v>4</v>
          </cell>
        </row>
        <row r="1467">
          <cell r="A1467" t="str">
            <v>99300B503</v>
          </cell>
          <cell r="B1467">
            <v>99</v>
          </cell>
          <cell r="C1467">
            <v>300</v>
          </cell>
          <cell r="D1467" t="str">
            <v>B503</v>
          </cell>
          <cell r="E1467" t="str">
            <v>Q</v>
          </cell>
          <cell r="F1467">
            <v>4</v>
          </cell>
        </row>
        <row r="1468">
          <cell r="A1468" t="str">
            <v>99500B503</v>
          </cell>
          <cell r="B1468">
            <v>99</v>
          </cell>
          <cell r="C1468">
            <v>500</v>
          </cell>
          <cell r="D1468" t="str">
            <v>B503</v>
          </cell>
          <cell r="E1468" t="str">
            <v>G</v>
          </cell>
          <cell r="F1468">
            <v>1</v>
          </cell>
        </row>
        <row r="1469">
          <cell r="A1469" t="str">
            <v>99501B503</v>
          </cell>
          <cell r="B1469">
            <v>99</v>
          </cell>
          <cell r="C1469">
            <v>501</v>
          </cell>
          <cell r="D1469" t="str">
            <v>B503</v>
          </cell>
          <cell r="E1469" t="str">
            <v>Q</v>
          </cell>
          <cell r="F1469">
            <v>1</v>
          </cell>
        </row>
        <row r="1470">
          <cell r="A1470" t="str">
            <v>99601B503</v>
          </cell>
          <cell r="B1470">
            <v>99</v>
          </cell>
          <cell r="C1470">
            <v>601</v>
          </cell>
          <cell r="D1470" t="str">
            <v>B503</v>
          </cell>
          <cell r="E1470" t="str">
            <v>Q</v>
          </cell>
          <cell r="F1470">
            <v>5</v>
          </cell>
        </row>
        <row r="1471">
          <cell r="A1471" t="str">
            <v>99602B503</v>
          </cell>
          <cell r="B1471">
            <v>99</v>
          </cell>
          <cell r="C1471">
            <v>602</v>
          </cell>
          <cell r="D1471" t="str">
            <v>B503</v>
          </cell>
          <cell r="E1471" t="str">
            <v>R</v>
          </cell>
          <cell r="F1471">
            <v>6</v>
          </cell>
        </row>
        <row r="1472">
          <cell r="A1472" t="str">
            <v>99603B503</v>
          </cell>
          <cell r="B1472">
            <v>99</v>
          </cell>
          <cell r="C1472">
            <v>603</v>
          </cell>
          <cell r="D1472" t="str">
            <v>B503</v>
          </cell>
          <cell r="E1472" t="str">
            <v>S</v>
          </cell>
          <cell r="F1472">
            <v>6</v>
          </cell>
        </row>
        <row r="1473">
          <cell r="A1473" t="str">
            <v>09200B503</v>
          </cell>
          <cell r="B1473" t="str">
            <v>09</v>
          </cell>
          <cell r="C1473">
            <v>200</v>
          </cell>
          <cell r="D1473" t="str">
            <v>B503</v>
          </cell>
          <cell r="E1473" t="str">
            <v>Q</v>
          </cell>
          <cell r="F1473">
            <v>4</v>
          </cell>
        </row>
        <row r="1474">
          <cell r="A1474" t="str">
            <v>09300B503</v>
          </cell>
          <cell r="B1474" t="str">
            <v>09</v>
          </cell>
          <cell r="C1474">
            <v>300</v>
          </cell>
          <cell r="D1474" t="str">
            <v>B503</v>
          </cell>
          <cell r="E1474" t="str">
            <v>Q</v>
          </cell>
          <cell r="F1474">
            <v>4</v>
          </cell>
        </row>
        <row r="1475">
          <cell r="A1475" t="str">
            <v>09500B503</v>
          </cell>
          <cell r="B1475" t="str">
            <v>09</v>
          </cell>
          <cell r="C1475">
            <v>500</v>
          </cell>
          <cell r="D1475" t="str">
            <v>B503</v>
          </cell>
          <cell r="E1475" t="str">
            <v>G</v>
          </cell>
          <cell r="F1475">
            <v>1</v>
          </cell>
        </row>
        <row r="1476">
          <cell r="A1476" t="str">
            <v>09501B503</v>
          </cell>
          <cell r="B1476" t="str">
            <v>09</v>
          </cell>
          <cell r="C1476">
            <v>501</v>
          </cell>
          <cell r="D1476" t="str">
            <v>B503</v>
          </cell>
          <cell r="E1476" t="str">
            <v>Q</v>
          </cell>
          <cell r="F1476">
            <v>1</v>
          </cell>
        </row>
        <row r="1477">
          <cell r="A1477" t="str">
            <v>09601B503</v>
          </cell>
          <cell r="B1477" t="str">
            <v>09</v>
          </cell>
          <cell r="C1477">
            <v>601</v>
          </cell>
          <cell r="D1477" t="str">
            <v>B503</v>
          </cell>
          <cell r="E1477" t="str">
            <v>Q</v>
          </cell>
          <cell r="F1477">
            <v>5</v>
          </cell>
        </row>
        <row r="1478">
          <cell r="A1478" t="str">
            <v>09602B503</v>
          </cell>
          <cell r="B1478" t="str">
            <v>09</v>
          </cell>
          <cell r="C1478">
            <v>602</v>
          </cell>
          <cell r="D1478" t="str">
            <v>B503</v>
          </cell>
          <cell r="E1478" t="str">
            <v>R</v>
          </cell>
          <cell r="F1478">
            <v>6</v>
          </cell>
        </row>
        <row r="1479">
          <cell r="A1479" t="str">
            <v>09603B503</v>
          </cell>
          <cell r="B1479" t="str">
            <v>09</v>
          </cell>
          <cell r="C1479">
            <v>603</v>
          </cell>
          <cell r="D1479" t="str">
            <v>B503</v>
          </cell>
          <cell r="E1479" t="str">
            <v>S</v>
          </cell>
          <cell r="F1479">
            <v>6</v>
          </cell>
        </row>
        <row r="1480">
          <cell r="A1480" t="str">
            <v>99200B521</v>
          </cell>
          <cell r="B1480">
            <v>99</v>
          </cell>
          <cell r="C1480">
            <v>200</v>
          </cell>
          <cell r="D1480" t="str">
            <v>B521</v>
          </cell>
          <cell r="E1480" t="str">
            <v>Q</v>
          </cell>
          <cell r="F1480">
            <v>4</v>
          </cell>
        </row>
        <row r="1481">
          <cell r="A1481" t="str">
            <v>99300B521</v>
          </cell>
          <cell r="B1481">
            <v>99</v>
          </cell>
          <cell r="C1481">
            <v>300</v>
          </cell>
          <cell r="D1481" t="str">
            <v>B521</v>
          </cell>
          <cell r="E1481" t="str">
            <v>Q</v>
          </cell>
          <cell r="F1481">
            <v>4</v>
          </cell>
        </row>
        <row r="1482">
          <cell r="A1482" t="str">
            <v>99500B521</v>
          </cell>
          <cell r="B1482">
            <v>99</v>
          </cell>
          <cell r="C1482">
            <v>500</v>
          </cell>
          <cell r="D1482" t="str">
            <v>B521</v>
          </cell>
          <cell r="E1482" t="str">
            <v>A</v>
          </cell>
          <cell r="F1482">
            <v>1</v>
          </cell>
        </row>
        <row r="1483">
          <cell r="A1483" t="str">
            <v>99501B521</v>
          </cell>
          <cell r="B1483">
            <v>99</v>
          </cell>
          <cell r="C1483">
            <v>501</v>
          </cell>
          <cell r="D1483" t="str">
            <v>B521</v>
          </cell>
          <cell r="E1483" t="str">
            <v>Q</v>
          </cell>
          <cell r="F1483">
            <v>1</v>
          </cell>
        </row>
        <row r="1484">
          <cell r="A1484" t="str">
            <v>99509B521</v>
          </cell>
          <cell r="B1484">
            <v>99</v>
          </cell>
          <cell r="C1484">
            <v>509</v>
          </cell>
          <cell r="D1484" t="str">
            <v>B521</v>
          </cell>
          <cell r="E1484" t="str">
            <v>G</v>
          </cell>
          <cell r="F1484">
            <v>1</v>
          </cell>
        </row>
        <row r="1485">
          <cell r="A1485" t="str">
            <v>99601B521</v>
          </cell>
          <cell r="B1485">
            <v>99</v>
          </cell>
          <cell r="C1485">
            <v>601</v>
          </cell>
          <cell r="D1485" t="str">
            <v>B521</v>
          </cell>
          <cell r="E1485" t="str">
            <v>Q</v>
          </cell>
          <cell r="F1485">
            <v>5</v>
          </cell>
        </row>
        <row r="1486">
          <cell r="A1486" t="str">
            <v>99602B521</v>
          </cell>
          <cell r="B1486">
            <v>99</v>
          </cell>
          <cell r="C1486">
            <v>602</v>
          </cell>
          <cell r="D1486" t="str">
            <v>B521</v>
          </cell>
          <cell r="E1486" t="str">
            <v>R</v>
          </cell>
          <cell r="F1486">
            <v>6</v>
          </cell>
        </row>
        <row r="1487">
          <cell r="A1487" t="str">
            <v>99603B521</v>
          </cell>
          <cell r="B1487">
            <v>99</v>
          </cell>
          <cell r="C1487">
            <v>603</v>
          </cell>
          <cell r="D1487" t="str">
            <v>B521</v>
          </cell>
          <cell r="E1487" t="str">
            <v>S</v>
          </cell>
          <cell r="F1487">
            <v>6</v>
          </cell>
        </row>
        <row r="1488">
          <cell r="A1488" t="str">
            <v>09200B521</v>
          </cell>
          <cell r="B1488" t="str">
            <v>09</v>
          </cell>
          <cell r="C1488">
            <v>200</v>
          </cell>
          <cell r="D1488" t="str">
            <v>B521</v>
          </cell>
          <cell r="E1488" t="str">
            <v>Q</v>
          </cell>
          <cell r="F1488">
            <v>4</v>
          </cell>
        </row>
        <row r="1489">
          <cell r="A1489" t="str">
            <v>09300B521</v>
          </cell>
          <cell r="B1489" t="str">
            <v>09</v>
          </cell>
          <cell r="C1489">
            <v>300</v>
          </cell>
          <cell r="D1489" t="str">
            <v>B521</v>
          </cell>
          <cell r="E1489" t="str">
            <v>Q</v>
          </cell>
          <cell r="F1489">
            <v>4</v>
          </cell>
        </row>
        <row r="1490">
          <cell r="A1490" t="str">
            <v>09500B521</v>
          </cell>
          <cell r="B1490" t="str">
            <v>09</v>
          </cell>
          <cell r="C1490">
            <v>500</v>
          </cell>
          <cell r="D1490" t="str">
            <v>B521</v>
          </cell>
          <cell r="E1490" t="str">
            <v>A</v>
          </cell>
          <cell r="F1490">
            <v>1</v>
          </cell>
        </row>
        <row r="1491">
          <cell r="A1491" t="str">
            <v>09501B521</v>
          </cell>
          <cell r="B1491" t="str">
            <v>09</v>
          </cell>
          <cell r="C1491">
            <v>501</v>
          </cell>
          <cell r="D1491" t="str">
            <v>B521</v>
          </cell>
          <cell r="E1491" t="str">
            <v>Q</v>
          </cell>
          <cell r="F1491">
            <v>1</v>
          </cell>
        </row>
        <row r="1492">
          <cell r="A1492" t="str">
            <v>09509B521</v>
          </cell>
          <cell r="B1492" t="str">
            <v>09</v>
          </cell>
          <cell r="C1492">
            <v>509</v>
          </cell>
          <cell r="D1492" t="str">
            <v>B521</v>
          </cell>
          <cell r="E1492" t="str">
            <v>G</v>
          </cell>
          <cell r="F1492">
            <v>1</v>
          </cell>
        </row>
        <row r="1493">
          <cell r="A1493" t="str">
            <v>09601B521</v>
          </cell>
          <cell r="B1493" t="str">
            <v>09</v>
          </cell>
          <cell r="C1493">
            <v>601</v>
          </cell>
          <cell r="D1493" t="str">
            <v>B521</v>
          </cell>
          <cell r="E1493" t="str">
            <v>Q</v>
          </cell>
          <cell r="F1493">
            <v>5</v>
          </cell>
        </row>
        <row r="1494">
          <cell r="A1494" t="str">
            <v>09602B521</v>
          </cell>
          <cell r="B1494" t="str">
            <v>09</v>
          </cell>
          <cell r="C1494">
            <v>602</v>
          </cell>
          <cell r="D1494" t="str">
            <v>B521</v>
          </cell>
          <cell r="E1494" t="str">
            <v>R</v>
          </cell>
          <cell r="F1494">
            <v>6</v>
          </cell>
        </row>
        <row r="1495">
          <cell r="A1495" t="str">
            <v>09603B521</v>
          </cell>
          <cell r="B1495" t="str">
            <v>09</v>
          </cell>
          <cell r="C1495">
            <v>603</v>
          </cell>
          <cell r="D1495" t="str">
            <v>B521</v>
          </cell>
          <cell r="E1495" t="str">
            <v>S</v>
          </cell>
          <cell r="F1495">
            <v>6</v>
          </cell>
        </row>
        <row r="1496">
          <cell r="A1496" t="str">
            <v>99200B529</v>
          </cell>
          <cell r="B1496">
            <v>99</v>
          </cell>
          <cell r="C1496">
            <v>200</v>
          </cell>
          <cell r="D1496" t="str">
            <v>B529</v>
          </cell>
          <cell r="E1496" t="str">
            <v>Q</v>
          </cell>
          <cell r="F1496">
            <v>4</v>
          </cell>
        </row>
        <row r="1497">
          <cell r="A1497" t="str">
            <v>99200B529</v>
          </cell>
          <cell r="B1497">
            <v>99</v>
          </cell>
          <cell r="C1497">
            <v>200</v>
          </cell>
          <cell r="D1497" t="str">
            <v>B529</v>
          </cell>
          <cell r="E1497" t="str">
            <v>Q</v>
          </cell>
          <cell r="F1497">
            <v>4</v>
          </cell>
        </row>
        <row r="1498">
          <cell r="A1498" t="str">
            <v>99300B529</v>
          </cell>
          <cell r="B1498">
            <v>99</v>
          </cell>
          <cell r="C1498">
            <v>300</v>
          </cell>
          <cell r="D1498" t="str">
            <v>B529</v>
          </cell>
          <cell r="E1498" t="str">
            <v>Q</v>
          </cell>
          <cell r="F1498">
            <v>4</v>
          </cell>
        </row>
        <row r="1499">
          <cell r="A1499" t="str">
            <v>99300B529</v>
          </cell>
          <cell r="B1499">
            <v>99</v>
          </cell>
          <cell r="C1499">
            <v>300</v>
          </cell>
          <cell r="D1499" t="str">
            <v>B529</v>
          </cell>
          <cell r="E1499" t="str">
            <v>Q</v>
          </cell>
          <cell r="F1499">
            <v>4</v>
          </cell>
        </row>
        <row r="1500">
          <cell r="A1500" t="str">
            <v>99500B529</v>
          </cell>
          <cell r="B1500">
            <v>99</v>
          </cell>
          <cell r="C1500">
            <v>500</v>
          </cell>
          <cell r="D1500" t="str">
            <v>B529</v>
          </cell>
          <cell r="E1500" t="str">
            <v>A</v>
          </cell>
          <cell r="F1500">
            <v>1</v>
          </cell>
        </row>
        <row r="1501">
          <cell r="A1501" t="str">
            <v>99501B529</v>
          </cell>
          <cell r="B1501">
            <v>99</v>
          </cell>
          <cell r="C1501">
            <v>501</v>
          </cell>
          <cell r="D1501" t="str">
            <v>B529</v>
          </cell>
          <cell r="E1501" t="str">
            <v>Q</v>
          </cell>
          <cell r="F1501">
            <v>1</v>
          </cell>
        </row>
        <row r="1502">
          <cell r="A1502" t="str">
            <v>99501B529</v>
          </cell>
          <cell r="B1502">
            <v>99</v>
          </cell>
          <cell r="C1502">
            <v>501</v>
          </cell>
          <cell r="D1502" t="str">
            <v>B529</v>
          </cell>
          <cell r="E1502" t="str">
            <v>Q</v>
          </cell>
          <cell r="F1502">
            <v>1</v>
          </cell>
        </row>
        <row r="1503">
          <cell r="A1503" t="str">
            <v>99601B529</v>
          </cell>
          <cell r="B1503">
            <v>99</v>
          </cell>
          <cell r="C1503">
            <v>601</v>
          </cell>
          <cell r="D1503" t="str">
            <v>B529</v>
          </cell>
          <cell r="E1503" t="str">
            <v>Q</v>
          </cell>
          <cell r="F1503">
            <v>5</v>
          </cell>
        </row>
        <row r="1504">
          <cell r="A1504" t="str">
            <v>99601B529</v>
          </cell>
          <cell r="B1504">
            <v>99</v>
          </cell>
          <cell r="C1504">
            <v>601</v>
          </cell>
          <cell r="D1504" t="str">
            <v>B529</v>
          </cell>
          <cell r="E1504" t="str">
            <v>Q</v>
          </cell>
          <cell r="F1504">
            <v>5</v>
          </cell>
        </row>
        <row r="1505">
          <cell r="A1505" t="str">
            <v>99602B529</v>
          </cell>
          <cell r="B1505">
            <v>99</v>
          </cell>
          <cell r="C1505">
            <v>602</v>
          </cell>
          <cell r="D1505" t="str">
            <v>B529</v>
          </cell>
          <cell r="E1505" t="str">
            <v>R</v>
          </cell>
          <cell r="F1505">
            <v>6</v>
          </cell>
        </row>
        <row r="1506">
          <cell r="A1506" t="str">
            <v>99602B529</v>
          </cell>
          <cell r="B1506">
            <v>99</v>
          </cell>
          <cell r="C1506">
            <v>602</v>
          </cell>
          <cell r="D1506" t="str">
            <v>B529</v>
          </cell>
          <cell r="E1506" t="str">
            <v>R</v>
          </cell>
          <cell r="F1506">
            <v>6</v>
          </cell>
        </row>
        <row r="1507">
          <cell r="A1507" t="str">
            <v>99603B529</v>
          </cell>
          <cell r="B1507">
            <v>99</v>
          </cell>
          <cell r="C1507">
            <v>603</v>
          </cell>
          <cell r="D1507" t="str">
            <v>B529</v>
          </cell>
          <cell r="E1507" t="str">
            <v>S</v>
          </cell>
          <cell r="F1507">
            <v>6</v>
          </cell>
        </row>
        <row r="1508">
          <cell r="A1508" t="str">
            <v>99603B529</v>
          </cell>
          <cell r="B1508">
            <v>99</v>
          </cell>
          <cell r="C1508">
            <v>603</v>
          </cell>
          <cell r="D1508" t="str">
            <v>B529</v>
          </cell>
          <cell r="E1508" t="str">
            <v>S</v>
          </cell>
          <cell r="F1508">
            <v>6</v>
          </cell>
        </row>
        <row r="1509">
          <cell r="A1509" t="str">
            <v>09200B529</v>
          </cell>
          <cell r="B1509" t="str">
            <v>09</v>
          </cell>
          <cell r="C1509">
            <v>200</v>
          </cell>
          <cell r="D1509" t="str">
            <v>B529</v>
          </cell>
          <cell r="E1509" t="str">
            <v>Q</v>
          </cell>
          <cell r="F1509">
            <v>4</v>
          </cell>
        </row>
        <row r="1510">
          <cell r="A1510" t="str">
            <v>09200B529</v>
          </cell>
          <cell r="B1510" t="str">
            <v>09</v>
          </cell>
          <cell r="C1510">
            <v>200</v>
          </cell>
          <cell r="D1510" t="str">
            <v>B529</v>
          </cell>
          <cell r="E1510" t="str">
            <v>Q</v>
          </cell>
          <cell r="F1510">
            <v>4</v>
          </cell>
        </row>
        <row r="1511">
          <cell r="A1511" t="str">
            <v>09300B529</v>
          </cell>
          <cell r="B1511" t="str">
            <v>09</v>
          </cell>
          <cell r="C1511">
            <v>300</v>
          </cell>
          <cell r="D1511" t="str">
            <v>B529</v>
          </cell>
          <cell r="E1511" t="str">
            <v>Q</v>
          </cell>
          <cell r="F1511">
            <v>4</v>
          </cell>
        </row>
        <row r="1512">
          <cell r="A1512" t="str">
            <v>09300B529</v>
          </cell>
          <cell r="B1512" t="str">
            <v>09</v>
          </cell>
          <cell r="C1512">
            <v>300</v>
          </cell>
          <cell r="D1512" t="str">
            <v>B529</v>
          </cell>
          <cell r="E1512" t="str">
            <v>Q</v>
          </cell>
          <cell r="F1512">
            <v>4</v>
          </cell>
        </row>
        <row r="1513">
          <cell r="A1513" t="str">
            <v>09500B529</v>
          </cell>
          <cell r="B1513" t="str">
            <v>09</v>
          </cell>
          <cell r="C1513">
            <v>500</v>
          </cell>
          <cell r="D1513" t="str">
            <v>B529</v>
          </cell>
          <cell r="E1513" t="str">
            <v>G</v>
          </cell>
          <cell r="F1513">
            <v>1</v>
          </cell>
        </row>
        <row r="1514">
          <cell r="A1514" t="str">
            <v>09501B529</v>
          </cell>
          <cell r="B1514" t="str">
            <v>09</v>
          </cell>
          <cell r="C1514">
            <v>501</v>
          </cell>
          <cell r="D1514" t="str">
            <v>B529</v>
          </cell>
          <cell r="E1514" t="str">
            <v>Q</v>
          </cell>
          <cell r="F1514">
            <v>1</v>
          </cell>
        </row>
        <row r="1515">
          <cell r="A1515" t="str">
            <v>09501B529</v>
          </cell>
          <cell r="B1515" t="str">
            <v>09</v>
          </cell>
          <cell r="C1515">
            <v>501</v>
          </cell>
          <cell r="D1515" t="str">
            <v>B529</v>
          </cell>
          <cell r="E1515" t="str">
            <v>Q</v>
          </cell>
          <cell r="F1515">
            <v>1</v>
          </cell>
        </row>
        <row r="1516">
          <cell r="A1516" t="str">
            <v>09601B529</v>
          </cell>
          <cell r="B1516" t="str">
            <v>09</v>
          </cell>
          <cell r="C1516">
            <v>601</v>
          </cell>
          <cell r="D1516" t="str">
            <v>B529</v>
          </cell>
          <cell r="E1516" t="str">
            <v>Q</v>
          </cell>
          <cell r="F1516">
            <v>5</v>
          </cell>
        </row>
        <row r="1517">
          <cell r="A1517" t="str">
            <v>09601B529</v>
          </cell>
          <cell r="B1517" t="str">
            <v>09</v>
          </cell>
          <cell r="C1517">
            <v>601</v>
          </cell>
          <cell r="D1517" t="str">
            <v>B529</v>
          </cell>
          <cell r="E1517" t="str">
            <v>Q</v>
          </cell>
          <cell r="F1517">
            <v>5</v>
          </cell>
        </row>
        <row r="1518">
          <cell r="A1518" t="str">
            <v>09602B529</v>
          </cell>
          <cell r="B1518" t="str">
            <v>09</v>
          </cell>
          <cell r="C1518">
            <v>602</v>
          </cell>
          <cell r="D1518" t="str">
            <v>B529</v>
          </cell>
          <cell r="E1518" t="str">
            <v>R</v>
          </cell>
          <cell r="F1518">
            <v>6</v>
          </cell>
        </row>
        <row r="1519">
          <cell r="A1519" t="str">
            <v>09602B529</v>
          </cell>
          <cell r="B1519" t="str">
            <v>09</v>
          </cell>
          <cell r="C1519">
            <v>602</v>
          </cell>
          <cell r="D1519" t="str">
            <v>B529</v>
          </cell>
          <cell r="E1519" t="str">
            <v>R</v>
          </cell>
          <cell r="F1519">
            <v>6</v>
          </cell>
        </row>
        <row r="1520">
          <cell r="A1520" t="str">
            <v>09603B529</v>
          </cell>
          <cell r="B1520" t="str">
            <v>09</v>
          </cell>
          <cell r="C1520">
            <v>603</v>
          </cell>
          <cell r="D1520" t="str">
            <v>B529</v>
          </cell>
          <cell r="E1520" t="str">
            <v>S</v>
          </cell>
          <cell r="F1520">
            <v>6</v>
          </cell>
        </row>
        <row r="1521">
          <cell r="A1521" t="str">
            <v>09603B529</v>
          </cell>
          <cell r="B1521" t="str">
            <v>09</v>
          </cell>
          <cell r="C1521">
            <v>603</v>
          </cell>
          <cell r="D1521" t="str">
            <v>B529</v>
          </cell>
          <cell r="E1521" t="str">
            <v>S</v>
          </cell>
          <cell r="F1521">
            <v>6</v>
          </cell>
        </row>
        <row r="1522">
          <cell r="A1522" t="str">
            <v>99200B552</v>
          </cell>
          <cell r="B1522">
            <v>99</v>
          </cell>
          <cell r="C1522">
            <v>200</v>
          </cell>
          <cell r="D1522" t="str">
            <v>B552</v>
          </cell>
          <cell r="E1522" t="str">
            <v>Q</v>
          </cell>
          <cell r="F1522">
            <v>4</v>
          </cell>
        </row>
        <row r="1523">
          <cell r="A1523" t="str">
            <v>99300B552</v>
          </cell>
          <cell r="B1523">
            <v>99</v>
          </cell>
          <cell r="C1523">
            <v>300</v>
          </cell>
          <cell r="D1523" t="str">
            <v>B552</v>
          </cell>
          <cell r="E1523" t="str">
            <v>Q</v>
          </cell>
          <cell r="F1523">
            <v>4</v>
          </cell>
        </row>
        <row r="1524">
          <cell r="A1524" t="str">
            <v>99400B552</v>
          </cell>
          <cell r="B1524">
            <v>99</v>
          </cell>
          <cell r="C1524">
            <v>400</v>
          </cell>
          <cell r="D1524" t="str">
            <v>B552</v>
          </cell>
          <cell r="E1524" t="str">
            <v>M</v>
          </cell>
          <cell r="F1524">
            <v>5</v>
          </cell>
        </row>
        <row r="1525">
          <cell r="A1525" t="str">
            <v>99500B552</v>
          </cell>
          <cell r="B1525">
            <v>99</v>
          </cell>
          <cell r="C1525">
            <v>500</v>
          </cell>
          <cell r="D1525" t="str">
            <v>B552</v>
          </cell>
          <cell r="E1525" t="str">
            <v>H</v>
          </cell>
          <cell r="F1525">
            <v>2</v>
          </cell>
        </row>
        <row r="1526">
          <cell r="A1526" t="str">
            <v>99501B552</v>
          </cell>
          <cell r="B1526">
            <v>99</v>
          </cell>
          <cell r="C1526">
            <v>501</v>
          </cell>
          <cell r="D1526" t="str">
            <v>B552</v>
          </cell>
          <cell r="E1526" t="str">
            <v>Q</v>
          </cell>
          <cell r="F1526">
            <v>2</v>
          </cell>
        </row>
        <row r="1527">
          <cell r="A1527" t="str">
            <v>99600B552</v>
          </cell>
          <cell r="B1527">
            <v>99</v>
          </cell>
          <cell r="C1527">
            <v>600</v>
          </cell>
          <cell r="D1527" t="str">
            <v>B552</v>
          </cell>
          <cell r="E1527" t="str">
            <v>M</v>
          </cell>
          <cell r="F1527">
            <v>5</v>
          </cell>
        </row>
        <row r="1528">
          <cell r="A1528" t="str">
            <v>99601B552</v>
          </cell>
          <cell r="B1528">
            <v>99</v>
          </cell>
          <cell r="C1528">
            <v>601</v>
          </cell>
          <cell r="D1528" t="str">
            <v>B552</v>
          </cell>
          <cell r="E1528" t="str">
            <v>Q</v>
          </cell>
          <cell r="F1528">
            <v>5</v>
          </cell>
        </row>
        <row r="1529">
          <cell r="A1529" t="str">
            <v>99602B552</v>
          </cell>
          <cell r="B1529">
            <v>99</v>
          </cell>
          <cell r="C1529">
            <v>602</v>
          </cell>
          <cell r="D1529" t="str">
            <v>B552</v>
          </cell>
          <cell r="E1529" t="str">
            <v>R</v>
          </cell>
          <cell r="F1529">
            <v>6</v>
          </cell>
        </row>
        <row r="1530">
          <cell r="A1530" t="str">
            <v>99603B552</v>
          </cell>
          <cell r="B1530">
            <v>99</v>
          </cell>
          <cell r="C1530">
            <v>603</v>
          </cell>
          <cell r="D1530" t="str">
            <v>B552</v>
          </cell>
          <cell r="E1530" t="str">
            <v>S</v>
          </cell>
          <cell r="F1530">
            <v>6</v>
          </cell>
        </row>
        <row r="1531">
          <cell r="A1531" t="str">
            <v>09200B552</v>
          </cell>
          <cell r="B1531" t="str">
            <v>09</v>
          </cell>
          <cell r="C1531">
            <v>200</v>
          </cell>
          <cell r="D1531" t="str">
            <v>B552</v>
          </cell>
          <cell r="E1531" t="str">
            <v>Q</v>
          </cell>
          <cell r="F1531">
            <v>4</v>
          </cell>
        </row>
        <row r="1532">
          <cell r="A1532" t="str">
            <v>09300B552</v>
          </cell>
          <cell r="B1532" t="str">
            <v>09</v>
          </cell>
          <cell r="C1532">
            <v>300</v>
          </cell>
          <cell r="D1532" t="str">
            <v>B552</v>
          </cell>
          <cell r="E1532" t="str">
            <v>Q</v>
          </cell>
          <cell r="F1532">
            <v>4</v>
          </cell>
        </row>
        <row r="1533">
          <cell r="A1533" t="str">
            <v>09400B552</v>
          </cell>
          <cell r="B1533" t="str">
            <v>09</v>
          </cell>
          <cell r="C1533">
            <v>400</v>
          </cell>
          <cell r="D1533" t="str">
            <v>B552</v>
          </cell>
          <cell r="E1533" t="str">
            <v>M</v>
          </cell>
          <cell r="F1533">
            <v>5</v>
          </cell>
        </row>
        <row r="1534">
          <cell r="A1534" t="str">
            <v>09500B552</v>
          </cell>
          <cell r="B1534" t="str">
            <v>09</v>
          </cell>
          <cell r="C1534">
            <v>500</v>
          </cell>
          <cell r="D1534" t="str">
            <v>B552</v>
          </cell>
          <cell r="E1534" t="str">
            <v>H</v>
          </cell>
          <cell r="F1534">
            <v>2</v>
          </cell>
        </row>
        <row r="1535">
          <cell r="A1535" t="str">
            <v>09501B552</v>
          </cell>
          <cell r="B1535" t="str">
            <v>09</v>
          </cell>
          <cell r="C1535">
            <v>501</v>
          </cell>
          <cell r="D1535" t="str">
            <v>B552</v>
          </cell>
          <cell r="E1535" t="str">
            <v>Q</v>
          </cell>
          <cell r="F1535">
            <v>2</v>
          </cell>
        </row>
        <row r="1536">
          <cell r="A1536" t="str">
            <v>09600B552</v>
          </cell>
          <cell r="B1536" t="str">
            <v>09</v>
          </cell>
          <cell r="C1536">
            <v>600</v>
          </cell>
          <cell r="D1536" t="str">
            <v>B552</v>
          </cell>
          <cell r="E1536" t="str">
            <v>M</v>
          </cell>
          <cell r="F1536">
            <v>5</v>
          </cell>
        </row>
        <row r="1537">
          <cell r="A1537" t="str">
            <v>09601B552</v>
          </cell>
          <cell r="B1537" t="str">
            <v>09</v>
          </cell>
          <cell r="C1537">
            <v>601</v>
          </cell>
          <cell r="D1537" t="str">
            <v>B552</v>
          </cell>
          <cell r="E1537" t="str">
            <v>Q</v>
          </cell>
          <cell r="F1537">
            <v>5</v>
          </cell>
        </row>
        <row r="1538">
          <cell r="A1538" t="str">
            <v>09602B552</v>
          </cell>
          <cell r="B1538" t="str">
            <v>09</v>
          </cell>
          <cell r="C1538">
            <v>602</v>
          </cell>
          <cell r="D1538" t="str">
            <v>B552</v>
          </cell>
          <cell r="E1538" t="str">
            <v>R</v>
          </cell>
          <cell r="F1538">
            <v>6</v>
          </cell>
        </row>
        <row r="1539">
          <cell r="A1539" t="str">
            <v>09603B552</v>
          </cell>
          <cell r="B1539" t="str">
            <v>09</v>
          </cell>
          <cell r="C1539">
            <v>603</v>
          </cell>
          <cell r="D1539" t="str">
            <v>B552</v>
          </cell>
          <cell r="E1539" t="str">
            <v>S</v>
          </cell>
          <cell r="F1539">
            <v>6</v>
          </cell>
        </row>
        <row r="1540">
          <cell r="A1540" t="str">
            <v>99200B553</v>
          </cell>
          <cell r="B1540">
            <v>99</v>
          </cell>
          <cell r="C1540">
            <v>200</v>
          </cell>
          <cell r="D1540" t="str">
            <v>B553</v>
          </cell>
          <cell r="E1540" t="str">
            <v>Q</v>
          </cell>
          <cell r="F1540">
            <v>4</v>
          </cell>
        </row>
        <row r="1541">
          <cell r="A1541" t="str">
            <v>99300B553</v>
          </cell>
          <cell r="B1541">
            <v>99</v>
          </cell>
          <cell r="C1541">
            <v>300</v>
          </cell>
          <cell r="D1541" t="str">
            <v>B553</v>
          </cell>
          <cell r="E1541" t="str">
            <v>Q</v>
          </cell>
          <cell r="F1541">
            <v>4</v>
          </cell>
        </row>
        <row r="1542">
          <cell r="A1542" t="str">
            <v>99400B553</v>
          </cell>
          <cell r="B1542">
            <v>99</v>
          </cell>
          <cell r="C1542">
            <v>400</v>
          </cell>
          <cell r="D1542" t="str">
            <v>B553</v>
          </cell>
          <cell r="E1542" t="str">
            <v>M</v>
          </cell>
          <cell r="F1542">
            <v>5</v>
          </cell>
        </row>
        <row r="1543">
          <cell r="A1543" t="str">
            <v>99500B553</v>
          </cell>
          <cell r="B1543">
            <v>99</v>
          </cell>
          <cell r="C1543">
            <v>500</v>
          </cell>
          <cell r="D1543" t="str">
            <v>B553</v>
          </cell>
          <cell r="E1543" t="str">
            <v>H</v>
          </cell>
          <cell r="F1543">
            <v>2</v>
          </cell>
        </row>
        <row r="1544">
          <cell r="A1544" t="str">
            <v>99501B553</v>
          </cell>
          <cell r="B1544">
            <v>99</v>
          </cell>
          <cell r="C1544">
            <v>501</v>
          </cell>
          <cell r="D1544" t="str">
            <v>B553</v>
          </cell>
          <cell r="E1544" t="str">
            <v>Q</v>
          </cell>
          <cell r="F1544">
            <v>2</v>
          </cell>
        </row>
        <row r="1545">
          <cell r="A1545" t="str">
            <v>99600B553</v>
          </cell>
          <cell r="B1545">
            <v>99</v>
          </cell>
          <cell r="C1545">
            <v>600</v>
          </cell>
          <cell r="D1545" t="str">
            <v>B553</v>
          </cell>
          <cell r="E1545" t="str">
            <v>M</v>
          </cell>
          <cell r="F1545">
            <v>5</v>
          </cell>
        </row>
        <row r="1546">
          <cell r="A1546" t="str">
            <v>99601B553</v>
          </cell>
          <cell r="B1546">
            <v>99</v>
          </cell>
          <cell r="C1546">
            <v>601</v>
          </cell>
          <cell r="D1546" t="str">
            <v>B553</v>
          </cell>
          <cell r="E1546" t="str">
            <v>Q</v>
          </cell>
          <cell r="F1546">
            <v>5</v>
          </cell>
        </row>
        <row r="1547">
          <cell r="A1547" t="str">
            <v>99602B553</v>
          </cell>
          <cell r="B1547">
            <v>99</v>
          </cell>
          <cell r="C1547">
            <v>602</v>
          </cell>
          <cell r="D1547" t="str">
            <v>B553</v>
          </cell>
          <cell r="E1547" t="str">
            <v>R</v>
          </cell>
          <cell r="F1547">
            <v>6</v>
          </cell>
        </row>
        <row r="1548">
          <cell r="A1548" t="str">
            <v>99603B553</v>
          </cell>
          <cell r="B1548">
            <v>99</v>
          </cell>
          <cell r="C1548">
            <v>603</v>
          </cell>
          <cell r="D1548" t="str">
            <v>B553</v>
          </cell>
          <cell r="E1548" t="str">
            <v>S</v>
          </cell>
          <cell r="F1548">
            <v>6</v>
          </cell>
        </row>
        <row r="1549">
          <cell r="A1549" t="str">
            <v>09200B553</v>
          </cell>
          <cell r="B1549" t="str">
            <v>09</v>
          </cell>
          <cell r="C1549">
            <v>200</v>
          </cell>
          <cell r="D1549" t="str">
            <v>B553</v>
          </cell>
          <cell r="E1549" t="str">
            <v>Q</v>
          </cell>
          <cell r="F1549">
            <v>4</v>
          </cell>
        </row>
        <row r="1550">
          <cell r="A1550" t="str">
            <v>09300B553</v>
          </cell>
          <cell r="B1550" t="str">
            <v>09</v>
          </cell>
          <cell r="C1550">
            <v>300</v>
          </cell>
          <cell r="D1550" t="str">
            <v>B553</v>
          </cell>
          <cell r="E1550" t="str">
            <v>Q</v>
          </cell>
          <cell r="F1550">
            <v>4</v>
          </cell>
        </row>
        <row r="1551">
          <cell r="A1551" t="str">
            <v>09400B553</v>
          </cell>
          <cell r="B1551" t="str">
            <v>09</v>
          </cell>
          <cell r="C1551">
            <v>400</v>
          </cell>
          <cell r="D1551" t="str">
            <v>B553</v>
          </cell>
          <cell r="E1551" t="str">
            <v>M</v>
          </cell>
          <cell r="F1551">
            <v>5</v>
          </cell>
        </row>
        <row r="1552">
          <cell r="A1552" t="str">
            <v>09500B553</v>
          </cell>
          <cell r="B1552" t="str">
            <v>09</v>
          </cell>
          <cell r="C1552">
            <v>500</v>
          </cell>
          <cell r="D1552" t="str">
            <v>B553</v>
          </cell>
          <cell r="E1552" t="str">
            <v>H</v>
          </cell>
          <cell r="F1552">
            <v>2</v>
          </cell>
        </row>
        <row r="1553">
          <cell r="A1553" t="str">
            <v>09501B553</v>
          </cell>
          <cell r="B1553" t="str">
            <v>09</v>
          </cell>
          <cell r="C1553">
            <v>501</v>
          </cell>
          <cell r="D1553" t="str">
            <v>B553</v>
          </cell>
          <cell r="E1553" t="str">
            <v>Q</v>
          </cell>
          <cell r="F1553">
            <v>2</v>
          </cell>
        </row>
        <row r="1554">
          <cell r="A1554" t="str">
            <v>09600B553</v>
          </cell>
          <cell r="B1554" t="str">
            <v>09</v>
          </cell>
          <cell r="C1554">
            <v>600</v>
          </cell>
          <cell r="D1554" t="str">
            <v>B553</v>
          </cell>
          <cell r="E1554" t="str">
            <v>M</v>
          </cell>
          <cell r="F1554">
            <v>5</v>
          </cell>
        </row>
        <row r="1555">
          <cell r="A1555" t="str">
            <v>09601B553</v>
          </cell>
          <cell r="B1555" t="str">
            <v>09</v>
          </cell>
          <cell r="C1555">
            <v>601</v>
          </cell>
          <cell r="D1555" t="str">
            <v>B553</v>
          </cell>
          <cell r="E1555" t="str">
            <v>Q</v>
          </cell>
          <cell r="F1555">
            <v>5</v>
          </cell>
        </row>
        <row r="1556">
          <cell r="A1556" t="str">
            <v>09602B553</v>
          </cell>
          <cell r="B1556" t="str">
            <v>09</v>
          </cell>
          <cell r="C1556">
            <v>602</v>
          </cell>
          <cell r="D1556" t="str">
            <v>B553</v>
          </cell>
          <cell r="E1556" t="str">
            <v>R</v>
          </cell>
          <cell r="F1556">
            <v>6</v>
          </cell>
        </row>
        <row r="1557">
          <cell r="A1557" t="str">
            <v>09603B553</v>
          </cell>
          <cell r="B1557" t="str">
            <v>09</v>
          </cell>
          <cell r="C1557">
            <v>603</v>
          </cell>
          <cell r="D1557" t="str">
            <v>B553</v>
          </cell>
          <cell r="E1557" t="str">
            <v>S</v>
          </cell>
          <cell r="F1557">
            <v>6</v>
          </cell>
        </row>
        <row r="1558">
          <cell r="A1558" t="str">
            <v>99200B571</v>
          </cell>
          <cell r="B1558">
            <v>99</v>
          </cell>
          <cell r="C1558">
            <v>200</v>
          </cell>
          <cell r="D1558" t="str">
            <v>B571</v>
          </cell>
          <cell r="E1558" t="str">
            <v>Q</v>
          </cell>
          <cell r="F1558">
            <v>4</v>
          </cell>
        </row>
        <row r="1559">
          <cell r="A1559" t="str">
            <v>99300B571</v>
          </cell>
          <cell r="B1559">
            <v>99</v>
          </cell>
          <cell r="C1559">
            <v>300</v>
          </cell>
          <cell r="D1559" t="str">
            <v>B571</v>
          </cell>
          <cell r="E1559" t="str">
            <v>Q</v>
          </cell>
          <cell r="F1559">
            <v>4</v>
          </cell>
        </row>
        <row r="1560">
          <cell r="A1560" t="str">
            <v>99400B571</v>
          </cell>
          <cell r="B1560">
            <v>99</v>
          </cell>
          <cell r="C1560">
            <v>400</v>
          </cell>
          <cell r="D1560" t="str">
            <v>B571</v>
          </cell>
          <cell r="E1560" t="str">
            <v>R</v>
          </cell>
          <cell r="F1560">
            <v>5</v>
          </cell>
        </row>
        <row r="1561">
          <cell r="A1561" t="str">
            <v>99500B571</v>
          </cell>
          <cell r="B1561">
            <v>99</v>
          </cell>
          <cell r="C1561">
            <v>500</v>
          </cell>
          <cell r="D1561" t="str">
            <v>B571</v>
          </cell>
          <cell r="E1561" t="str">
            <v>R</v>
          </cell>
          <cell r="F1561">
            <v>1</v>
          </cell>
        </row>
        <row r="1562">
          <cell r="A1562" t="str">
            <v>99600B571</v>
          </cell>
          <cell r="B1562">
            <v>99</v>
          </cell>
          <cell r="C1562">
            <v>600</v>
          </cell>
          <cell r="D1562" t="str">
            <v>B571</v>
          </cell>
          <cell r="E1562" t="str">
            <v>R</v>
          </cell>
          <cell r="F1562">
            <v>5</v>
          </cell>
        </row>
        <row r="1563">
          <cell r="A1563" t="str">
            <v>99601B571</v>
          </cell>
          <cell r="B1563">
            <v>99</v>
          </cell>
          <cell r="C1563">
            <v>601</v>
          </cell>
          <cell r="D1563" t="str">
            <v>B571</v>
          </cell>
          <cell r="E1563" t="str">
            <v>Q</v>
          </cell>
          <cell r="F1563">
            <v>5</v>
          </cell>
        </row>
        <row r="1564">
          <cell r="A1564" t="str">
            <v>99602B571</v>
          </cell>
          <cell r="B1564">
            <v>99</v>
          </cell>
          <cell r="C1564">
            <v>602</v>
          </cell>
          <cell r="D1564" t="str">
            <v>B571</v>
          </cell>
          <cell r="E1564" t="str">
            <v>R</v>
          </cell>
          <cell r="F1564">
            <v>6</v>
          </cell>
        </row>
        <row r="1565">
          <cell r="A1565" t="str">
            <v>99603B571</v>
          </cell>
          <cell r="B1565">
            <v>99</v>
          </cell>
          <cell r="C1565">
            <v>603</v>
          </cell>
          <cell r="D1565" t="str">
            <v>B571</v>
          </cell>
          <cell r="E1565" t="str">
            <v>S</v>
          </cell>
          <cell r="F1565">
            <v>6</v>
          </cell>
        </row>
        <row r="1566">
          <cell r="A1566" t="str">
            <v>09200B571</v>
          </cell>
          <cell r="B1566" t="str">
            <v>09</v>
          </cell>
          <cell r="C1566">
            <v>200</v>
          </cell>
          <cell r="D1566" t="str">
            <v>B571</v>
          </cell>
          <cell r="E1566" t="str">
            <v>Q</v>
          </cell>
          <cell r="F1566">
            <v>4</v>
          </cell>
        </row>
        <row r="1567">
          <cell r="A1567" t="str">
            <v>09300B571</v>
          </cell>
          <cell r="B1567" t="str">
            <v>09</v>
          </cell>
          <cell r="C1567">
            <v>300</v>
          </cell>
          <cell r="D1567" t="str">
            <v>B571</v>
          </cell>
          <cell r="E1567" t="str">
            <v>Q</v>
          </cell>
          <cell r="F1567">
            <v>4</v>
          </cell>
        </row>
        <row r="1568">
          <cell r="A1568" t="str">
            <v>09400B571</v>
          </cell>
          <cell r="B1568" t="str">
            <v>09</v>
          </cell>
          <cell r="C1568">
            <v>400</v>
          </cell>
          <cell r="D1568" t="str">
            <v>B571</v>
          </cell>
          <cell r="E1568" t="str">
            <v>R</v>
          </cell>
          <cell r="F1568">
            <v>5</v>
          </cell>
        </row>
        <row r="1569">
          <cell r="A1569" t="str">
            <v>09500B571</v>
          </cell>
          <cell r="B1569" t="str">
            <v>09</v>
          </cell>
          <cell r="C1569">
            <v>500</v>
          </cell>
          <cell r="D1569" t="str">
            <v>B571</v>
          </cell>
          <cell r="E1569" t="str">
            <v>R</v>
          </cell>
          <cell r="F1569">
            <v>1</v>
          </cell>
        </row>
        <row r="1570">
          <cell r="A1570" t="str">
            <v>09600B571</v>
          </cell>
          <cell r="B1570" t="str">
            <v>09</v>
          </cell>
          <cell r="C1570">
            <v>600</v>
          </cell>
          <cell r="D1570" t="str">
            <v>B571</v>
          </cell>
          <cell r="E1570" t="str">
            <v>R</v>
          </cell>
          <cell r="F1570">
            <v>5</v>
          </cell>
        </row>
        <row r="1571">
          <cell r="A1571" t="str">
            <v>09601B571</v>
          </cell>
          <cell r="B1571" t="str">
            <v>09</v>
          </cell>
          <cell r="C1571">
            <v>601</v>
          </cell>
          <cell r="D1571" t="str">
            <v>B571</v>
          </cell>
          <cell r="E1571" t="str">
            <v>Q</v>
          </cell>
          <cell r="F1571">
            <v>5</v>
          </cell>
        </row>
        <row r="1572">
          <cell r="A1572" t="str">
            <v>09602B571</v>
          </cell>
          <cell r="B1572" t="str">
            <v>09</v>
          </cell>
          <cell r="C1572">
            <v>602</v>
          </cell>
          <cell r="D1572" t="str">
            <v>B571</v>
          </cell>
          <cell r="E1572" t="str">
            <v>R</v>
          </cell>
          <cell r="F1572">
            <v>6</v>
          </cell>
        </row>
        <row r="1573">
          <cell r="A1573" t="str">
            <v>09603B571</v>
          </cell>
          <cell r="B1573" t="str">
            <v>09</v>
          </cell>
          <cell r="C1573">
            <v>603</v>
          </cell>
          <cell r="D1573" t="str">
            <v>B571</v>
          </cell>
          <cell r="E1573" t="str">
            <v>S</v>
          </cell>
          <cell r="F1573">
            <v>6</v>
          </cell>
        </row>
        <row r="1574">
          <cell r="A1574" t="str">
            <v>99200B575</v>
          </cell>
          <cell r="B1574">
            <v>99</v>
          </cell>
          <cell r="C1574">
            <v>200</v>
          </cell>
          <cell r="D1574" t="str">
            <v>B575</v>
          </cell>
          <cell r="E1574" t="str">
            <v>Q</v>
          </cell>
          <cell r="F1574">
            <v>4</v>
          </cell>
        </row>
        <row r="1575">
          <cell r="A1575" t="str">
            <v>99300B575</v>
          </cell>
          <cell r="B1575">
            <v>99</v>
          </cell>
          <cell r="C1575">
            <v>300</v>
          </cell>
          <cell r="D1575" t="str">
            <v>B575</v>
          </cell>
          <cell r="E1575" t="str">
            <v>Q</v>
          </cell>
          <cell r="F1575">
            <v>4</v>
          </cell>
        </row>
        <row r="1576">
          <cell r="A1576" t="str">
            <v>99500B575</v>
          </cell>
          <cell r="B1576">
            <v>99</v>
          </cell>
          <cell r="C1576">
            <v>500</v>
          </cell>
          <cell r="D1576" t="str">
            <v>B575</v>
          </cell>
          <cell r="E1576" t="str">
            <v>F</v>
          </cell>
          <cell r="F1576">
            <v>1</v>
          </cell>
        </row>
        <row r="1577">
          <cell r="A1577" t="str">
            <v>99501B575</v>
          </cell>
          <cell r="B1577">
            <v>99</v>
          </cell>
          <cell r="C1577">
            <v>501</v>
          </cell>
          <cell r="D1577" t="str">
            <v>B575</v>
          </cell>
          <cell r="E1577" t="str">
            <v>Q</v>
          </cell>
          <cell r="F1577">
            <v>1</v>
          </cell>
        </row>
        <row r="1578">
          <cell r="A1578" t="str">
            <v>99601B575</v>
          </cell>
          <cell r="B1578">
            <v>99</v>
          </cell>
          <cell r="C1578">
            <v>601</v>
          </cell>
          <cell r="D1578" t="str">
            <v>B575</v>
          </cell>
          <cell r="E1578" t="str">
            <v>Q</v>
          </cell>
          <cell r="F1578">
            <v>5</v>
          </cell>
        </row>
        <row r="1579">
          <cell r="A1579" t="str">
            <v>99602B575</v>
          </cell>
          <cell r="B1579">
            <v>99</v>
          </cell>
          <cell r="C1579">
            <v>602</v>
          </cell>
          <cell r="D1579" t="str">
            <v>B575</v>
          </cell>
          <cell r="E1579" t="str">
            <v>R</v>
          </cell>
          <cell r="F1579">
            <v>6</v>
          </cell>
        </row>
        <row r="1580">
          <cell r="A1580" t="str">
            <v>99603B575</v>
          </cell>
          <cell r="B1580">
            <v>99</v>
          </cell>
          <cell r="C1580">
            <v>603</v>
          </cell>
          <cell r="D1580" t="str">
            <v>B575</v>
          </cell>
          <cell r="E1580" t="str">
            <v>S</v>
          </cell>
          <cell r="F1580">
            <v>6</v>
          </cell>
        </row>
        <row r="1581">
          <cell r="A1581" t="str">
            <v>09200B575</v>
          </cell>
          <cell r="B1581" t="str">
            <v>09</v>
          </cell>
          <cell r="C1581">
            <v>200</v>
          </cell>
          <cell r="D1581" t="str">
            <v>B575</v>
          </cell>
          <cell r="E1581" t="str">
            <v>Q</v>
          </cell>
          <cell r="F1581">
            <v>4</v>
          </cell>
        </row>
        <row r="1582">
          <cell r="A1582" t="str">
            <v>09300B575</v>
          </cell>
          <cell r="B1582" t="str">
            <v>09</v>
          </cell>
          <cell r="C1582">
            <v>300</v>
          </cell>
          <cell r="D1582" t="str">
            <v>B575</v>
          </cell>
          <cell r="E1582" t="str">
            <v>Q</v>
          </cell>
          <cell r="F1582">
            <v>4</v>
          </cell>
        </row>
        <row r="1583">
          <cell r="A1583" t="str">
            <v>09500B575</v>
          </cell>
          <cell r="B1583" t="str">
            <v>09</v>
          </cell>
          <cell r="C1583">
            <v>500</v>
          </cell>
          <cell r="D1583" t="str">
            <v>B575</v>
          </cell>
          <cell r="E1583" t="str">
            <v>F</v>
          </cell>
          <cell r="F1583">
            <v>1</v>
          </cell>
        </row>
        <row r="1584">
          <cell r="A1584" t="str">
            <v>09501B575</v>
          </cell>
          <cell r="B1584" t="str">
            <v>09</v>
          </cell>
          <cell r="C1584">
            <v>501</v>
          </cell>
          <cell r="D1584" t="str">
            <v>B575</v>
          </cell>
          <cell r="E1584" t="str">
            <v>Q</v>
          </cell>
          <cell r="F1584">
            <v>1</v>
          </cell>
        </row>
        <row r="1585">
          <cell r="A1585" t="str">
            <v>09601B575</v>
          </cell>
          <cell r="B1585" t="str">
            <v>09</v>
          </cell>
          <cell r="C1585">
            <v>601</v>
          </cell>
          <cell r="D1585" t="str">
            <v>B575</v>
          </cell>
          <cell r="E1585" t="str">
            <v>Q</v>
          </cell>
          <cell r="F1585">
            <v>5</v>
          </cell>
        </row>
        <row r="1586">
          <cell r="A1586" t="str">
            <v>09602B575</v>
          </cell>
          <cell r="B1586" t="str">
            <v>09</v>
          </cell>
          <cell r="C1586">
            <v>602</v>
          </cell>
          <cell r="D1586" t="str">
            <v>B575</v>
          </cell>
          <cell r="E1586" t="str">
            <v>R</v>
          </cell>
          <cell r="F1586">
            <v>6</v>
          </cell>
        </row>
        <row r="1587">
          <cell r="A1587" t="str">
            <v>09603B575</v>
          </cell>
          <cell r="B1587" t="str">
            <v>09</v>
          </cell>
          <cell r="C1587">
            <v>603</v>
          </cell>
          <cell r="D1587" t="str">
            <v>B575</v>
          </cell>
          <cell r="E1587" t="str">
            <v>S</v>
          </cell>
          <cell r="F1587">
            <v>6</v>
          </cell>
        </row>
        <row r="1588">
          <cell r="A1588" t="str">
            <v>99200C503</v>
          </cell>
          <cell r="B1588">
            <v>99</v>
          </cell>
          <cell r="C1588">
            <v>200</v>
          </cell>
          <cell r="D1588" t="str">
            <v>C503</v>
          </cell>
          <cell r="E1588" t="str">
            <v>Q</v>
          </cell>
          <cell r="F1588">
            <v>4</v>
          </cell>
        </row>
        <row r="1589">
          <cell r="A1589" t="str">
            <v>99200C503</v>
          </cell>
          <cell r="B1589">
            <v>99</v>
          </cell>
          <cell r="C1589">
            <v>200</v>
          </cell>
          <cell r="D1589" t="str">
            <v>C503</v>
          </cell>
          <cell r="E1589" t="str">
            <v>Q</v>
          </cell>
          <cell r="F1589">
            <v>4</v>
          </cell>
        </row>
        <row r="1590">
          <cell r="A1590" t="str">
            <v>99300C503</v>
          </cell>
          <cell r="B1590">
            <v>99</v>
          </cell>
          <cell r="C1590">
            <v>300</v>
          </cell>
          <cell r="D1590" t="str">
            <v>C503</v>
          </cell>
          <cell r="E1590" t="str">
            <v>Q</v>
          </cell>
          <cell r="F1590">
            <v>4</v>
          </cell>
        </row>
        <row r="1591">
          <cell r="A1591" t="str">
            <v>99300C503</v>
          </cell>
          <cell r="B1591">
            <v>99</v>
          </cell>
          <cell r="C1591">
            <v>300</v>
          </cell>
          <cell r="D1591" t="str">
            <v>C503</v>
          </cell>
          <cell r="E1591" t="str">
            <v>Q</v>
          </cell>
          <cell r="F1591">
            <v>4</v>
          </cell>
        </row>
        <row r="1592">
          <cell r="A1592" t="str">
            <v>99400C503</v>
          </cell>
          <cell r="B1592">
            <v>99</v>
          </cell>
          <cell r="C1592">
            <v>400</v>
          </cell>
          <cell r="D1592" t="str">
            <v>C503</v>
          </cell>
          <cell r="E1592" t="str">
            <v>M</v>
          </cell>
          <cell r="F1592">
            <v>5</v>
          </cell>
        </row>
        <row r="1593">
          <cell r="A1593" t="str">
            <v>99500C503</v>
          </cell>
          <cell r="B1593">
            <v>99</v>
          </cell>
          <cell r="C1593">
            <v>500</v>
          </cell>
          <cell r="D1593" t="str">
            <v>C503</v>
          </cell>
          <cell r="E1593" t="str">
            <v>A</v>
          </cell>
          <cell r="F1593">
            <v>1</v>
          </cell>
        </row>
        <row r="1594">
          <cell r="A1594" t="str">
            <v>99501C503</v>
          </cell>
          <cell r="B1594">
            <v>99</v>
          </cell>
          <cell r="C1594">
            <v>501</v>
          </cell>
          <cell r="D1594" t="str">
            <v>C503</v>
          </cell>
          <cell r="E1594" t="str">
            <v>Q</v>
          </cell>
          <cell r="F1594">
            <v>1</v>
          </cell>
        </row>
        <row r="1595">
          <cell r="A1595" t="str">
            <v>99509C503</v>
          </cell>
          <cell r="B1595">
            <v>99</v>
          </cell>
          <cell r="C1595">
            <v>509</v>
          </cell>
          <cell r="D1595" t="str">
            <v>C503</v>
          </cell>
          <cell r="E1595" t="str">
            <v>G</v>
          </cell>
          <cell r="F1595">
            <v>1</v>
          </cell>
        </row>
        <row r="1596">
          <cell r="A1596" t="str">
            <v>99601C503</v>
          </cell>
          <cell r="B1596">
            <v>99</v>
          </cell>
          <cell r="C1596">
            <v>601</v>
          </cell>
          <cell r="D1596" t="str">
            <v>C503</v>
          </cell>
          <cell r="E1596" t="str">
            <v>Q</v>
          </cell>
          <cell r="F1596">
            <v>5</v>
          </cell>
        </row>
        <row r="1597">
          <cell r="A1597" t="str">
            <v>99601C503</v>
          </cell>
          <cell r="B1597">
            <v>99</v>
          </cell>
          <cell r="C1597">
            <v>601</v>
          </cell>
          <cell r="D1597" t="str">
            <v>C503</v>
          </cell>
          <cell r="E1597" t="str">
            <v>Q</v>
          </cell>
          <cell r="F1597">
            <v>5</v>
          </cell>
        </row>
        <row r="1598">
          <cell r="A1598" t="str">
            <v>99602C503</v>
          </cell>
          <cell r="B1598">
            <v>99</v>
          </cell>
          <cell r="C1598">
            <v>602</v>
          </cell>
          <cell r="D1598" t="str">
            <v>C503</v>
          </cell>
          <cell r="E1598" t="str">
            <v>R</v>
          </cell>
          <cell r="F1598">
            <v>6</v>
          </cell>
        </row>
        <row r="1599">
          <cell r="A1599" t="str">
            <v>99602C503</v>
          </cell>
          <cell r="B1599">
            <v>99</v>
          </cell>
          <cell r="C1599">
            <v>602</v>
          </cell>
          <cell r="D1599" t="str">
            <v>C503</v>
          </cell>
          <cell r="E1599" t="str">
            <v>R</v>
          </cell>
          <cell r="F1599">
            <v>6</v>
          </cell>
        </row>
        <row r="1600">
          <cell r="A1600" t="str">
            <v>99603C503</v>
          </cell>
          <cell r="B1600">
            <v>99</v>
          </cell>
          <cell r="C1600">
            <v>603</v>
          </cell>
          <cell r="D1600" t="str">
            <v>C503</v>
          </cell>
          <cell r="E1600" t="str">
            <v>S</v>
          </cell>
          <cell r="F1600">
            <v>6</v>
          </cell>
        </row>
        <row r="1601">
          <cell r="A1601" t="str">
            <v>99603C503</v>
          </cell>
          <cell r="B1601">
            <v>99</v>
          </cell>
          <cell r="C1601">
            <v>603</v>
          </cell>
          <cell r="D1601" t="str">
            <v>C503</v>
          </cell>
          <cell r="E1601" t="str">
            <v>S</v>
          </cell>
          <cell r="F1601">
            <v>6</v>
          </cell>
        </row>
        <row r="1602">
          <cell r="A1602" t="str">
            <v>09200C503</v>
          </cell>
          <cell r="B1602" t="str">
            <v>09</v>
          </cell>
          <cell r="C1602">
            <v>200</v>
          </cell>
          <cell r="D1602" t="str">
            <v>C503</v>
          </cell>
          <cell r="E1602" t="str">
            <v>Q</v>
          </cell>
          <cell r="F1602">
            <v>4</v>
          </cell>
        </row>
        <row r="1603">
          <cell r="A1603" t="str">
            <v>09200C503</v>
          </cell>
          <cell r="B1603" t="str">
            <v>09</v>
          </cell>
          <cell r="C1603">
            <v>200</v>
          </cell>
          <cell r="D1603" t="str">
            <v>C503</v>
          </cell>
          <cell r="E1603" t="str">
            <v>Q</v>
          </cell>
          <cell r="F1603">
            <v>4</v>
          </cell>
        </row>
        <row r="1604">
          <cell r="A1604" t="str">
            <v>09300C503</v>
          </cell>
          <cell r="B1604" t="str">
            <v>09</v>
          </cell>
          <cell r="C1604">
            <v>300</v>
          </cell>
          <cell r="D1604" t="str">
            <v>C503</v>
          </cell>
          <cell r="E1604" t="str">
            <v>Q</v>
          </cell>
          <cell r="F1604">
            <v>4</v>
          </cell>
        </row>
        <row r="1605">
          <cell r="A1605" t="str">
            <v>09300C503</v>
          </cell>
          <cell r="B1605" t="str">
            <v>09</v>
          </cell>
          <cell r="C1605">
            <v>300</v>
          </cell>
          <cell r="D1605" t="str">
            <v>C503</v>
          </cell>
          <cell r="E1605" t="str">
            <v>Q</v>
          </cell>
          <cell r="F1605">
            <v>4</v>
          </cell>
        </row>
        <row r="1606">
          <cell r="A1606" t="str">
            <v>09500C503</v>
          </cell>
          <cell r="B1606" t="str">
            <v>09</v>
          </cell>
          <cell r="C1606">
            <v>500</v>
          </cell>
          <cell r="D1606" t="str">
            <v>C503</v>
          </cell>
          <cell r="E1606" t="str">
            <v>G</v>
          </cell>
          <cell r="F1606">
            <v>1</v>
          </cell>
        </row>
        <row r="1607">
          <cell r="A1607" t="str">
            <v>09501C503</v>
          </cell>
          <cell r="B1607" t="str">
            <v>09</v>
          </cell>
          <cell r="C1607">
            <v>501</v>
          </cell>
          <cell r="D1607" t="str">
            <v>C503</v>
          </cell>
          <cell r="E1607" t="str">
            <v>Q</v>
          </cell>
          <cell r="F1607">
            <v>1</v>
          </cell>
        </row>
        <row r="1608">
          <cell r="A1608" t="str">
            <v>09501C503</v>
          </cell>
          <cell r="B1608" t="str">
            <v>09</v>
          </cell>
          <cell r="C1608">
            <v>501</v>
          </cell>
          <cell r="D1608" t="str">
            <v>C503</v>
          </cell>
          <cell r="E1608" t="str">
            <v>Q</v>
          </cell>
          <cell r="F1608">
            <v>1</v>
          </cell>
        </row>
        <row r="1609">
          <cell r="A1609" t="str">
            <v>09601C503</v>
          </cell>
          <cell r="B1609" t="str">
            <v>09</v>
          </cell>
          <cell r="C1609">
            <v>601</v>
          </cell>
          <cell r="D1609" t="str">
            <v>C503</v>
          </cell>
          <cell r="E1609" t="str">
            <v>Q</v>
          </cell>
          <cell r="F1609">
            <v>5</v>
          </cell>
        </row>
        <row r="1610">
          <cell r="A1610" t="str">
            <v>09601C503</v>
          </cell>
          <cell r="B1610" t="str">
            <v>09</v>
          </cell>
          <cell r="C1610">
            <v>601</v>
          </cell>
          <cell r="D1610" t="str">
            <v>C503</v>
          </cell>
          <cell r="E1610" t="str">
            <v>Q</v>
          </cell>
          <cell r="F1610">
            <v>5</v>
          </cell>
        </row>
        <row r="1611">
          <cell r="A1611" t="str">
            <v>09602C503</v>
          </cell>
          <cell r="B1611" t="str">
            <v>09</v>
          </cell>
          <cell r="C1611">
            <v>602</v>
          </cell>
          <cell r="D1611" t="str">
            <v>C503</v>
          </cell>
          <cell r="E1611" t="str">
            <v>R</v>
          </cell>
          <cell r="F1611">
            <v>6</v>
          </cell>
        </row>
        <row r="1612">
          <cell r="A1612" t="str">
            <v>09602C503</v>
          </cell>
          <cell r="B1612" t="str">
            <v>09</v>
          </cell>
          <cell r="C1612">
            <v>602</v>
          </cell>
          <cell r="D1612" t="str">
            <v>C503</v>
          </cell>
          <cell r="E1612" t="str">
            <v>R</v>
          </cell>
          <cell r="F1612">
            <v>6</v>
          </cell>
        </row>
        <row r="1613">
          <cell r="A1613" t="str">
            <v>09603C503</v>
          </cell>
          <cell r="B1613" t="str">
            <v>09</v>
          </cell>
          <cell r="C1613">
            <v>603</v>
          </cell>
          <cell r="D1613" t="str">
            <v>C503</v>
          </cell>
          <cell r="E1613" t="str">
            <v>S</v>
          </cell>
          <cell r="F1613">
            <v>6</v>
          </cell>
        </row>
        <row r="1614">
          <cell r="A1614" t="str">
            <v>09603C503</v>
          </cell>
          <cell r="B1614" t="str">
            <v>09</v>
          </cell>
          <cell r="C1614">
            <v>603</v>
          </cell>
          <cell r="D1614" t="str">
            <v>C503</v>
          </cell>
          <cell r="E1614" t="str">
            <v>S</v>
          </cell>
          <cell r="F1614">
            <v>6</v>
          </cell>
        </row>
        <row r="1615">
          <cell r="A1615" t="str">
            <v>99200C552</v>
          </cell>
          <cell r="B1615">
            <v>99</v>
          </cell>
          <cell r="C1615">
            <v>200</v>
          </cell>
          <cell r="D1615" t="str">
            <v>C552</v>
          </cell>
          <cell r="E1615" t="str">
            <v>Q</v>
          </cell>
          <cell r="F1615">
            <v>4</v>
          </cell>
        </row>
        <row r="1616">
          <cell r="A1616" t="str">
            <v>99300C552</v>
          </cell>
          <cell r="B1616">
            <v>99</v>
          </cell>
          <cell r="C1616">
            <v>300</v>
          </cell>
          <cell r="D1616" t="str">
            <v>C552</v>
          </cell>
          <cell r="E1616" t="str">
            <v>Q</v>
          </cell>
          <cell r="F1616">
            <v>4</v>
          </cell>
        </row>
        <row r="1617">
          <cell r="A1617" t="str">
            <v>99400C552</v>
          </cell>
          <cell r="B1617">
            <v>99</v>
          </cell>
          <cell r="C1617">
            <v>400</v>
          </cell>
          <cell r="D1617" t="str">
            <v>C552</v>
          </cell>
          <cell r="E1617" t="str">
            <v>M</v>
          </cell>
          <cell r="F1617">
            <v>5</v>
          </cell>
        </row>
        <row r="1618">
          <cell r="A1618" t="str">
            <v>99500C552</v>
          </cell>
          <cell r="B1618">
            <v>99</v>
          </cell>
          <cell r="C1618">
            <v>500</v>
          </cell>
          <cell r="D1618" t="str">
            <v>C552</v>
          </cell>
          <cell r="E1618" t="str">
            <v>H</v>
          </cell>
          <cell r="F1618">
            <v>2</v>
          </cell>
        </row>
        <row r="1619">
          <cell r="A1619" t="str">
            <v>99501C552</v>
          </cell>
          <cell r="B1619">
            <v>99</v>
          </cell>
          <cell r="C1619">
            <v>501</v>
          </cell>
          <cell r="D1619" t="str">
            <v>C552</v>
          </cell>
          <cell r="E1619" t="str">
            <v>Q</v>
          </cell>
          <cell r="F1619">
            <v>2</v>
          </cell>
        </row>
        <row r="1620">
          <cell r="A1620" t="str">
            <v>99509C552</v>
          </cell>
          <cell r="B1620">
            <v>99</v>
          </cell>
          <cell r="C1620">
            <v>509</v>
          </cell>
          <cell r="D1620" t="str">
            <v>C552</v>
          </cell>
          <cell r="E1620" t="str">
            <v>H</v>
          </cell>
          <cell r="F1620">
            <v>2</v>
          </cell>
        </row>
        <row r="1621">
          <cell r="A1621" t="str">
            <v>99600C552</v>
          </cell>
          <cell r="B1621">
            <v>99</v>
          </cell>
          <cell r="C1621">
            <v>600</v>
          </cell>
          <cell r="D1621" t="str">
            <v>C552</v>
          </cell>
          <cell r="E1621" t="str">
            <v>M</v>
          </cell>
          <cell r="F1621">
            <v>5</v>
          </cell>
        </row>
        <row r="1622">
          <cell r="A1622" t="str">
            <v>99601C552</v>
          </cell>
          <cell r="B1622">
            <v>99</v>
          </cell>
          <cell r="C1622">
            <v>601</v>
          </cell>
          <cell r="D1622" t="str">
            <v>C552</v>
          </cell>
          <cell r="E1622" t="str">
            <v>Q</v>
          </cell>
          <cell r="F1622">
            <v>5</v>
          </cell>
        </row>
        <row r="1623">
          <cell r="A1623" t="str">
            <v>99602C552</v>
          </cell>
          <cell r="B1623">
            <v>99</v>
          </cell>
          <cell r="C1623">
            <v>602</v>
          </cell>
          <cell r="D1623" t="str">
            <v>C552</v>
          </cell>
          <cell r="E1623" t="str">
            <v>R</v>
          </cell>
          <cell r="F1623">
            <v>6</v>
          </cell>
        </row>
        <row r="1624">
          <cell r="A1624" t="str">
            <v>99603C552</v>
          </cell>
          <cell r="B1624">
            <v>99</v>
          </cell>
          <cell r="C1624">
            <v>603</v>
          </cell>
          <cell r="D1624" t="str">
            <v>C552</v>
          </cell>
          <cell r="E1624" t="str">
            <v>S</v>
          </cell>
          <cell r="F1624">
            <v>6</v>
          </cell>
        </row>
        <row r="1625">
          <cell r="A1625" t="str">
            <v>99610C552</v>
          </cell>
          <cell r="B1625">
            <v>99</v>
          </cell>
          <cell r="C1625">
            <v>610</v>
          </cell>
          <cell r="D1625" t="str">
            <v>C552</v>
          </cell>
          <cell r="E1625" t="str">
            <v>T</v>
          </cell>
          <cell r="F1625">
            <v>5</v>
          </cell>
        </row>
        <row r="1626">
          <cell r="A1626" t="str">
            <v>09200C552</v>
          </cell>
          <cell r="B1626" t="str">
            <v>09</v>
          </cell>
          <cell r="C1626">
            <v>200</v>
          </cell>
          <cell r="D1626" t="str">
            <v>C552</v>
          </cell>
          <cell r="E1626" t="str">
            <v>Q</v>
          </cell>
          <cell r="F1626">
            <v>4</v>
          </cell>
        </row>
        <row r="1627">
          <cell r="A1627" t="str">
            <v>09300C552</v>
          </cell>
          <cell r="B1627" t="str">
            <v>09</v>
          </cell>
          <cell r="C1627">
            <v>300</v>
          </cell>
          <cell r="D1627" t="str">
            <v>C552</v>
          </cell>
          <cell r="E1627" t="str">
            <v>Q</v>
          </cell>
          <cell r="F1627">
            <v>4</v>
          </cell>
        </row>
        <row r="1628">
          <cell r="A1628" t="str">
            <v>09400C552</v>
          </cell>
          <cell r="B1628" t="str">
            <v>09</v>
          </cell>
          <cell r="C1628">
            <v>400</v>
          </cell>
          <cell r="D1628" t="str">
            <v>C552</v>
          </cell>
          <cell r="E1628" t="str">
            <v>M</v>
          </cell>
          <cell r="F1628">
            <v>5</v>
          </cell>
        </row>
        <row r="1629">
          <cell r="A1629" t="str">
            <v>09500C552</v>
          </cell>
          <cell r="B1629" t="str">
            <v>09</v>
          </cell>
          <cell r="C1629">
            <v>500</v>
          </cell>
          <cell r="D1629" t="str">
            <v>C552</v>
          </cell>
          <cell r="E1629" t="str">
            <v>H</v>
          </cell>
          <cell r="F1629">
            <v>2</v>
          </cell>
        </row>
        <row r="1630">
          <cell r="A1630" t="str">
            <v>09501C552</v>
          </cell>
          <cell r="B1630" t="str">
            <v>09</v>
          </cell>
          <cell r="C1630">
            <v>501</v>
          </cell>
          <cell r="D1630" t="str">
            <v>C552</v>
          </cell>
          <cell r="E1630" t="str">
            <v>Q</v>
          </cell>
          <cell r="F1630">
            <v>2</v>
          </cell>
        </row>
        <row r="1631">
          <cell r="A1631" t="str">
            <v>09509C552</v>
          </cell>
          <cell r="B1631" t="str">
            <v>09</v>
          </cell>
          <cell r="C1631">
            <v>509</v>
          </cell>
          <cell r="D1631" t="str">
            <v>C552</v>
          </cell>
          <cell r="E1631" t="str">
            <v>H</v>
          </cell>
          <cell r="F1631">
            <v>2</v>
          </cell>
        </row>
        <row r="1632">
          <cell r="A1632" t="str">
            <v>09600C552</v>
          </cell>
          <cell r="B1632" t="str">
            <v>09</v>
          </cell>
          <cell r="C1632">
            <v>600</v>
          </cell>
          <cell r="D1632" t="str">
            <v>C552</v>
          </cell>
          <cell r="E1632" t="str">
            <v>M</v>
          </cell>
          <cell r="F1632">
            <v>5</v>
          </cell>
        </row>
        <row r="1633">
          <cell r="A1633" t="str">
            <v>09601C552</v>
          </cell>
          <cell r="B1633" t="str">
            <v>09</v>
          </cell>
          <cell r="C1633">
            <v>601</v>
          </cell>
          <cell r="D1633" t="str">
            <v>C552</v>
          </cell>
          <cell r="E1633" t="str">
            <v>Q</v>
          </cell>
          <cell r="F1633">
            <v>5</v>
          </cell>
        </row>
        <row r="1634">
          <cell r="A1634" t="str">
            <v>09602C552</v>
          </cell>
          <cell r="B1634" t="str">
            <v>09</v>
          </cell>
          <cell r="C1634">
            <v>602</v>
          </cell>
          <cell r="D1634" t="str">
            <v>C552</v>
          </cell>
          <cell r="E1634" t="str">
            <v>R</v>
          </cell>
          <cell r="F1634">
            <v>6</v>
          </cell>
        </row>
        <row r="1635">
          <cell r="A1635" t="str">
            <v>09603C552</v>
          </cell>
          <cell r="B1635" t="str">
            <v>09</v>
          </cell>
          <cell r="C1635">
            <v>603</v>
          </cell>
          <cell r="D1635" t="str">
            <v>C552</v>
          </cell>
          <cell r="E1635" t="str">
            <v>S</v>
          </cell>
          <cell r="F1635">
            <v>6</v>
          </cell>
        </row>
        <row r="1636">
          <cell r="A1636" t="str">
            <v>99200C571</v>
          </cell>
          <cell r="B1636">
            <v>99</v>
          </cell>
          <cell r="C1636">
            <v>200</v>
          </cell>
          <cell r="D1636" t="str">
            <v>C571</v>
          </cell>
          <cell r="E1636" t="str">
            <v>Q</v>
          </cell>
          <cell r="F1636">
            <v>4</v>
          </cell>
        </row>
        <row r="1637">
          <cell r="A1637" t="str">
            <v>99300C571</v>
          </cell>
          <cell r="B1637">
            <v>99</v>
          </cell>
          <cell r="C1637">
            <v>300</v>
          </cell>
          <cell r="D1637" t="str">
            <v>C571</v>
          </cell>
          <cell r="E1637" t="str">
            <v>Q</v>
          </cell>
          <cell r="F1637">
            <v>4</v>
          </cell>
        </row>
        <row r="1638">
          <cell r="A1638" t="str">
            <v>99400C571</v>
          </cell>
          <cell r="B1638">
            <v>99</v>
          </cell>
          <cell r="C1638">
            <v>400</v>
          </cell>
          <cell r="D1638" t="str">
            <v>C571</v>
          </cell>
          <cell r="E1638" t="str">
            <v>Q</v>
          </cell>
          <cell r="F1638">
            <v>5</v>
          </cell>
        </row>
        <row r="1639">
          <cell r="A1639" t="str">
            <v>99500C571</v>
          </cell>
          <cell r="B1639">
            <v>99</v>
          </cell>
          <cell r="C1639">
            <v>500</v>
          </cell>
          <cell r="D1639" t="str">
            <v>C571</v>
          </cell>
          <cell r="E1639" t="str">
            <v>Q</v>
          </cell>
          <cell r="F1639">
            <v>4</v>
          </cell>
        </row>
        <row r="1640">
          <cell r="A1640" t="str">
            <v>99501C571</v>
          </cell>
          <cell r="B1640">
            <v>99</v>
          </cell>
          <cell r="C1640">
            <v>501</v>
          </cell>
          <cell r="D1640" t="str">
            <v>C571</v>
          </cell>
          <cell r="E1640" t="str">
            <v>Q</v>
          </cell>
          <cell r="F1640">
            <v>4</v>
          </cell>
        </row>
        <row r="1641">
          <cell r="A1641" t="str">
            <v>99600C571</v>
          </cell>
          <cell r="B1641">
            <v>99</v>
          </cell>
          <cell r="C1641">
            <v>600</v>
          </cell>
          <cell r="D1641" t="str">
            <v>C571</v>
          </cell>
          <cell r="E1641" t="str">
            <v>Q</v>
          </cell>
          <cell r="F1641">
            <v>5</v>
          </cell>
        </row>
        <row r="1642">
          <cell r="A1642" t="str">
            <v>99601C571</v>
          </cell>
          <cell r="B1642">
            <v>99</v>
          </cell>
          <cell r="C1642">
            <v>601</v>
          </cell>
          <cell r="D1642" t="str">
            <v>C571</v>
          </cell>
          <cell r="E1642" t="str">
            <v>Q</v>
          </cell>
          <cell r="F1642">
            <v>5</v>
          </cell>
        </row>
        <row r="1643">
          <cell r="A1643" t="str">
            <v>99602C571</v>
          </cell>
          <cell r="B1643">
            <v>99</v>
          </cell>
          <cell r="C1643">
            <v>602</v>
          </cell>
          <cell r="D1643" t="str">
            <v>C571</v>
          </cell>
          <cell r="E1643" t="str">
            <v>R</v>
          </cell>
          <cell r="F1643">
            <v>6</v>
          </cell>
        </row>
        <row r="1644">
          <cell r="A1644" t="str">
            <v>99603C571</v>
          </cell>
          <cell r="B1644">
            <v>99</v>
          </cell>
          <cell r="C1644">
            <v>603</v>
          </cell>
          <cell r="D1644" t="str">
            <v>C571</v>
          </cell>
          <cell r="E1644" t="str">
            <v>S</v>
          </cell>
          <cell r="F1644">
            <v>6</v>
          </cell>
        </row>
        <row r="1645">
          <cell r="A1645" t="str">
            <v>09200C571</v>
          </cell>
          <cell r="B1645" t="str">
            <v>09</v>
          </cell>
          <cell r="C1645">
            <v>200</v>
          </cell>
          <cell r="D1645" t="str">
            <v>C571</v>
          </cell>
          <cell r="E1645" t="str">
            <v>Q</v>
          </cell>
          <cell r="F1645">
            <v>4</v>
          </cell>
        </row>
        <row r="1646">
          <cell r="A1646" t="str">
            <v>09300C571</v>
          </cell>
          <cell r="B1646" t="str">
            <v>09</v>
          </cell>
          <cell r="C1646">
            <v>300</v>
          </cell>
          <cell r="D1646" t="str">
            <v>C571</v>
          </cell>
          <cell r="E1646" t="str">
            <v>Q</v>
          </cell>
          <cell r="F1646">
            <v>4</v>
          </cell>
        </row>
        <row r="1647">
          <cell r="A1647" t="str">
            <v>09400C571</v>
          </cell>
          <cell r="B1647" t="str">
            <v>09</v>
          </cell>
          <cell r="C1647">
            <v>400</v>
          </cell>
          <cell r="D1647" t="str">
            <v>C571</v>
          </cell>
          <cell r="E1647" t="str">
            <v>Q</v>
          </cell>
          <cell r="F1647">
            <v>5</v>
          </cell>
        </row>
        <row r="1648">
          <cell r="A1648" t="str">
            <v>09500C571</v>
          </cell>
          <cell r="B1648" t="str">
            <v>09</v>
          </cell>
          <cell r="C1648">
            <v>500</v>
          </cell>
          <cell r="D1648" t="str">
            <v>C571</v>
          </cell>
          <cell r="E1648" t="str">
            <v>Q</v>
          </cell>
          <cell r="F1648">
            <v>4</v>
          </cell>
        </row>
        <row r="1649">
          <cell r="A1649" t="str">
            <v>09501C571</v>
          </cell>
          <cell r="B1649" t="str">
            <v>09</v>
          </cell>
          <cell r="C1649">
            <v>501</v>
          </cell>
          <cell r="D1649" t="str">
            <v>C571</v>
          </cell>
          <cell r="E1649" t="str">
            <v>Q</v>
          </cell>
          <cell r="F1649">
            <v>4</v>
          </cell>
        </row>
        <row r="1650">
          <cell r="A1650" t="str">
            <v>09600C571</v>
          </cell>
          <cell r="B1650" t="str">
            <v>09</v>
          </cell>
          <cell r="C1650">
            <v>600</v>
          </cell>
          <cell r="D1650" t="str">
            <v>C571</v>
          </cell>
          <cell r="E1650" t="str">
            <v>Q</v>
          </cell>
          <cell r="F1650">
            <v>5</v>
          </cell>
        </row>
        <row r="1651">
          <cell r="A1651" t="str">
            <v>09601C571</v>
          </cell>
          <cell r="B1651" t="str">
            <v>09</v>
          </cell>
          <cell r="C1651">
            <v>601</v>
          </cell>
          <cell r="D1651" t="str">
            <v>C571</v>
          </cell>
          <cell r="E1651" t="str">
            <v>Q</v>
          </cell>
          <cell r="F1651">
            <v>5</v>
          </cell>
        </row>
        <row r="1652">
          <cell r="A1652" t="str">
            <v>09602C571</v>
          </cell>
          <cell r="B1652" t="str">
            <v>09</v>
          </cell>
          <cell r="C1652">
            <v>602</v>
          </cell>
          <cell r="D1652" t="str">
            <v>C571</v>
          </cell>
          <cell r="E1652" t="str">
            <v>R</v>
          </cell>
          <cell r="F1652">
            <v>6</v>
          </cell>
        </row>
        <row r="1653">
          <cell r="A1653" t="str">
            <v>09603C571</v>
          </cell>
          <cell r="B1653" t="str">
            <v>09</v>
          </cell>
          <cell r="C1653">
            <v>603</v>
          </cell>
          <cell r="D1653" t="str">
            <v>C571</v>
          </cell>
          <cell r="E1653" t="str">
            <v>S</v>
          </cell>
          <cell r="F1653">
            <v>6</v>
          </cell>
        </row>
        <row r="1654">
          <cell r="A1654" t="str">
            <v>99200D552</v>
          </cell>
          <cell r="B1654">
            <v>99</v>
          </cell>
          <cell r="C1654">
            <v>200</v>
          </cell>
          <cell r="D1654" t="str">
            <v>D552</v>
          </cell>
          <cell r="E1654" t="str">
            <v>Q</v>
          </cell>
          <cell r="F1654">
            <v>4</v>
          </cell>
        </row>
        <row r="1655">
          <cell r="A1655" t="str">
            <v>99300D552</v>
          </cell>
          <cell r="B1655">
            <v>99</v>
          </cell>
          <cell r="C1655">
            <v>300</v>
          </cell>
          <cell r="D1655" t="str">
            <v>D552</v>
          </cell>
          <cell r="E1655" t="str">
            <v>Q</v>
          </cell>
          <cell r="F1655">
            <v>4</v>
          </cell>
        </row>
        <row r="1656">
          <cell r="A1656" t="str">
            <v>99400D552</v>
          </cell>
          <cell r="B1656">
            <v>99</v>
          </cell>
          <cell r="C1656">
            <v>400</v>
          </cell>
          <cell r="D1656" t="str">
            <v>D552</v>
          </cell>
          <cell r="E1656" t="str">
            <v>M</v>
          </cell>
          <cell r="F1656">
            <v>5</v>
          </cell>
        </row>
        <row r="1657">
          <cell r="A1657" t="str">
            <v>99500D552</v>
          </cell>
          <cell r="B1657">
            <v>99</v>
          </cell>
          <cell r="C1657">
            <v>500</v>
          </cell>
          <cell r="D1657" t="str">
            <v>D552</v>
          </cell>
          <cell r="E1657" t="str">
            <v>A</v>
          </cell>
          <cell r="F1657">
            <v>1</v>
          </cell>
        </row>
        <row r="1658">
          <cell r="A1658" t="str">
            <v>99501D552</v>
          </cell>
          <cell r="B1658">
            <v>99</v>
          </cell>
          <cell r="C1658">
            <v>501</v>
          </cell>
          <cell r="D1658" t="str">
            <v>D552</v>
          </cell>
          <cell r="E1658" t="str">
            <v>Q</v>
          </cell>
          <cell r="F1658">
            <v>1</v>
          </cell>
        </row>
        <row r="1659">
          <cell r="A1659" t="str">
            <v>99600D552</v>
          </cell>
          <cell r="B1659">
            <v>99</v>
          </cell>
          <cell r="C1659">
            <v>600</v>
          </cell>
          <cell r="D1659" t="str">
            <v>D552</v>
          </cell>
          <cell r="E1659" t="str">
            <v>M</v>
          </cell>
          <cell r="F1659">
            <v>5</v>
          </cell>
        </row>
        <row r="1660">
          <cell r="A1660" t="str">
            <v>99601D552</v>
          </cell>
          <cell r="B1660">
            <v>99</v>
          </cell>
          <cell r="C1660">
            <v>601</v>
          </cell>
          <cell r="D1660" t="str">
            <v>D552</v>
          </cell>
          <cell r="E1660" t="str">
            <v>Q</v>
          </cell>
          <cell r="F1660">
            <v>5</v>
          </cell>
        </row>
        <row r="1661">
          <cell r="A1661" t="str">
            <v>99602D552</v>
          </cell>
          <cell r="B1661">
            <v>99</v>
          </cell>
          <cell r="C1661">
            <v>602</v>
          </cell>
          <cell r="D1661" t="str">
            <v>D552</v>
          </cell>
          <cell r="E1661" t="str">
            <v>R</v>
          </cell>
          <cell r="F1661">
            <v>6</v>
          </cell>
        </row>
        <row r="1662">
          <cell r="A1662" t="str">
            <v>99603D552</v>
          </cell>
          <cell r="B1662">
            <v>99</v>
          </cell>
          <cell r="C1662">
            <v>603</v>
          </cell>
          <cell r="D1662" t="str">
            <v>D552</v>
          </cell>
          <cell r="E1662" t="str">
            <v>S</v>
          </cell>
          <cell r="F1662">
            <v>6</v>
          </cell>
        </row>
        <row r="1663">
          <cell r="A1663" t="str">
            <v>09200D552</v>
          </cell>
          <cell r="B1663" t="str">
            <v>09</v>
          </cell>
          <cell r="C1663">
            <v>200</v>
          </cell>
          <cell r="D1663" t="str">
            <v>D552</v>
          </cell>
          <cell r="E1663" t="str">
            <v>Q</v>
          </cell>
          <cell r="F1663">
            <v>4</v>
          </cell>
        </row>
        <row r="1664">
          <cell r="A1664" t="str">
            <v>09300D552</v>
          </cell>
          <cell r="B1664" t="str">
            <v>09</v>
          </cell>
          <cell r="C1664">
            <v>300</v>
          </cell>
          <cell r="D1664" t="str">
            <v>D552</v>
          </cell>
          <cell r="E1664" t="str">
            <v>Q</v>
          </cell>
          <cell r="F1664">
            <v>4</v>
          </cell>
        </row>
        <row r="1665">
          <cell r="A1665" t="str">
            <v>09400D552</v>
          </cell>
          <cell r="B1665" t="str">
            <v>09</v>
          </cell>
          <cell r="C1665">
            <v>400</v>
          </cell>
          <cell r="D1665" t="str">
            <v>D552</v>
          </cell>
          <cell r="E1665" t="str">
            <v>M</v>
          </cell>
          <cell r="F1665">
            <v>5</v>
          </cell>
        </row>
        <row r="1666">
          <cell r="A1666" t="str">
            <v>09500D552</v>
          </cell>
          <cell r="B1666" t="str">
            <v>09</v>
          </cell>
          <cell r="C1666">
            <v>500</v>
          </cell>
          <cell r="D1666" t="str">
            <v>D552</v>
          </cell>
          <cell r="E1666" t="str">
            <v>A</v>
          </cell>
          <cell r="F1666">
            <v>1</v>
          </cell>
        </row>
        <row r="1667">
          <cell r="A1667" t="str">
            <v>09501D552</v>
          </cell>
          <cell r="B1667" t="str">
            <v>09</v>
          </cell>
          <cell r="C1667">
            <v>501</v>
          </cell>
          <cell r="D1667" t="str">
            <v>D552</v>
          </cell>
          <cell r="E1667" t="str">
            <v>Q</v>
          </cell>
          <cell r="F1667">
            <v>1</v>
          </cell>
        </row>
        <row r="1668">
          <cell r="A1668" t="str">
            <v>09600D552</v>
          </cell>
          <cell r="B1668" t="str">
            <v>09</v>
          </cell>
          <cell r="C1668">
            <v>600</v>
          </cell>
          <cell r="D1668" t="str">
            <v>D552</v>
          </cell>
          <cell r="E1668" t="str">
            <v>M</v>
          </cell>
          <cell r="F1668">
            <v>5</v>
          </cell>
        </row>
        <row r="1669">
          <cell r="A1669" t="str">
            <v>09601D552</v>
          </cell>
          <cell r="B1669" t="str">
            <v>09</v>
          </cell>
          <cell r="C1669">
            <v>601</v>
          </cell>
          <cell r="D1669" t="str">
            <v>D552</v>
          </cell>
          <cell r="E1669" t="str">
            <v>Q</v>
          </cell>
          <cell r="F1669">
            <v>5</v>
          </cell>
        </row>
        <row r="1670">
          <cell r="A1670" t="str">
            <v>09602D552</v>
          </cell>
          <cell r="B1670" t="str">
            <v>09</v>
          </cell>
          <cell r="C1670">
            <v>602</v>
          </cell>
          <cell r="D1670" t="str">
            <v>D552</v>
          </cell>
          <cell r="E1670" t="str">
            <v>R</v>
          </cell>
          <cell r="F1670">
            <v>6</v>
          </cell>
        </row>
        <row r="1671">
          <cell r="A1671" t="str">
            <v>09603D552</v>
          </cell>
          <cell r="B1671" t="str">
            <v>09</v>
          </cell>
          <cell r="C1671">
            <v>603</v>
          </cell>
          <cell r="D1671" t="str">
            <v>D552</v>
          </cell>
          <cell r="E1671" t="str">
            <v>S</v>
          </cell>
          <cell r="F1671">
            <v>6</v>
          </cell>
        </row>
        <row r="1672">
          <cell r="A1672" t="str">
            <v>99200E503</v>
          </cell>
          <cell r="B1672">
            <v>99</v>
          </cell>
          <cell r="C1672">
            <v>200</v>
          </cell>
          <cell r="D1672" t="str">
            <v>E503</v>
          </cell>
          <cell r="E1672" t="str">
            <v>Q</v>
          </cell>
          <cell r="F1672">
            <v>4</v>
          </cell>
        </row>
        <row r="1673">
          <cell r="A1673" t="str">
            <v>99300E503</v>
          </cell>
          <cell r="B1673">
            <v>99</v>
          </cell>
          <cell r="C1673">
            <v>300</v>
          </cell>
          <cell r="D1673" t="str">
            <v>E503</v>
          </cell>
          <cell r="E1673" t="str">
            <v>Q</v>
          </cell>
          <cell r="F1673">
            <v>4</v>
          </cell>
        </row>
        <row r="1674">
          <cell r="A1674" t="str">
            <v>99500E503</v>
          </cell>
          <cell r="B1674">
            <v>99</v>
          </cell>
          <cell r="C1674">
            <v>500</v>
          </cell>
          <cell r="D1674" t="str">
            <v>E503</v>
          </cell>
          <cell r="E1674" t="str">
            <v>D</v>
          </cell>
          <cell r="F1674">
            <v>1</v>
          </cell>
        </row>
        <row r="1675">
          <cell r="A1675" t="str">
            <v>99501E503</v>
          </cell>
          <cell r="B1675">
            <v>99</v>
          </cell>
          <cell r="C1675">
            <v>501</v>
          </cell>
          <cell r="D1675" t="str">
            <v>E503</v>
          </cell>
          <cell r="E1675" t="str">
            <v>Q</v>
          </cell>
          <cell r="F1675">
            <v>1</v>
          </cell>
        </row>
        <row r="1676">
          <cell r="A1676" t="str">
            <v>99601E503</v>
          </cell>
          <cell r="B1676">
            <v>99</v>
          </cell>
          <cell r="C1676">
            <v>601</v>
          </cell>
          <cell r="D1676" t="str">
            <v>E503</v>
          </cell>
          <cell r="E1676" t="str">
            <v>Q</v>
          </cell>
          <cell r="F1676">
            <v>5</v>
          </cell>
        </row>
        <row r="1677">
          <cell r="A1677" t="str">
            <v>99602E503</v>
          </cell>
          <cell r="B1677">
            <v>99</v>
          </cell>
          <cell r="C1677">
            <v>602</v>
          </cell>
          <cell r="D1677" t="str">
            <v>E503</v>
          </cell>
          <cell r="E1677" t="str">
            <v>R</v>
          </cell>
          <cell r="F1677">
            <v>6</v>
          </cell>
        </row>
        <row r="1678">
          <cell r="A1678" t="str">
            <v>99603E503</v>
          </cell>
          <cell r="B1678">
            <v>99</v>
          </cell>
          <cell r="C1678">
            <v>603</v>
          </cell>
          <cell r="D1678" t="str">
            <v>E503</v>
          </cell>
          <cell r="E1678" t="str">
            <v>S</v>
          </cell>
          <cell r="F1678">
            <v>6</v>
          </cell>
        </row>
        <row r="1679">
          <cell r="A1679" t="str">
            <v>09200E503</v>
          </cell>
          <cell r="B1679" t="str">
            <v>09</v>
          </cell>
          <cell r="C1679">
            <v>200</v>
          </cell>
          <cell r="D1679" t="str">
            <v>E503</v>
          </cell>
          <cell r="E1679" t="str">
            <v>Q</v>
          </cell>
          <cell r="F1679">
            <v>4</v>
          </cell>
        </row>
        <row r="1680">
          <cell r="A1680" t="str">
            <v>09300E503</v>
          </cell>
          <cell r="B1680" t="str">
            <v>09</v>
          </cell>
          <cell r="C1680">
            <v>300</v>
          </cell>
          <cell r="D1680" t="str">
            <v>E503</v>
          </cell>
          <cell r="E1680" t="str">
            <v>Q</v>
          </cell>
          <cell r="F1680">
            <v>4</v>
          </cell>
        </row>
        <row r="1681">
          <cell r="A1681" t="str">
            <v>09500E503</v>
          </cell>
          <cell r="B1681" t="str">
            <v>09</v>
          </cell>
          <cell r="C1681">
            <v>500</v>
          </cell>
          <cell r="D1681" t="str">
            <v>E503</v>
          </cell>
          <cell r="E1681" t="str">
            <v>D</v>
          </cell>
          <cell r="F1681">
            <v>1</v>
          </cell>
        </row>
        <row r="1682">
          <cell r="A1682" t="str">
            <v>09501E503</v>
          </cell>
          <cell r="B1682" t="str">
            <v>09</v>
          </cell>
          <cell r="C1682">
            <v>501</v>
          </cell>
          <cell r="D1682" t="str">
            <v>E503</v>
          </cell>
          <cell r="E1682" t="str">
            <v>Q</v>
          </cell>
          <cell r="F1682">
            <v>1</v>
          </cell>
        </row>
        <row r="1683">
          <cell r="A1683" t="str">
            <v>09601E503</v>
          </cell>
          <cell r="B1683" t="str">
            <v>09</v>
          </cell>
          <cell r="C1683">
            <v>601</v>
          </cell>
          <cell r="D1683" t="str">
            <v>E503</v>
          </cell>
          <cell r="E1683" t="str">
            <v>Q</v>
          </cell>
          <cell r="F1683">
            <v>5</v>
          </cell>
        </row>
        <row r="1684">
          <cell r="A1684" t="str">
            <v>09602E503</v>
          </cell>
          <cell r="B1684" t="str">
            <v>09</v>
          </cell>
          <cell r="C1684">
            <v>602</v>
          </cell>
          <cell r="D1684" t="str">
            <v>E503</v>
          </cell>
          <cell r="E1684" t="str">
            <v>R</v>
          </cell>
          <cell r="F1684">
            <v>6</v>
          </cell>
        </row>
        <row r="1685">
          <cell r="A1685" t="str">
            <v>09603E503</v>
          </cell>
          <cell r="B1685" t="str">
            <v>09</v>
          </cell>
          <cell r="C1685">
            <v>603</v>
          </cell>
          <cell r="D1685" t="str">
            <v>E503</v>
          </cell>
          <cell r="E1685" t="str">
            <v>S</v>
          </cell>
          <cell r="F1685">
            <v>6</v>
          </cell>
        </row>
        <row r="1686">
          <cell r="A1686" t="str">
            <v>99200E552</v>
          </cell>
          <cell r="B1686">
            <v>99</v>
          </cell>
          <cell r="C1686">
            <v>200</v>
          </cell>
          <cell r="D1686" t="str">
            <v>E552</v>
          </cell>
          <cell r="E1686" t="str">
            <v>Q</v>
          </cell>
          <cell r="F1686">
            <v>4</v>
          </cell>
        </row>
        <row r="1687">
          <cell r="A1687" t="str">
            <v>99300E552</v>
          </cell>
          <cell r="B1687">
            <v>99</v>
          </cell>
          <cell r="C1687">
            <v>300</v>
          </cell>
          <cell r="D1687" t="str">
            <v>E552</v>
          </cell>
          <cell r="E1687" t="str">
            <v>Q</v>
          </cell>
          <cell r="F1687">
            <v>4</v>
          </cell>
        </row>
        <row r="1688">
          <cell r="A1688" t="str">
            <v>99500E552</v>
          </cell>
          <cell r="B1688">
            <v>99</v>
          </cell>
          <cell r="C1688">
            <v>500</v>
          </cell>
          <cell r="D1688" t="str">
            <v>E552</v>
          </cell>
          <cell r="E1688" t="str">
            <v>A</v>
          </cell>
          <cell r="F1688">
            <v>1</v>
          </cell>
        </row>
        <row r="1689">
          <cell r="A1689" t="str">
            <v>99501E552</v>
          </cell>
          <cell r="B1689">
            <v>99</v>
          </cell>
          <cell r="C1689">
            <v>501</v>
          </cell>
          <cell r="D1689" t="str">
            <v>E552</v>
          </cell>
          <cell r="E1689" t="str">
            <v>Q</v>
          </cell>
          <cell r="F1689">
            <v>1</v>
          </cell>
        </row>
        <row r="1690">
          <cell r="A1690" t="str">
            <v>99601E552</v>
          </cell>
          <cell r="B1690">
            <v>99</v>
          </cell>
          <cell r="C1690">
            <v>601</v>
          </cell>
          <cell r="D1690" t="str">
            <v>E552</v>
          </cell>
          <cell r="E1690" t="str">
            <v>Q</v>
          </cell>
          <cell r="F1690">
            <v>5</v>
          </cell>
        </row>
        <row r="1691">
          <cell r="A1691" t="str">
            <v>99602E552</v>
          </cell>
          <cell r="B1691">
            <v>99</v>
          </cell>
          <cell r="C1691">
            <v>602</v>
          </cell>
          <cell r="D1691" t="str">
            <v>E552</v>
          </cell>
          <cell r="E1691" t="str">
            <v>R</v>
          </cell>
          <cell r="F1691">
            <v>6</v>
          </cell>
        </row>
        <row r="1692">
          <cell r="A1692" t="str">
            <v>99603E552</v>
          </cell>
          <cell r="B1692">
            <v>99</v>
          </cell>
          <cell r="C1692">
            <v>603</v>
          </cell>
          <cell r="D1692" t="str">
            <v>E552</v>
          </cell>
          <cell r="E1692" t="str">
            <v>S</v>
          </cell>
          <cell r="F1692">
            <v>6</v>
          </cell>
        </row>
        <row r="1693">
          <cell r="A1693" t="str">
            <v>09200E552</v>
          </cell>
          <cell r="B1693" t="str">
            <v>09</v>
          </cell>
          <cell r="C1693">
            <v>200</v>
          </cell>
          <cell r="D1693" t="str">
            <v>E552</v>
          </cell>
          <cell r="E1693" t="str">
            <v>Q</v>
          </cell>
          <cell r="F1693">
            <v>4</v>
          </cell>
        </row>
        <row r="1694">
          <cell r="A1694" t="str">
            <v>09300E552</v>
          </cell>
          <cell r="B1694" t="str">
            <v>09</v>
          </cell>
          <cell r="C1694">
            <v>300</v>
          </cell>
          <cell r="D1694" t="str">
            <v>E552</v>
          </cell>
          <cell r="E1694" t="str">
            <v>Q</v>
          </cell>
          <cell r="F1694">
            <v>4</v>
          </cell>
        </row>
        <row r="1695">
          <cell r="A1695" t="str">
            <v>09500E552</v>
          </cell>
          <cell r="B1695" t="str">
            <v>09</v>
          </cell>
          <cell r="C1695">
            <v>500</v>
          </cell>
          <cell r="D1695" t="str">
            <v>E552</v>
          </cell>
          <cell r="E1695" t="str">
            <v>A</v>
          </cell>
          <cell r="F1695">
            <v>1</v>
          </cell>
        </row>
        <row r="1696">
          <cell r="A1696" t="str">
            <v>09501E552</v>
          </cell>
          <cell r="B1696" t="str">
            <v>09</v>
          </cell>
          <cell r="C1696">
            <v>501</v>
          </cell>
          <cell r="D1696" t="str">
            <v>E552</v>
          </cell>
          <cell r="E1696" t="str">
            <v>Q</v>
          </cell>
          <cell r="F1696">
            <v>1</v>
          </cell>
        </row>
        <row r="1697">
          <cell r="A1697" t="str">
            <v>09601E552</v>
          </cell>
          <cell r="B1697" t="str">
            <v>09</v>
          </cell>
          <cell r="C1697">
            <v>601</v>
          </cell>
          <cell r="D1697" t="str">
            <v>E552</v>
          </cell>
          <cell r="E1697" t="str">
            <v>Q</v>
          </cell>
          <cell r="F1697">
            <v>5</v>
          </cell>
        </row>
        <row r="1698">
          <cell r="A1698" t="str">
            <v>09602E552</v>
          </cell>
          <cell r="B1698" t="str">
            <v>09</v>
          </cell>
          <cell r="C1698">
            <v>602</v>
          </cell>
          <cell r="D1698" t="str">
            <v>E552</v>
          </cell>
          <cell r="E1698" t="str">
            <v>R</v>
          </cell>
          <cell r="F1698">
            <v>6</v>
          </cell>
        </row>
        <row r="1699">
          <cell r="A1699" t="str">
            <v>09603E552</v>
          </cell>
          <cell r="B1699" t="str">
            <v>09</v>
          </cell>
          <cell r="C1699">
            <v>603</v>
          </cell>
          <cell r="D1699" t="str">
            <v>E552</v>
          </cell>
          <cell r="E1699" t="str">
            <v>S</v>
          </cell>
          <cell r="F1699">
            <v>6</v>
          </cell>
        </row>
        <row r="1700">
          <cell r="A1700" t="str">
            <v>99200G503</v>
          </cell>
          <cell r="B1700">
            <v>99</v>
          </cell>
          <cell r="C1700">
            <v>200</v>
          </cell>
          <cell r="D1700" t="str">
            <v>G503</v>
          </cell>
          <cell r="E1700" t="str">
            <v>Q</v>
          </cell>
          <cell r="F1700">
            <v>4</v>
          </cell>
        </row>
        <row r="1701">
          <cell r="A1701" t="str">
            <v>99300G503</v>
          </cell>
          <cell r="B1701">
            <v>99</v>
          </cell>
          <cell r="C1701">
            <v>300</v>
          </cell>
          <cell r="D1701" t="str">
            <v>G503</v>
          </cell>
          <cell r="E1701" t="str">
            <v>Q</v>
          </cell>
          <cell r="F1701">
            <v>4</v>
          </cell>
        </row>
        <row r="1702">
          <cell r="A1702" t="str">
            <v>99400G503</v>
          </cell>
          <cell r="B1702">
            <v>99</v>
          </cell>
          <cell r="C1702">
            <v>400</v>
          </cell>
          <cell r="D1702" t="str">
            <v>G503</v>
          </cell>
          <cell r="E1702" t="str">
            <v>Q</v>
          </cell>
          <cell r="F1702">
            <v>5</v>
          </cell>
        </row>
        <row r="1703">
          <cell r="A1703" t="str">
            <v>99500G503</v>
          </cell>
          <cell r="B1703">
            <v>99</v>
          </cell>
          <cell r="C1703">
            <v>500</v>
          </cell>
          <cell r="D1703" t="str">
            <v>G503</v>
          </cell>
          <cell r="E1703" t="str">
            <v>Q</v>
          </cell>
          <cell r="F1703">
            <v>3</v>
          </cell>
        </row>
        <row r="1704">
          <cell r="A1704" t="str">
            <v>99501G503</v>
          </cell>
          <cell r="B1704">
            <v>99</v>
          </cell>
          <cell r="C1704">
            <v>501</v>
          </cell>
          <cell r="D1704" t="str">
            <v>G503</v>
          </cell>
          <cell r="E1704" t="str">
            <v>Q</v>
          </cell>
          <cell r="F1704">
            <v>3</v>
          </cell>
        </row>
        <row r="1705">
          <cell r="A1705" t="str">
            <v>99600G503</v>
          </cell>
          <cell r="B1705">
            <v>99</v>
          </cell>
          <cell r="C1705">
            <v>600</v>
          </cell>
          <cell r="D1705" t="str">
            <v>G503</v>
          </cell>
          <cell r="E1705" t="str">
            <v>Q</v>
          </cell>
          <cell r="F1705">
            <v>5</v>
          </cell>
        </row>
        <row r="1706">
          <cell r="A1706" t="str">
            <v>99601G503</v>
          </cell>
          <cell r="B1706">
            <v>99</v>
          </cell>
          <cell r="C1706">
            <v>601</v>
          </cell>
          <cell r="D1706" t="str">
            <v>G503</v>
          </cell>
          <cell r="E1706" t="str">
            <v>Q</v>
          </cell>
          <cell r="F1706">
            <v>5</v>
          </cell>
        </row>
        <row r="1707">
          <cell r="A1707" t="str">
            <v>99602G503</v>
          </cell>
          <cell r="B1707">
            <v>99</v>
          </cell>
          <cell r="C1707">
            <v>602</v>
          </cell>
          <cell r="D1707" t="str">
            <v>G503</v>
          </cell>
          <cell r="E1707" t="str">
            <v>R</v>
          </cell>
          <cell r="F1707">
            <v>6</v>
          </cell>
        </row>
        <row r="1708">
          <cell r="A1708" t="str">
            <v>99603G503</v>
          </cell>
          <cell r="B1708">
            <v>99</v>
          </cell>
          <cell r="C1708">
            <v>603</v>
          </cell>
          <cell r="D1708" t="str">
            <v>G503</v>
          </cell>
          <cell r="E1708" t="str">
            <v>S</v>
          </cell>
          <cell r="F1708">
            <v>6</v>
          </cell>
        </row>
        <row r="1709">
          <cell r="A1709" t="str">
            <v>09200G503</v>
          </cell>
          <cell r="B1709" t="str">
            <v>09</v>
          </cell>
          <cell r="C1709">
            <v>200</v>
          </cell>
          <cell r="D1709" t="str">
            <v>G503</v>
          </cell>
          <cell r="E1709" t="str">
            <v>Q</v>
          </cell>
          <cell r="F1709">
            <v>4</v>
          </cell>
        </row>
        <row r="1710">
          <cell r="A1710" t="str">
            <v>09300G503</v>
          </cell>
          <cell r="B1710" t="str">
            <v>09</v>
          </cell>
          <cell r="C1710">
            <v>300</v>
          </cell>
          <cell r="D1710" t="str">
            <v>G503</v>
          </cell>
          <cell r="E1710" t="str">
            <v>Q</v>
          </cell>
          <cell r="F1710">
            <v>4</v>
          </cell>
        </row>
        <row r="1711">
          <cell r="A1711" t="str">
            <v>09400G503</v>
          </cell>
          <cell r="B1711" t="str">
            <v>09</v>
          </cell>
          <cell r="C1711">
            <v>400</v>
          </cell>
          <cell r="D1711" t="str">
            <v>G503</v>
          </cell>
          <cell r="E1711" t="str">
            <v>Q</v>
          </cell>
          <cell r="F1711">
            <v>5</v>
          </cell>
        </row>
        <row r="1712">
          <cell r="A1712" t="str">
            <v>09500G503</v>
          </cell>
          <cell r="B1712" t="str">
            <v>09</v>
          </cell>
          <cell r="C1712">
            <v>500</v>
          </cell>
          <cell r="D1712" t="str">
            <v>G503</v>
          </cell>
          <cell r="E1712" t="str">
            <v>Q</v>
          </cell>
          <cell r="F1712">
            <v>3</v>
          </cell>
        </row>
        <row r="1713">
          <cell r="A1713" t="str">
            <v>09501G503</v>
          </cell>
          <cell r="B1713" t="str">
            <v>09</v>
          </cell>
          <cell r="C1713">
            <v>501</v>
          </cell>
          <cell r="D1713" t="str">
            <v>G503</v>
          </cell>
          <cell r="E1713" t="str">
            <v>Q</v>
          </cell>
          <cell r="F1713">
            <v>3</v>
          </cell>
        </row>
        <row r="1714">
          <cell r="A1714" t="str">
            <v>09600G503</v>
          </cell>
          <cell r="B1714" t="str">
            <v>09</v>
          </cell>
          <cell r="C1714">
            <v>600</v>
          </cell>
          <cell r="D1714" t="str">
            <v>G503</v>
          </cell>
          <cell r="E1714" t="str">
            <v>Q</v>
          </cell>
          <cell r="F1714">
            <v>5</v>
          </cell>
        </row>
        <row r="1715">
          <cell r="A1715" t="str">
            <v>09601G503</v>
          </cell>
          <cell r="B1715" t="str">
            <v>09</v>
          </cell>
          <cell r="C1715">
            <v>601</v>
          </cell>
          <cell r="D1715" t="str">
            <v>G503</v>
          </cell>
          <cell r="E1715" t="str">
            <v>Q</v>
          </cell>
          <cell r="F1715">
            <v>5</v>
          </cell>
        </row>
        <row r="1716">
          <cell r="A1716" t="str">
            <v>09602G503</v>
          </cell>
          <cell r="B1716" t="str">
            <v>09</v>
          </cell>
          <cell r="C1716">
            <v>602</v>
          </cell>
          <cell r="D1716" t="str">
            <v>G503</v>
          </cell>
          <cell r="E1716" t="str">
            <v>R</v>
          </cell>
          <cell r="F1716">
            <v>6</v>
          </cell>
        </row>
        <row r="1717">
          <cell r="A1717" t="str">
            <v>09603G503</v>
          </cell>
          <cell r="B1717" t="str">
            <v>09</v>
          </cell>
          <cell r="C1717">
            <v>603</v>
          </cell>
          <cell r="D1717" t="str">
            <v>G503</v>
          </cell>
          <cell r="E1717" t="str">
            <v>S</v>
          </cell>
          <cell r="F1717">
            <v>6</v>
          </cell>
        </row>
      </sheetData>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amp; E"/>
      <sheetName val="O &amp; M"/>
    </sheetNames>
    <sheetDataSet>
      <sheetData sheetId="0" refreshError="1"/>
      <sheetData sheetId="1" refreshError="1">
        <row r="5">
          <cell r="T5" t="str">
            <v>2000-12-31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Analysis for Estimate"/>
      <sheetName val="Project Log"/>
      <sheetName val="Sheet1"/>
      <sheetName val="Sheet3"/>
      <sheetName val="Sheet4"/>
      <sheetName val="Sheet5"/>
      <sheetName val="Sheet6"/>
      <sheetName val="O&amp;M Pivot Analysis"/>
      <sheetName val="Source Data"/>
      <sheetName val="IM Risk Score Per Pipeline"/>
      <sheetName val="IM System Name"/>
      <sheetName val="Directions"/>
      <sheetName val="Costs By Year"/>
      <sheetName val="ILI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1">
          <cell r="B21">
            <v>2013</v>
          </cell>
        </row>
        <row r="22">
          <cell r="B22">
            <v>2014</v>
          </cell>
        </row>
        <row r="23">
          <cell r="B23">
            <v>2015</v>
          </cell>
        </row>
        <row r="24">
          <cell r="B24">
            <v>2016</v>
          </cell>
        </row>
        <row r="25">
          <cell r="B25">
            <v>2017</v>
          </cell>
        </row>
        <row r="26">
          <cell r="B26">
            <v>2018</v>
          </cell>
        </row>
        <row r="27">
          <cell r="B27">
            <v>2019</v>
          </cell>
        </row>
        <row r="28">
          <cell r="B28">
            <v>2020</v>
          </cell>
        </row>
        <row r="29">
          <cell r="B29">
            <v>2021</v>
          </cell>
        </row>
        <row r="30">
          <cell r="B30">
            <v>2022</v>
          </cell>
        </row>
        <row r="31">
          <cell r="B31">
            <v>2023</v>
          </cell>
        </row>
        <row r="32">
          <cell r="B32">
            <v>2024</v>
          </cell>
        </row>
        <row r="33">
          <cell r="B33">
            <v>2025</v>
          </cell>
        </row>
        <row r="34">
          <cell r="B34">
            <v>2026</v>
          </cell>
        </row>
        <row r="35">
          <cell r="B35">
            <v>2027</v>
          </cell>
        </row>
        <row r="36">
          <cell r="B36">
            <v>2028</v>
          </cell>
        </row>
        <row r="37">
          <cell r="B37">
            <v>2029</v>
          </cell>
        </row>
        <row r="38">
          <cell r="B38">
            <v>2030</v>
          </cell>
        </row>
        <row r="39">
          <cell r="B39">
            <v>2031</v>
          </cell>
        </row>
        <row r="40">
          <cell r="B40">
            <v>2032</v>
          </cell>
        </row>
        <row r="41">
          <cell r="B41">
            <v>2033</v>
          </cell>
        </row>
        <row r="42">
          <cell r="B42">
            <v>2034</v>
          </cell>
        </row>
        <row r="43">
          <cell r="B43">
            <v>2035</v>
          </cell>
        </row>
        <row r="44">
          <cell r="B44" t="str">
            <v>Other</v>
          </cell>
        </row>
        <row r="520">
          <cell r="B520" t="str">
            <v>Bridge Crossings</v>
          </cell>
        </row>
        <row r="521">
          <cell r="B521" t="str">
            <v>Casings</v>
          </cell>
        </row>
        <row r="522">
          <cell r="B522" t="str">
            <v>Data Collection</v>
          </cell>
        </row>
        <row r="523">
          <cell r="B523" t="str">
            <v>Direct Assesment</v>
          </cell>
        </row>
        <row r="524">
          <cell r="B524" t="str">
            <v>Encroachments</v>
          </cell>
        </row>
        <row r="525">
          <cell r="B525" t="str">
            <v>Exposures</v>
          </cell>
        </row>
        <row r="526">
          <cell r="B526" t="str">
            <v>Gas Quality / Conditioning</v>
          </cell>
        </row>
        <row r="527">
          <cell r="B527" t="str">
            <v>ILI Assessments</v>
          </cell>
        </row>
        <row r="528">
          <cell r="B528" t="str">
            <v>ILI Retrofits</v>
          </cell>
        </row>
        <row r="529">
          <cell r="B529" t="str">
            <v>Ineffectively Coated Steel</v>
          </cell>
        </row>
        <row r="530">
          <cell r="B530" t="str">
            <v>Inside Meters</v>
          </cell>
        </row>
        <row r="531">
          <cell r="B531" t="str">
            <v>Miscellaneous</v>
          </cell>
        </row>
        <row r="532">
          <cell r="B532" t="str">
            <v>Non-Commerically Available Pipe Size</v>
          </cell>
        </row>
        <row r="533">
          <cell r="B533" t="str">
            <v>Obsolete Equipment</v>
          </cell>
        </row>
        <row r="534">
          <cell r="B534" t="str">
            <v>Odorizers</v>
          </cell>
        </row>
        <row r="535">
          <cell r="B535" t="str">
            <v>Pressure Monitoring / SCADA / RTU</v>
          </cell>
        </row>
        <row r="536">
          <cell r="B536" t="str">
            <v>Pressure Test</v>
          </cell>
        </row>
        <row r="537">
          <cell r="B537" t="str">
            <v>Priority Pipe</v>
          </cell>
        </row>
        <row r="538">
          <cell r="B538" t="str">
            <v>Regulator Station</v>
          </cell>
        </row>
        <row r="539">
          <cell r="B539" t="str">
            <v>Retirements</v>
          </cell>
        </row>
        <row r="540">
          <cell r="B540" t="str">
            <v>Shallow Pipe</v>
          </cell>
        </row>
        <row r="541">
          <cell r="B541" t="str">
            <v>Single Feed Systems</v>
          </cell>
        </row>
        <row r="542">
          <cell r="B542" t="str">
            <v>Station Rehabilitation</v>
          </cell>
        </row>
        <row r="543">
          <cell r="B543" t="str">
            <v>Uprate</v>
          </cell>
        </row>
        <row r="544">
          <cell r="B544" t="str">
            <v>Valves / Operators / Remote Cntrl</v>
          </cell>
        </row>
        <row r="545">
          <cell r="B545" t="str">
            <v>Vintage Plastic (Aldyl-A)</v>
          </cell>
        </row>
        <row r="548">
          <cell r="B548" t="str">
            <v>Transmission</v>
          </cell>
        </row>
        <row r="549">
          <cell r="B549" t="str">
            <v>Distribution</v>
          </cell>
        </row>
        <row r="552">
          <cell r="B552" t="str">
            <v>NE</v>
          </cell>
        </row>
        <row r="553">
          <cell r="B553" t="str">
            <v>NW</v>
          </cell>
        </row>
        <row r="554">
          <cell r="B554" t="str">
            <v>OH</v>
          </cell>
        </row>
        <row r="555">
          <cell r="B555" t="str">
            <v>SE</v>
          </cell>
        </row>
        <row r="556">
          <cell r="B556" t="str">
            <v>SW</v>
          </cell>
        </row>
        <row r="559">
          <cell r="B559" t="str">
            <v>NE/Anderson</v>
          </cell>
        </row>
        <row r="560">
          <cell r="B560" t="str">
            <v>NE/Greenfield</v>
          </cell>
        </row>
        <row r="561">
          <cell r="B561" t="str">
            <v>NE/Huntington</v>
          </cell>
        </row>
        <row r="562">
          <cell r="B562" t="str">
            <v>NE/Muncie</v>
          </cell>
        </row>
        <row r="563">
          <cell r="B563" t="str">
            <v>NE/New Castle</v>
          </cell>
        </row>
        <row r="564">
          <cell r="B564" t="str">
            <v>NE/Noblesville</v>
          </cell>
        </row>
        <row r="565">
          <cell r="B565" t="str">
            <v>NE/Richmond</v>
          </cell>
        </row>
        <row r="566">
          <cell r="B566" t="str">
            <v>NW/Attica</v>
          </cell>
        </row>
        <row r="567">
          <cell r="B567" t="str">
            <v>NW/Crawfordsville</v>
          </cell>
        </row>
        <row r="568">
          <cell r="B568" t="str">
            <v>NW/Danville</v>
          </cell>
        </row>
        <row r="569">
          <cell r="B569" t="str">
            <v>NW/Frankfort</v>
          </cell>
        </row>
        <row r="570">
          <cell r="B570" t="str">
            <v>NW/Greencastle</v>
          </cell>
        </row>
        <row r="571">
          <cell r="B571" t="str">
            <v>NW/Lafayette</v>
          </cell>
        </row>
        <row r="572">
          <cell r="B572" t="str">
            <v>NW/Lebanon</v>
          </cell>
        </row>
        <row r="573">
          <cell r="B573" t="str">
            <v>NW/Rockville</v>
          </cell>
        </row>
        <row r="574">
          <cell r="B574" t="str">
            <v>NW/Terre Haute</v>
          </cell>
        </row>
        <row r="575">
          <cell r="B575" t="str">
            <v>NW/Wolcott</v>
          </cell>
        </row>
        <row r="576">
          <cell r="B576" t="str">
            <v>SE/Bedford</v>
          </cell>
        </row>
        <row r="577">
          <cell r="B577" t="str">
            <v>SE/Bloomington</v>
          </cell>
        </row>
        <row r="578">
          <cell r="B578" t="str">
            <v>SE/Clarksville</v>
          </cell>
        </row>
        <row r="579">
          <cell r="B579" t="str">
            <v>SE/Columbus</v>
          </cell>
        </row>
        <row r="580">
          <cell r="B580" t="str">
            <v>SE/Franklin</v>
          </cell>
        </row>
        <row r="581">
          <cell r="B581" t="str">
            <v>SE/Greensburg</v>
          </cell>
        </row>
        <row r="582">
          <cell r="B582" t="str">
            <v>SE/Madison</v>
          </cell>
        </row>
        <row r="583">
          <cell r="B583" t="str">
            <v>SE/Martinsville</v>
          </cell>
        </row>
        <row r="584">
          <cell r="B584" t="str">
            <v>SE/Shelbyville</v>
          </cell>
        </row>
        <row r="585">
          <cell r="B585" t="str">
            <v>SW/Boonville</v>
          </cell>
        </row>
        <row r="586">
          <cell r="B586" t="str">
            <v>SW/Evansville</v>
          </cell>
        </row>
        <row r="587">
          <cell r="B587" t="str">
            <v>SW/Mt. Vernon</v>
          </cell>
        </row>
        <row r="588">
          <cell r="B588" t="str">
            <v>SW/Rockport</v>
          </cell>
        </row>
        <row r="589">
          <cell r="B589" t="str">
            <v>SW/Vincennes</v>
          </cell>
        </row>
        <row r="590">
          <cell r="B590" t="str">
            <v>OH/Centerville</v>
          </cell>
        </row>
        <row r="591">
          <cell r="B591" t="str">
            <v>OH/Dayton West</v>
          </cell>
        </row>
        <row r="592">
          <cell r="B592" t="str">
            <v>OH/Fairborn</v>
          </cell>
        </row>
        <row r="593">
          <cell r="B593" t="str">
            <v>OH/Troy</v>
          </cell>
        </row>
        <row r="594">
          <cell r="B594" t="str">
            <v>OH/Washington CH</v>
          </cell>
        </row>
        <row r="597">
          <cell r="B597" t="str">
            <v>SB 251</v>
          </cell>
        </row>
        <row r="598">
          <cell r="B598" t="str">
            <v>SB 560</v>
          </cell>
        </row>
        <row r="599">
          <cell r="B599" t="str">
            <v>SB 560 PI</v>
          </cell>
        </row>
        <row r="600">
          <cell r="B600" t="str">
            <v>SB 560 SI</v>
          </cell>
        </row>
        <row r="601">
          <cell r="B601" t="str">
            <v>SB 560 SR</v>
          </cell>
        </row>
        <row r="602">
          <cell r="B602" t="str">
            <v>SB 560 C</v>
          </cell>
        </row>
        <row r="603">
          <cell r="B603" t="str">
            <v>SB 560 LPS</v>
          </cell>
        </row>
        <row r="604">
          <cell r="B604" t="str">
            <v>PSA Tracker</v>
          </cell>
        </row>
        <row r="605">
          <cell r="B605" t="str">
            <v>Other</v>
          </cell>
        </row>
        <row r="608">
          <cell r="B608" t="str">
            <v>Yes</v>
          </cell>
        </row>
        <row r="609">
          <cell r="B609" t="str">
            <v>No</v>
          </cell>
        </row>
        <row r="612">
          <cell r="B612" t="str">
            <v>Budgeted</v>
          </cell>
        </row>
        <row r="613">
          <cell r="B613" t="str">
            <v>Scheduled</v>
          </cell>
        </row>
        <row r="614">
          <cell r="B614" t="str">
            <v>In Progress</v>
          </cell>
        </row>
        <row r="615">
          <cell r="B615" t="str">
            <v>Resolved</v>
          </cell>
        </row>
        <row r="616">
          <cell r="B616" t="str">
            <v>Completed</v>
          </cell>
        </row>
        <row r="617">
          <cell r="B617" t="str">
            <v>Rollover</v>
          </cell>
        </row>
        <row r="639">
          <cell r="B639" t="str">
            <v>External Corrosion</v>
          </cell>
          <cell r="C639">
            <v>5</v>
          </cell>
        </row>
        <row r="640">
          <cell r="B640" t="str">
            <v>Internal Corrosion</v>
          </cell>
          <cell r="C640">
            <v>5</v>
          </cell>
        </row>
        <row r="641">
          <cell r="B641" t="str">
            <v>Atmospheric Corrosion</v>
          </cell>
          <cell r="C641">
            <v>3</v>
          </cell>
        </row>
        <row r="642">
          <cell r="B642" t="str">
            <v>Indirect Corrosion</v>
          </cell>
          <cell r="C642">
            <v>2</v>
          </cell>
        </row>
        <row r="643">
          <cell r="B643" t="str">
            <v>Natural Forces</v>
          </cell>
          <cell r="C643">
            <v>5</v>
          </cell>
        </row>
        <row r="644">
          <cell r="B644" t="str">
            <v>Excavation Damage</v>
          </cell>
          <cell r="C644">
            <v>5</v>
          </cell>
        </row>
        <row r="645">
          <cell r="B645" t="str">
            <v>Other Outside Force</v>
          </cell>
          <cell r="C645">
            <v>5</v>
          </cell>
        </row>
        <row r="646">
          <cell r="B646" t="str">
            <v>Material Weld / Joint</v>
          </cell>
          <cell r="C646">
            <v>5</v>
          </cell>
        </row>
        <row r="647">
          <cell r="B647" t="str">
            <v>Equipment Malfunction</v>
          </cell>
          <cell r="C647">
            <v>3</v>
          </cell>
        </row>
        <row r="648">
          <cell r="B648" t="str">
            <v>Inappropriate Operation</v>
          </cell>
          <cell r="C648">
            <v>4</v>
          </cell>
        </row>
        <row r="649">
          <cell r="B649" t="str">
            <v>Sewer Transection</v>
          </cell>
          <cell r="C649">
            <v>4</v>
          </cell>
        </row>
        <row r="650">
          <cell r="B650" t="str">
            <v>Overbuilds / Encroachment</v>
          </cell>
          <cell r="C650">
            <v>3</v>
          </cell>
        </row>
        <row r="651">
          <cell r="B651" t="str">
            <v>Stress Corrosion cracking</v>
          </cell>
          <cell r="C651">
            <v>5</v>
          </cell>
        </row>
        <row r="652">
          <cell r="B652" t="str">
            <v>Seam / Weld / Fab / Girth Def</v>
          </cell>
          <cell r="C652">
            <v>5</v>
          </cell>
        </row>
        <row r="653">
          <cell r="B653" t="str">
            <v>Pipe Body defect</v>
          </cell>
          <cell r="C653">
            <v>3</v>
          </cell>
        </row>
        <row r="654">
          <cell r="B654" t="str">
            <v>Wrinkle Bend</v>
          </cell>
          <cell r="C654">
            <v>2</v>
          </cell>
        </row>
        <row r="655">
          <cell r="B655" t="str">
            <v>Broken thread or coupling</v>
          </cell>
          <cell r="C655">
            <v>1</v>
          </cell>
        </row>
        <row r="656">
          <cell r="B656" t="str">
            <v>Gasket or o-ring failure</v>
          </cell>
          <cell r="C656">
            <v>1</v>
          </cell>
        </row>
        <row r="657">
          <cell r="B657" t="str">
            <v>Pressure control equipment</v>
          </cell>
          <cell r="C657">
            <v>4</v>
          </cell>
        </row>
        <row r="658">
          <cell r="B658" t="str">
            <v>Seal or Packing failure</v>
          </cell>
          <cell r="C658">
            <v>1</v>
          </cell>
        </row>
        <row r="659">
          <cell r="B659" t="str">
            <v>Misc Equipment</v>
          </cell>
          <cell r="C659">
            <v>2</v>
          </cell>
        </row>
        <row r="660">
          <cell r="B660" t="str">
            <v>Risk of Damage</v>
          </cell>
          <cell r="C660">
            <v>3</v>
          </cell>
        </row>
        <row r="661">
          <cell r="B661" t="str">
            <v>Vandalism</v>
          </cell>
          <cell r="C661">
            <v>3</v>
          </cell>
        </row>
        <row r="662">
          <cell r="B662" t="str">
            <v>Incorrect operation</v>
          </cell>
          <cell r="C662">
            <v>3</v>
          </cell>
        </row>
        <row r="663">
          <cell r="B663" t="str">
            <v>Cold Weather</v>
          </cell>
          <cell r="C663">
            <v>1</v>
          </cell>
        </row>
        <row r="664">
          <cell r="B664" t="str">
            <v>Lightning</v>
          </cell>
          <cell r="C664">
            <v>1</v>
          </cell>
        </row>
        <row r="665">
          <cell r="B665" t="str">
            <v>Flooding or heavy rain</v>
          </cell>
          <cell r="C665">
            <v>3</v>
          </cell>
        </row>
        <row r="666">
          <cell r="B666" t="str">
            <v>Soil Movement</v>
          </cell>
          <cell r="C666">
            <v>1</v>
          </cell>
        </row>
        <row r="669">
          <cell r="B669" t="str">
            <v>Pipeline - Steel</v>
          </cell>
          <cell r="C669">
            <v>5</v>
          </cell>
        </row>
        <row r="670">
          <cell r="B670" t="str">
            <v>Pipeline - Plastic</v>
          </cell>
          <cell r="C670">
            <v>4</v>
          </cell>
        </row>
        <row r="671">
          <cell r="B671" t="str">
            <v>Pipeline - Cast Iron</v>
          </cell>
          <cell r="C671">
            <v>5</v>
          </cell>
        </row>
        <row r="672">
          <cell r="B672" t="str">
            <v>Valve</v>
          </cell>
          <cell r="C672">
            <v>3</v>
          </cell>
        </row>
        <row r="673">
          <cell r="B673" t="str">
            <v>Pipeline Heater</v>
          </cell>
          <cell r="C673">
            <v>3</v>
          </cell>
        </row>
        <row r="674">
          <cell r="B674" t="str">
            <v>Odorizer</v>
          </cell>
          <cell r="C674">
            <v>3</v>
          </cell>
        </row>
        <row r="675">
          <cell r="B675" t="str">
            <v>Filter</v>
          </cell>
          <cell r="C675">
            <v>2</v>
          </cell>
        </row>
        <row r="676">
          <cell r="B676" t="str">
            <v>Pressure Control</v>
          </cell>
          <cell r="C676">
            <v>4</v>
          </cell>
        </row>
        <row r="677">
          <cell r="B677" t="str">
            <v>Meter</v>
          </cell>
          <cell r="C677">
            <v>4</v>
          </cell>
        </row>
        <row r="678">
          <cell r="B678" t="str">
            <v>Service Line - Steel</v>
          </cell>
          <cell r="C678">
            <v>5</v>
          </cell>
        </row>
        <row r="679">
          <cell r="B679" t="str">
            <v>Service Line - Plastic</v>
          </cell>
          <cell r="C679">
            <v>4</v>
          </cell>
        </row>
        <row r="680">
          <cell r="B680" t="str">
            <v>Service Line - Other</v>
          </cell>
          <cell r="C680">
            <v>5</v>
          </cell>
        </row>
        <row r="681">
          <cell r="B681" t="str">
            <v>Gas Quality Equip</v>
          </cell>
          <cell r="C681">
            <v>2</v>
          </cell>
        </row>
        <row r="684">
          <cell r="B684" t="str">
            <v>Unknown</v>
          </cell>
          <cell r="C684">
            <v>3</v>
          </cell>
        </row>
        <row r="685">
          <cell r="B685" t="str">
            <v>2000-current</v>
          </cell>
          <cell r="C685">
            <v>1</v>
          </cell>
        </row>
        <row r="686">
          <cell r="B686" t="str">
            <v>1985 - 1999</v>
          </cell>
          <cell r="C686">
            <v>2</v>
          </cell>
        </row>
        <row r="687">
          <cell r="B687" t="str">
            <v>1971 - 1985</v>
          </cell>
          <cell r="C687">
            <v>4</v>
          </cell>
        </row>
        <row r="688">
          <cell r="B688" t="str">
            <v>1955 -1970</v>
          </cell>
          <cell r="C688">
            <v>4</v>
          </cell>
        </row>
        <row r="689">
          <cell r="B689" t="str">
            <v>Prior to 1955</v>
          </cell>
          <cell r="C689">
            <v>5</v>
          </cell>
        </row>
        <row r="690">
          <cell r="B690" t="str">
            <v>N/A</v>
          </cell>
          <cell r="C690">
            <v>3</v>
          </cell>
        </row>
        <row r="693">
          <cell r="B693" t="str">
            <v>Unknown</v>
          </cell>
          <cell r="C693">
            <v>5</v>
          </cell>
        </row>
        <row r="694">
          <cell r="B694" t="str">
            <v>HP Dist: &gt; 60 psig &amp; &lt;20%</v>
          </cell>
          <cell r="C694">
            <v>2</v>
          </cell>
        </row>
        <row r="695">
          <cell r="B695" t="str">
            <v>Distribution &lt;60psig</v>
          </cell>
          <cell r="C695">
            <v>1</v>
          </cell>
        </row>
        <row r="696">
          <cell r="B696" t="str">
            <v>Transmission: 20% - 30%</v>
          </cell>
          <cell r="C696">
            <v>3</v>
          </cell>
        </row>
        <row r="697">
          <cell r="B697" t="str">
            <v>Transmission: 30% - 50%</v>
          </cell>
          <cell r="C697">
            <v>4</v>
          </cell>
        </row>
        <row r="698">
          <cell r="B698" t="str">
            <v>Transmission: &gt; 50%</v>
          </cell>
          <cell r="C698">
            <v>5</v>
          </cell>
        </row>
        <row r="701">
          <cell r="B701" t="str">
            <v>Yes</v>
          </cell>
          <cell r="C701">
            <v>4</v>
          </cell>
        </row>
        <row r="702">
          <cell r="B702" t="str">
            <v>No</v>
          </cell>
          <cell r="C702">
            <v>1</v>
          </cell>
        </row>
        <row r="703">
          <cell r="B703" t="str">
            <v>N/A</v>
          </cell>
          <cell r="C703">
            <v>1</v>
          </cell>
        </row>
        <row r="706">
          <cell r="B706" t="str">
            <v>Residential</v>
          </cell>
          <cell r="C706">
            <v>4</v>
          </cell>
        </row>
        <row r="707">
          <cell r="B707" t="str">
            <v>Business District</v>
          </cell>
          <cell r="C707">
            <v>5</v>
          </cell>
        </row>
        <row r="708">
          <cell r="B708" t="str">
            <v>Rural</v>
          </cell>
          <cell r="C708">
            <v>2</v>
          </cell>
        </row>
        <row r="709">
          <cell r="B709" t="str">
            <v>Class 1  (1-10)</v>
          </cell>
          <cell r="C709">
            <v>1</v>
          </cell>
        </row>
        <row r="710">
          <cell r="B710" t="str">
            <v>Class 2 (11-46)</v>
          </cell>
          <cell r="C710">
            <v>2</v>
          </cell>
        </row>
        <row r="711">
          <cell r="B711" t="str">
            <v>Class 3 (&gt;  46)</v>
          </cell>
          <cell r="C711">
            <v>4</v>
          </cell>
        </row>
        <row r="712">
          <cell r="B712" t="str">
            <v>Class 4 (4+stories bldgs)</v>
          </cell>
          <cell r="C712">
            <v>5</v>
          </cell>
        </row>
        <row r="715">
          <cell r="B715" t="str">
            <v>&lt; 1yr</v>
          </cell>
          <cell r="C715">
            <v>5</v>
          </cell>
        </row>
        <row r="716">
          <cell r="B716" t="str">
            <v>&gt; 1 yr / &lt; 2 yr</v>
          </cell>
          <cell r="C716">
            <v>4</v>
          </cell>
        </row>
        <row r="717">
          <cell r="B717" t="str">
            <v>&gt; 2 yr / &lt; 3 yr</v>
          </cell>
          <cell r="C717">
            <v>3</v>
          </cell>
        </row>
        <row r="718">
          <cell r="B718" t="str">
            <v>&gt; 3 yr / &lt; 4 yr</v>
          </cell>
          <cell r="C718">
            <v>2</v>
          </cell>
        </row>
        <row r="719">
          <cell r="B719" t="str">
            <v>&gt; 4 yr / &lt; 5 yr</v>
          </cell>
          <cell r="C719">
            <v>1</v>
          </cell>
        </row>
        <row r="720">
          <cell r="B720" t="str">
            <v>N/A</v>
          </cell>
          <cell r="C720">
            <v>0</v>
          </cell>
        </row>
        <row r="723">
          <cell r="B723" t="str">
            <v>Ready to inspect</v>
          </cell>
          <cell r="C723">
            <v>1</v>
          </cell>
        </row>
        <row r="724">
          <cell r="B724" t="str">
            <v>Traps in place + Minor modifications needed</v>
          </cell>
          <cell r="C724">
            <v>2</v>
          </cell>
        </row>
        <row r="725">
          <cell r="B725" t="str">
            <v>Traps required + Minor modifications needed</v>
          </cell>
          <cell r="C725">
            <v>3</v>
          </cell>
        </row>
        <row r="726">
          <cell r="B726" t="str">
            <v>Traps required + Major modifications needed</v>
          </cell>
          <cell r="C726">
            <v>4</v>
          </cell>
        </row>
        <row r="727">
          <cell r="B727" t="str">
            <v>Not feasible for modification to all smart pigging</v>
          </cell>
          <cell r="C727">
            <v>5</v>
          </cell>
        </row>
        <row r="728">
          <cell r="B728" t="str">
            <v>N/A</v>
          </cell>
          <cell r="C728">
            <v>1</v>
          </cell>
        </row>
        <row r="731">
          <cell r="B731" t="str">
            <v>Wall/Wall Pavement</v>
          </cell>
          <cell r="C731">
            <v>5</v>
          </cell>
        </row>
        <row r="732">
          <cell r="B732" t="str">
            <v>Cased Crossing</v>
          </cell>
          <cell r="C732">
            <v>2</v>
          </cell>
        </row>
        <row r="733">
          <cell r="B733" t="str">
            <v>Non- Cased Crossing</v>
          </cell>
          <cell r="C733">
            <v>4</v>
          </cell>
        </row>
        <row r="734">
          <cell r="B734" t="str">
            <v>Extra Depth</v>
          </cell>
          <cell r="C734">
            <v>4</v>
          </cell>
        </row>
        <row r="735">
          <cell r="B735" t="str">
            <v>Water Crossing</v>
          </cell>
          <cell r="C735">
            <v>5</v>
          </cell>
        </row>
        <row r="736">
          <cell r="B736" t="str">
            <v>Farm / Native Soil</v>
          </cell>
          <cell r="C736">
            <v>2</v>
          </cell>
        </row>
        <row r="737">
          <cell r="B737" t="str">
            <v>Above-Ground</v>
          </cell>
          <cell r="C737">
            <v>2</v>
          </cell>
        </row>
        <row r="738">
          <cell r="B738" t="str">
            <v>Below-Ground - Pit / Vault</v>
          </cell>
          <cell r="C738">
            <v>3</v>
          </cell>
        </row>
        <row r="739">
          <cell r="B739" t="str">
            <v>Street / Public ROW</v>
          </cell>
          <cell r="C739">
            <v>4</v>
          </cell>
        </row>
        <row r="742">
          <cell r="B742" t="str">
            <v>Time Sensitive (Current Year)</v>
          </cell>
          <cell r="C742">
            <v>5</v>
          </cell>
        </row>
        <row r="743">
          <cell r="B743" t="str">
            <v>Time Sensitive (1-2 years)</v>
          </cell>
          <cell r="C743">
            <v>3</v>
          </cell>
        </row>
        <row r="744">
          <cell r="B744" t="str">
            <v>Time Sensitive (3-5 years)</v>
          </cell>
          <cell r="C744">
            <v>2</v>
          </cell>
        </row>
        <row r="745">
          <cell r="B745" t="str">
            <v>Operations &amp; Maintenance</v>
          </cell>
          <cell r="C745">
            <v>1</v>
          </cell>
        </row>
        <row r="746">
          <cell r="B746" t="str">
            <v xml:space="preserve">High Impact </v>
          </cell>
          <cell r="C746">
            <v>5</v>
          </cell>
        </row>
        <row r="749">
          <cell r="B749" t="str">
            <v>Local</v>
          </cell>
          <cell r="C749">
            <v>3</v>
          </cell>
        </row>
        <row r="750">
          <cell r="B750" t="str">
            <v>State Permit</v>
          </cell>
          <cell r="C750">
            <v>4</v>
          </cell>
        </row>
        <row r="751">
          <cell r="B751" t="str">
            <v>Federal Permit</v>
          </cell>
          <cell r="C751">
            <v>5</v>
          </cell>
        </row>
        <row r="752">
          <cell r="B752" t="str">
            <v>Environmental</v>
          </cell>
          <cell r="C752">
            <v>5</v>
          </cell>
        </row>
        <row r="753">
          <cell r="B753" t="str">
            <v>No Long Lead Permits</v>
          </cell>
          <cell r="C753">
            <v>1</v>
          </cell>
        </row>
        <row r="756">
          <cell r="B756" t="str">
            <v>Low PSI / Capacity</v>
          </cell>
          <cell r="C756">
            <v>4</v>
          </cell>
        </row>
        <row r="757">
          <cell r="B757" t="str">
            <v>Water</v>
          </cell>
          <cell r="C757">
            <v>5</v>
          </cell>
        </row>
        <row r="758">
          <cell r="B758" t="str">
            <v>Unlocatable Pipe</v>
          </cell>
          <cell r="C758">
            <v>5</v>
          </cell>
        </row>
        <row r="759">
          <cell r="B759" t="str">
            <v>None Identified</v>
          </cell>
          <cell r="C759">
            <v>0</v>
          </cell>
        </row>
        <row r="762">
          <cell r="B762" t="str">
            <v>Long Lead Time</v>
          </cell>
          <cell r="C762">
            <v>4</v>
          </cell>
        </row>
        <row r="763">
          <cell r="B763" t="str">
            <v xml:space="preserve">Obsolete Material </v>
          </cell>
          <cell r="C763">
            <v>5</v>
          </cell>
        </row>
        <row r="764">
          <cell r="B764" t="str">
            <v>Material Available</v>
          </cell>
          <cell r="C764">
            <v>1</v>
          </cell>
        </row>
      </sheetData>
      <sheetData sheetId="9" refreshError="1">
        <row r="2">
          <cell r="A2" t="str">
            <v>NE4001</v>
          </cell>
          <cell r="B2">
            <v>25.5854</v>
          </cell>
        </row>
        <row r="3">
          <cell r="A3" t="str">
            <v>NE4001</v>
          </cell>
          <cell r="B3">
            <v>5.8658663214730797</v>
          </cell>
        </row>
        <row r="4">
          <cell r="A4" t="str">
            <v>NE4002</v>
          </cell>
          <cell r="B4">
            <v>5.9173999999999998</v>
          </cell>
        </row>
        <row r="5">
          <cell r="A5" t="str">
            <v>NE4002</v>
          </cell>
          <cell r="B5">
            <v>5.8531805250536504</v>
          </cell>
        </row>
        <row r="6">
          <cell r="A6" t="str">
            <v>NE4003</v>
          </cell>
          <cell r="B6">
            <v>22.232199999999999</v>
          </cell>
        </row>
        <row r="7">
          <cell r="A7" t="str">
            <v>NE4003</v>
          </cell>
          <cell r="B7">
            <v>5.8404947286342299</v>
          </cell>
        </row>
        <row r="8">
          <cell r="A8" t="str">
            <v>NE4004</v>
          </cell>
          <cell r="B8">
            <v>19.491099999999999</v>
          </cell>
        </row>
        <row r="9">
          <cell r="A9" t="str">
            <v>NE4004</v>
          </cell>
          <cell r="B9">
            <v>5.8278089322148103</v>
          </cell>
        </row>
        <row r="10">
          <cell r="A10" t="str">
            <v>NE4005</v>
          </cell>
          <cell r="B10">
            <v>14.8757</v>
          </cell>
        </row>
        <row r="11">
          <cell r="A11" t="str">
            <v>NE4005</v>
          </cell>
          <cell r="B11">
            <v>5.8151231357953899</v>
          </cell>
        </row>
        <row r="12">
          <cell r="A12" t="str">
            <v>NE4006</v>
          </cell>
          <cell r="B12">
            <v>16.962199999999999</v>
          </cell>
        </row>
        <row r="13">
          <cell r="A13" t="str">
            <v>NE4006</v>
          </cell>
          <cell r="B13">
            <v>5.8024373393759703</v>
          </cell>
        </row>
        <row r="14">
          <cell r="A14" t="str">
            <v>NE4007</v>
          </cell>
          <cell r="B14">
            <v>7.7610999999999999</v>
          </cell>
        </row>
        <row r="15">
          <cell r="A15" t="str">
            <v>NE4007</v>
          </cell>
          <cell r="B15">
            <v>5.7897515429565498</v>
          </cell>
        </row>
        <row r="16">
          <cell r="A16" t="str">
            <v>NE4008</v>
          </cell>
          <cell r="B16">
            <v>9.7829999999999995</v>
          </cell>
        </row>
        <row r="17">
          <cell r="A17" t="str">
            <v>NE4008</v>
          </cell>
          <cell r="B17">
            <v>5.7770657465371302</v>
          </cell>
        </row>
        <row r="18">
          <cell r="A18" t="str">
            <v>NE4009</v>
          </cell>
          <cell r="B18">
            <v>15.1386</v>
          </cell>
        </row>
        <row r="19">
          <cell r="A19" t="str">
            <v>NE4009</v>
          </cell>
          <cell r="B19">
            <v>5.7643799501177098</v>
          </cell>
        </row>
        <row r="20">
          <cell r="A20" t="str">
            <v>NE4010</v>
          </cell>
          <cell r="B20">
            <v>11.228899999999999</v>
          </cell>
        </row>
        <row r="21">
          <cell r="A21" t="str">
            <v>NE4010</v>
          </cell>
          <cell r="B21">
            <v>5.7516941536982902</v>
          </cell>
        </row>
        <row r="22">
          <cell r="A22" t="str">
            <v>NE4012</v>
          </cell>
          <cell r="B22">
            <v>19.5243</v>
          </cell>
        </row>
        <row r="23">
          <cell r="A23" t="str">
            <v>NE4012</v>
          </cell>
          <cell r="B23">
            <v>5.7390083572788697</v>
          </cell>
        </row>
        <row r="24">
          <cell r="A24" t="str">
            <v>NE4013</v>
          </cell>
          <cell r="B24">
            <v>9.1304999999999996</v>
          </cell>
        </row>
        <row r="25">
          <cell r="A25" t="str">
            <v>NE4013</v>
          </cell>
          <cell r="B25">
            <v>5.7263225608594501</v>
          </cell>
        </row>
        <row r="26">
          <cell r="A26" t="str">
            <v>NE4014</v>
          </cell>
          <cell r="B26">
            <v>8.7512000000000008</v>
          </cell>
        </row>
        <row r="27">
          <cell r="A27" t="str">
            <v>NE4014</v>
          </cell>
          <cell r="B27">
            <v>5.7136367644400297</v>
          </cell>
        </row>
        <row r="28">
          <cell r="A28" t="str">
            <v>NE4015</v>
          </cell>
          <cell r="B28">
            <v>20.802199999999999</v>
          </cell>
        </row>
        <row r="29">
          <cell r="A29" t="str">
            <v>NE4015</v>
          </cell>
          <cell r="B29">
            <v>5.7009509680206101</v>
          </cell>
        </row>
        <row r="30">
          <cell r="A30" t="str">
            <v>NE4016</v>
          </cell>
          <cell r="B30">
            <v>9.4640000000000004</v>
          </cell>
        </row>
        <row r="31">
          <cell r="A31" t="str">
            <v>NE4016</v>
          </cell>
          <cell r="B31">
            <v>5.6882651716011896</v>
          </cell>
        </row>
        <row r="32">
          <cell r="A32" t="str">
            <v>NE4017</v>
          </cell>
          <cell r="B32">
            <v>11.6906</v>
          </cell>
        </row>
        <row r="33">
          <cell r="A33" t="str">
            <v>NE4017</v>
          </cell>
          <cell r="B33">
            <v>5.67557937518177</v>
          </cell>
        </row>
        <row r="34">
          <cell r="A34" t="str">
            <v>NE4018</v>
          </cell>
          <cell r="B34">
            <v>14.6402</v>
          </cell>
        </row>
        <row r="35">
          <cell r="A35" t="str">
            <v>NE4018</v>
          </cell>
          <cell r="B35">
            <v>5.6628935787623504</v>
          </cell>
        </row>
        <row r="36">
          <cell r="A36" t="str">
            <v>NE4019</v>
          </cell>
          <cell r="B36">
            <v>16.918600000000001</v>
          </cell>
        </row>
        <row r="37">
          <cell r="A37" t="str">
            <v>NE4019</v>
          </cell>
          <cell r="B37">
            <v>5.65020778234293</v>
          </cell>
        </row>
        <row r="38">
          <cell r="A38" t="str">
            <v>NE4019.S001</v>
          </cell>
          <cell r="B38">
            <v>7.9560000000000004</v>
          </cell>
        </row>
        <row r="39">
          <cell r="A39" t="str">
            <v>NE4019.S002</v>
          </cell>
          <cell r="B39">
            <v>7.5612000000000004</v>
          </cell>
        </row>
        <row r="40">
          <cell r="A40" t="str">
            <v>NE4019.S003</v>
          </cell>
          <cell r="B40">
            <v>7.3944999999999999</v>
          </cell>
        </row>
        <row r="41">
          <cell r="A41" t="str">
            <v>NE4019.S004</v>
          </cell>
          <cell r="B41">
            <v>8.0806000000000004</v>
          </cell>
        </row>
        <row r="42">
          <cell r="A42" t="str">
            <v>NE4019.S005</v>
          </cell>
          <cell r="B42">
            <v>7.2789000000000001</v>
          </cell>
        </row>
        <row r="43">
          <cell r="A43" t="str">
            <v>NE4019.S006</v>
          </cell>
          <cell r="B43">
            <v>5.6375219859235104</v>
          </cell>
        </row>
        <row r="44">
          <cell r="A44" t="str">
            <v>NE4019.S007</v>
          </cell>
          <cell r="B44">
            <v>5.6248361895040899</v>
          </cell>
        </row>
        <row r="45">
          <cell r="A45" t="str">
            <v>NE4019.S008</v>
          </cell>
          <cell r="B45">
            <v>5.6121503930846703</v>
          </cell>
        </row>
        <row r="46">
          <cell r="A46" t="str">
            <v>NE4019.S009</v>
          </cell>
          <cell r="B46">
            <v>5.5994645966652499</v>
          </cell>
        </row>
        <row r="47">
          <cell r="A47" t="str">
            <v>NE4019.S010</v>
          </cell>
          <cell r="B47">
            <v>5.5867788002458303</v>
          </cell>
        </row>
        <row r="48">
          <cell r="A48" t="str">
            <v>NE4020</v>
          </cell>
          <cell r="B48">
            <v>9.7838999999999992</v>
          </cell>
        </row>
        <row r="49">
          <cell r="A49" t="str">
            <v>NE4020</v>
          </cell>
          <cell r="B49">
            <v>5.5740930038264098</v>
          </cell>
        </row>
        <row r="50">
          <cell r="A50" t="str">
            <v>NE4021</v>
          </cell>
          <cell r="B50">
            <v>9.0787999999999993</v>
          </cell>
        </row>
        <row r="51">
          <cell r="A51" t="str">
            <v>NE4022</v>
          </cell>
          <cell r="B51">
            <v>15.7196</v>
          </cell>
        </row>
        <row r="52">
          <cell r="A52" t="str">
            <v>NE4023</v>
          </cell>
          <cell r="B52">
            <v>18.476299999999998</v>
          </cell>
        </row>
        <row r="53">
          <cell r="A53" t="str">
            <v>NE4024</v>
          </cell>
          <cell r="B53">
            <v>14.3795</v>
          </cell>
        </row>
        <row r="54">
          <cell r="A54" t="str">
            <v>NE4025</v>
          </cell>
          <cell r="B54">
            <v>8.8272999999999993</v>
          </cell>
        </row>
        <row r="55">
          <cell r="A55" t="str">
            <v>NE4027</v>
          </cell>
          <cell r="B55">
            <v>8.1514000000000006</v>
          </cell>
        </row>
        <row r="56">
          <cell r="A56" t="str">
            <v>NE4028</v>
          </cell>
          <cell r="B56">
            <v>6.8855000000000004</v>
          </cell>
        </row>
        <row r="57">
          <cell r="A57" t="str">
            <v>NE4029</v>
          </cell>
          <cell r="B57">
            <v>17.158999999999999</v>
          </cell>
        </row>
        <row r="58">
          <cell r="A58" t="str">
            <v>NE4030</v>
          </cell>
          <cell r="B58">
            <v>8.3254000000000001</v>
          </cell>
        </row>
        <row r="59">
          <cell r="A59" t="str">
            <v>NE4031</v>
          </cell>
          <cell r="B59">
            <v>11.6645</v>
          </cell>
        </row>
        <row r="60">
          <cell r="A60" t="str">
            <v>NE4031.S001</v>
          </cell>
          <cell r="B60">
            <v>5.9587000000000003</v>
          </cell>
        </row>
        <row r="61">
          <cell r="A61" t="str">
            <v>NE4032</v>
          </cell>
          <cell r="B61">
            <v>7.4653999999999998</v>
          </cell>
        </row>
        <row r="62">
          <cell r="A62" t="str">
            <v>NE4033</v>
          </cell>
          <cell r="B62">
            <v>6.5876000000000001</v>
          </cell>
        </row>
        <row r="63">
          <cell r="A63" t="str">
            <v>NS5001</v>
          </cell>
          <cell r="B63">
            <v>16.450099999999999</v>
          </cell>
        </row>
        <row r="64">
          <cell r="A64" t="str">
            <v>NS5002</v>
          </cell>
          <cell r="B64">
            <v>21.3827</v>
          </cell>
        </row>
        <row r="65">
          <cell r="A65" t="str">
            <v>NS5003</v>
          </cell>
          <cell r="B65">
            <v>22.5594</v>
          </cell>
        </row>
        <row r="66">
          <cell r="A66" t="str">
            <v>NS5004</v>
          </cell>
          <cell r="B66">
            <v>16.045100000000001</v>
          </cell>
        </row>
        <row r="67">
          <cell r="A67" t="str">
            <v>NS5005</v>
          </cell>
          <cell r="B67">
            <v>19.691299999999998</v>
          </cell>
        </row>
        <row r="68">
          <cell r="A68" t="str">
            <v>NS5006</v>
          </cell>
          <cell r="B68">
            <v>25.665400000000002</v>
          </cell>
        </row>
        <row r="69">
          <cell r="A69" t="str">
            <v>NS5007</v>
          </cell>
          <cell r="B69">
            <v>9.3331</v>
          </cell>
        </row>
        <row r="70">
          <cell r="A70" t="str">
            <v>NS5008</v>
          </cell>
          <cell r="B70">
            <v>17.103999999999999</v>
          </cell>
        </row>
        <row r="71">
          <cell r="A71" t="str">
            <v>NS5009</v>
          </cell>
          <cell r="B71">
            <v>13.572100000000001</v>
          </cell>
        </row>
        <row r="72">
          <cell r="A72" t="str">
            <v>NS5010</v>
          </cell>
          <cell r="B72">
            <v>13.195</v>
          </cell>
        </row>
        <row r="73">
          <cell r="A73" t="str">
            <v>NS5011</v>
          </cell>
          <cell r="B73">
            <v>14.6777</v>
          </cell>
        </row>
        <row r="74">
          <cell r="A74" t="str">
            <v>NS5012</v>
          </cell>
          <cell r="B74">
            <v>14.6777</v>
          </cell>
        </row>
        <row r="75">
          <cell r="A75" t="str">
            <v>NS5013</v>
          </cell>
          <cell r="B75">
            <v>16.872399999999999</v>
          </cell>
        </row>
        <row r="76">
          <cell r="A76" t="str">
            <v>NS5014</v>
          </cell>
          <cell r="B76">
            <v>21.509599999999999</v>
          </cell>
        </row>
        <row r="77">
          <cell r="A77" t="str">
            <v>NS5015</v>
          </cell>
          <cell r="B77">
            <v>15.69</v>
          </cell>
        </row>
        <row r="78">
          <cell r="A78" t="str">
            <v>NS5015.S001</v>
          </cell>
          <cell r="B78">
            <v>10.0623</v>
          </cell>
        </row>
        <row r="79">
          <cell r="A79" t="str">
            <v>NS5015.S002</v>
          </cell>
          <cell r="B79">
            <v>10.6073</v>
          </cell>
        </row>
        <row r="80">
          <cell r="A80" t="str">
            <v>NS5015.S003</v>
          </cell>
          <cell r="B80">
            <v>9.9100999999999999</v>
          </cell>
        </row>
        <row r="81">
          <cell r="A81" t="str">
            <v>NS5015.S004</v>
          </cell>
          <cell r="B81">
            <v>6.9173999999999998</v>
          </cell>
        </row>
        <row r="82">
          <cell r="A82" t="str">
            <v>NS5015.S005</v>
          </cell>
          <cell r="B82">
            <v>9.8962000000000003</v>
          </cell>
        </row>
        <row r="83">
          <cell r="A83" t="str">
            <v>NS5015.S006</v>
          </cell>
          <cell r="B83">
            <v>9.8962000000000003</v>
          </cell>
        </row>
        <row r="84">
          <cell r="A84" t="str">
            <v>NS5016</v>
          </cell>
          <cell r="B84">
            <v>24.632400000000001</v>
          </cell>
        </row>
        <row r="85">
          <cell r="A85" t="str">
            <v>NS5017</v>
          </cell>
          <cell r="B85">
            <v>20.200800000000001</v>
          </cell>
        </row>
        <row r="86">
          <cell r="A86" t="str">
            <v>NS5050</v>
          </cell>
          <cell r="B86">
            <v>10.5313</v>
          </cell>
        </row>
        <row r="87">
          <cell r="A87" t="str">
            <v>NS5051</v>
          </cell>
          <cell r="B87">
            <v>12.170199999999999</v>
          </cell>
        </row>
        <row r="88">
          <cell r="A88" t="str">
            <v>NS5052</v>
          </cell>
          <cell r="B88">
            <v>14.451499999999999</v>
          </cell>
        </row>
        <row r="89">
          <cell r="A89" t="str">
            <v>NS5053</v>
          </cell>
          <cell r="B89">
            <v>11.0344</v>
          </cell>
        </row>
        <row r="90">
          <cell r="A90" t="str">
            <v>NS5054</v>
          </cell>
          <cell r="B90">
            <v>4.9283999999999999</v>
          </cell>
        </row>
        <row r="91">
          <cell r="A91" t="str">
            <v>NS5055</v>
          </cell>
          <cell r="B91">
            <v>13.318899999999999</v>
          </cell>
        </row>
        <row r="92">
          <cell r="A92" t="str">
            <v>NS5056</v>
          </cell>
          <cell r="B92">
            <v>15.259600000000001</v>
          </cell>
        </row>
        <row r="93">
          <cell r="A93" t="str">
            <v>NS5057</v>
          </cell>
          <cell r="B93">
            <v>19.988900000000001</v>
          </cell>
        </row>
        <row r="94">
          <cell r="A94" t="str">
            <v>NS5058</v>
          </cell>
          <cell r="B94">
            <v>19.9072</v>
          </cell>
        </row>
        <row r="95">
          <cell r="A95" t="str">
            <v>NS5059</v>
          </cell>
          <cell r="B95">
            <v>16.035699999999999</v>
          </cell>
        </row>
        <row r="96">
          <cell r="A96" t="str">
            <v>NS5060</v>
          </cell>
          <cell r="B96">
            <v>13.531499999999999</v>
          </cell>
        </row>
        <row r="97">
          <cell r="A97" t="str">
            <v>NS5061</v>
          </cell>
          <cell r="B97">
            <v>18.7348</v>
          </cell>
        </row>
        <row r="98">
          <cell r="A98" t="str">
            <v>NS5120</v>
          </cell>
          <cell r="B98">
            <v>22.799700000000001</v>
          </cell>
        </row>
        <row r="99">
          <cell r="A99" t="str">
            <v>NS5140</v>
          </cell>
          <cell r="B99">
            <v>20.581199999999999</v>
          </cell>
        </row>
        <row r="100">
          <cell r="A100" t="str">
            <v>NS5141</v>
          </cell>
          <cell r="B100">
            <v>13.4992</v>
          </cell>
        </row>
        <row r="101">
          <cell r="A101" t="str">
            <v>NS5142</v>
          </cell>
          <cell r="B101">
            <v>23.835100000000001</v>
          </cell>
        </row>
        <row r="102">
          <cell r="A102" t="str">
            <v>NS5143</v>
          </cell>
          <cell r="B102">
            <v>25.8094</v>
          </cell>
        </row>
        <row r="103">
          <cell r="A103" t="str">
            <v>NS5144</v>
          </cell>
          <cell r="B103">
            <v>15.3095</v>
          </cell>
        </row>
        <row r="104">
          <cell r="A104" t="str">
            <v>NS5145</v>
          </cell>
          <cell r="B104">
            <v>19.7727</v>
          </cell>
        </row>
        <row r="105">
          <cell r="A105" t="str">
            <v>NS5146</v>
          </cell>
          <cell r="B105">
            <v>12.562799999999999</v>
          </cell>
        </row>
        <row r="106">
          <cell r="A106" t="str">
            <v>NS5147</v>
          </cell>
          <cell r="B106">
            <v>13.1195</v>
          </cell>
        </row>
        <row r="107">
          <cell r="A107" t="str">
            <v>NS5148</v>
          </cell>
          <cell r="B107">
            <v>8.0152999999999999</v>
          </cell>
        </row>
        <row r="108">
          <cell r="A108" t="str">
            <v>NS5149</v>
          </cell>
          <cell r="B108">
            <v>7.1919000000000004</v>
          </cell>
        </row>
        <row r="109">
          <cell r="A109" t="str">
            <v>NS5150</v>
          </cell>
          <cell r="B109">
            <v>10.012700000000001</v>
          </cell>
        </row>
        <row r="110">
          <cell r="A110" t="str">
            <v>NS5700</v>
          </cell>
          <cell r="B110">
            <v>5.4846000000000004</v>
          </cell>
        </row>
        <row r="111">
          <cell r="A111" t="str">
            <v>NS5701</v>
          </cell>
          <cell r="B111">
            <v>5.3495999999999997</v>
          </cell>
        </row>
        <row r="112">
          <cell r="A112" t="str">
            <v>NS5702</v>
          </cell>
          <cell r="B112">
            <v>5.2632000000000003</v>
          </cell>
        </row>
        <row r="113">
          <cell r="A113" t="str">
            <v>NS5703</v>
          </cell>
          <cell r="B113">
            <v>5.3872</v>
          </cell>
        </row>
        <row r="114">
          <cell r="A114" t="str">
            <v>NS5704</v>
          </cell>
          <cell r="B114">
            <v>5.2365000000000004</v>
          </cell>
        </row>
        <row r="115">
          <cell r="A115" t="str">
            <v>NS5705</v>
          </cell>
          <cell r="B115">
            <v>5.2632000000000003</v>
          </cell>
        </row>
        <row r="116">
          <cell r="A116" t="str">
            <v>NS5706</v>
          </cell>
          <cell r="B116">
            <v>4.9194000000000004</v>
          </cell>
        </row>
        <row r="117">
          <cell r="A117" t="str">
            <v>NS5707</v>
          </cell>
          <cell r="B117">
            <v>5.3045</v>
          </cell>
        </row>
        <row r="118">
          <cell r="A118" t="str">
            <v>NS5708</v>
          </cell>
          <cell r="B118">
            <v>5.4020000000000001</v>
          </cell>
        </row>
        <row r="119">
          <cell r="A119" t="str">
            <v>NS5709</v>
          </cell>
          <cell r="B119">
            <v>4.9127999999999998</v>
          </cell>
        </row>
        <row r="120">
          <cell r="A120" t="str">
            <v>NS5710</v>
          </cell>
          <cell r="B120">
            <v>5.5403000000000002</v>
          </cell>
        </row>
        <row r="121">
          <cell r="A121" t="str">
            <v>NS5711</v>
          </cell>
          <cell r="B121">
            <v>5.2778</v>
          </cell>
        </row>
        <row r="122">
          <cell r="A122" t="str">
            <v>NS5712</v>
          </cell>
          <cell r="B122">
            <v>5.1329000000000002</v>
          </cell>
        </row>
        <row r="123">
          <cell r="A123" t="str">
            <v>NS5713</v>
          </cell>
          <cell r="B123">
            <v>4.9177999999999997</v>
          </cell>
        </row>
        <row r="124">
          <cell r="A124" t="str">
            <v>NS5714</v>
          </cell>
          <cell r="B124">
            <v>5.2365000000000004</v>
          </cell>
        </row>
        <row r="125">
          <cell r="A125" t="str">
            <v>NS5715</v>
          </cell>
          <cell r="B125">
            <v>5.1489000000000003</v>
          </cell>
        </row>
        <row r="126">
          <cell r="A126" t="str">
            <v>NS5716</v>
          </cell>
          <cell r="B126">
            <v>5.2728999999999999</v>
          </cell>
        </row>
        <row r="127">
          <cell r="A127" t="str">
            <v>NS5717</v>
          </cell>
          <cell r="B127">
            <v>8.16</v>
          </cell>
        </row>
        <row r="128">
          <cell r="A128" t="str">
            <v>NS5718</v>
          </cell>
          <cell r="B128">
            <v>5.3956</v>
          </cell>
        </row>
        <row r="129">
          <cell r="A129" t="str">
            <v>NS5719</v>
          </cell>
          <cell r="B129">
            <v>5.2632000000000003</v>
          </cell>
        </row>
        <row r="130">
          <cell r="A130" t="str">
            <v>NS5720</v>
          </cell>
          <cell r="B130">
            <v>6.6661000000000001</v>
          </cell>
        </row>
        <row r="131">
          <cell r="A131" t="str">
            <v>NS5721</v>
          </cell>
          <cell r="B131">
            <v>5.4162999999999997</v>
          </cell>
        </row>
        <row r="132">
          <cell r="A132" t="str">
            <v>NS5750</v>
          </cell>
          <cell r="B132">
            <v>9.7805999999999997</v>
          </cell>
        </row>
        <row r="133">
          <cell r="A133" t="str">
            <v>NS5751</v>
          </cell>
          <cell r="B133">
            <v>7.4444999999999997</v>
          </cell>
        </row>
        <row r="134">
          <cell r="A134" t="str">
            <v>NS5752</v>
          </cell>
          <cell r="B134">
            <v>5.5195999999999996</v>
          </cell>
        </row>
        <row r="135">
          <cell r="A135" t="str">
            <v>NS5753</v>
          </cell>
          <cell r="B135">
            <v>5.5023</v>
          </cell>
        </row>
        <row r="136">
          <cell r="A136" t="str">
            <v>NS5754</v>
          </cell>
          <cell r="B136">
            <v>5.8654000000000002</v>
          </cell>
        </row>
        <row r="137">
          <cell r="A137" t="str">
            <v>NS5755</v>
          </cell>
          <cell r="B137">
            <v>5.3992000000000004</v>
          </cell>
        </row>
        <row r="138">
          <cell r="A138" t="str">
            <v>NS5756</v>
          </cell>
          <cell r="B138">
            <v>5.3388</v>
          </cell>
        </row>
        <row r="139">
          <cell r="A139" t="str">
            <v>NS5757</v>
          </cell>
          <cell r="B139">
            <v>5.4320000000000004</v>
          </cell>
        </row>
        <row r="140">
          <cell r="A140" t="str">
            <v>NS5758</v>
          </cell>
          <cell r="B140">
            <v>5.2598000000000003</v>
          </cell>
        </row>
        <row r="141">
          <cell r="A141" t="str">
            <v>NS5759</v>
          </cell>
          <cell r="B141">
            <v>5.0083000000000002</v>
          </cell>
        </row>
        <row r="142">
          <cell r="A142" t="str">
            <v>NS5760</v>
          </cell>
          <cell r="B142">
            <v>3.8660000000000001</v>
          </cell>
        </row>
        <row r="143">
          <cell r="A143" t="str">
            <v>NS5761</v>
          </cell>
          <cell r="B143">
            <v>4.9382000000000001</v>
          </cell>
        </row>
        <row r="144">
          <cell r="A144" t="str">
            <v>NS5762</v>
          </cell>
          <cell r="B144">
            <v>3.9592000000000001</v>
          </cell>
        </row>
        <row r="145">
          <cell r="A145" t="str">
            <v>NS5763</v>
          </cell>
          <cell r="B145">
            <v>5.0083000000000002</v>
          </cell>
        </row>
        <row r="146">
          <cell r="A146" t="str">
            <v>NS5764</v>
          </cell>
          <cell r="B146">
            <v>7.0011999999999999</v>
          </cell>
        </row>
        <row r="147">
          <cell r="A147" t="str">
            <v>NS5802</v>
          </cell>
          <cell r="B147">
            <v>11.166600000000001</v>
          </cell>
        </row>
        <row r="148">
          <cell r="A148" t="str">
            <v>NS5803</v>
          </cell>
          <cell r="B148">
            <v>15.2615</v>
          </cell>
        </row>
        <row r="149">
          <cell r="A149" t="str">
            <v>NS5805</v>
          </cell>
          <cell r="B149">
            <v>6.3529</v>
          </cell>
        </row>
        <row r="150">
          <cell r="A150" t="str">
            <v>NS5806</v>
          </cell>
          <cell r="B150">
            <v>4.2464000000000004</v>
          </cell>
        </row>
        <row r="151">
          <cell r="A151" t="str">
            <v>NS5807</v>
          </cell>
          <cell r="B151">
            <v>4.6325000000000003</v>
          </cell>
        </row>
        <row r="152">
          <cell r="A152" t="str">
            <v>NS5808</v>
          </cell>
          <cell r="B152">
            <v>5.7117000000000004</v>
          </cell>
        </row>
        <row r="153">
          <cell r="A153" t="str">
            <v>NS5809</v>
          </cell>
          <cell r="B153">
            <v>5.6182999999999996</v>
          </cell>
        </row>
        <row r="154">
          <cell r="A154" t="str">
            <v>NS5810</v>
          </cell>
          <cell r="B154">
            <v>7.1840999999999999</v>
          </cell>
        </row>
        <row r="155">
          <cell r="A155" t="str">
            <v>NS5811</v>
          </cell>
          <cell r="B155">
            <v>5.4781000000000004</v>
          </cell>
        </row>
        <row r="156">
          <cell r="A156" t="str">
            <v>NS5812</v>
          </cell>
          <cell r="B156">
            <v>5.7595000000000001</v>
          </cell>
        </row>
        <row r="157">
          <cell r="A157" t="str">
            <v>NS5813</v>
          </cell>
          <cell r="B157">
            <v>5.3731999999999998</v>
          </cell>
        </row>
        <row r="158">
          <cell r="A158" t="str">
            <v>NS5814</v>
          </cell>
          <cell r="B158">
            <v>4.1859999999999999</v>
          </cell>
        </row>
        <row r="159">
          <cell r="A159" t="str">
            <v>NS5815</v>
          </cell>
          <cell r="B159">
            <v>5.6738</v>
          </cell>
        </row>
        <row r="160">
          <cell r="A160" t="str">
            <v>NS5816</v>
          </cell>
          <cell r="B160">
            <v>10.759</v>
          </cell>
        </row>
        <row r="161">
          <cell r="A161" t="str">
            <v>NS5817</v>
          </cell>
          <cell r="B161">
            <v>8.7584999999999997</v>
          </cell>
        </row>
        <row r="162">
          <cell r="A162" t="str">
            <v>NS5818</v>
          </cell>
          <cell r="B162">
            <v>7.3224</v>
          </cell>
        </row>
        <row r="163">
          <cell r="A163" t="str">
            <v>NS5819</v>
          </cell>
          <cell r="B163">
            <v>5.4992999999999999</v>
          </cell>
        </row>
        <row r="164">
          <cell r="A164" t="str">
            <v>NS5820</v>
          </cell>
          <cell r="B164">
            <v>9.4727999999999994</v>
          </cell>
        </row>
        <row r="165">
          <cell r="A165" t="str">
            <v>NS5821</v>
          </cell>
          <cell r="B165">
            <v>7.0583</v>
          </cell>
        </row>
        <row r="166">
          <cell r="A166" t="str">
            <v>NS5822</v>
          </cell>
          <cell r="B166">
            <v>8.7406000000000006</v>
          </cell>
        </row>
        <row r="167">
          <cell r="A167" t="str">
            <v>NS5823</v>
          </cell>
          <cell r="B167">
            <v>6.8878000000000004</v>
          </cell>
        </row>
        <row r="168">
          <cell r="A168" t="str">
            <v>NS5824</v>
          </cell>
          <cell r="B168">
            <v>6.8878000000000004</v>
          </cell>
        </row>
        <row r="169">
          <cell r="A169" t="str">
            <v>NS5825</v>
          </cell>
          <cell r="B169">
            <v>6.9497</v>
          </cell>
        </row>
        <row r="170">
          <cell r="A170" t="str">
            <v>NS5826</v>
          </cell>
          <cell r="B170">
            <v>3.9506000000000001</v>
          </cell>
        </row>
        <row r="171">
          <cell r="A171" t="str">
            <v>NS5827</v>
          </cell>
          <cell r="B171">
            <v>7.2950999999999997</v>
          </cell>
        </row>
        <row r="172">
          <cell r="A172" t="str">
            <v>NS5828</v>
          </cell>
          <cell r="B172">
            <v>10.528700000000001</v>
          </cell>
        </row>
        <row r="173">
          <cell r="A173" t="str">
            <v>NS5829</v>
          </cell>
          <cell r="B173">
            <v>4.8102</v>
          </cell>
        </row>
        <row r="174">
          <cell r="A174" t="str">
            <v>NS5830</v>
          </cell>
          <cell r="B174">
            <v>4.1859999999999999</v>
          </cell>
        </row>
        <row r="175">
          <cell r="A175" t="str">
            <v>NS5831</v>
          </cell>
          <cell r="B175">
            <v>5.7264999999999997</v>
          </cell>
        </row>
        <row r="176">
          <cell r="A176" t="str">
            <v>NS5832</v>
          </cell>
          <cell r="B176">
            <v>4.3658999999999999</v>
          </cell>
        </row>
        <row r="177">
          <cell r="A177" t="str">
            <v>NS5833</v>
          </cell>
          <cell r="B177">
            <v>6.9389000000000003</v>
          </cell>
        </row>
        <row r="178">
          <cell r="A178" t="str">
            <v>NS5834</v>
          </cell>
          <cell r="B178">
            <v>5.4099000000000004</v>
          </cell>
        </row>
        <row r="179">
          <cell r="A179" t="str">
            <v>NS5835</v>
          </cell>
          <cell r="B179">
            <v>5.3089000000000004</v>
          </cell>
        </row>
        <row r="180">
          <cell r="A180" t="str">
            <v>NS5836</v>
          </cell>
          <cell r="B180">
            <v>5.3178000000000001</v>
          </cell>
        </row>
        <row r="181">
          <cell r="A181" t="str">
            <v>NS5837</v>
          </cell>
          <cell r="B181">
            <v>7.1173000000000002</v>
          </cell>
        </row>
        <row r="182">
          <cell r="A182" t="str">
            <v>NS5838</v>
          </cell>
          <cell r="B182">
            <v>8.8932000000000002</v>
          </cell>
        </row>
        <row r="183">
          <cell r="A183" t="str">
            <v>NS5839</v>
          </cell>
          <cell r="B183">
            <v>4.5578000000000003</v>
          </cell>
        </row>
        <row r="184">
          <cell r="A184" t="str">
            <v>NS5840</v>
          </cell>
          <cell r="B184">
            <v>5.2523</v>
          </cell>
        </row>
        <row r="185">
          <cell r="A185" t="str">
            <v>NS5841</v>
          </cell>
          <cell r="B185">
            <v>4.5444000000000004</v>
          </cell>
        </row>
        <row r="186">
          <cell r="A186" t="str">
            <v>NS5842</v>
          </cell>
          <cell r="B186">
            <v>4.3825000000000003</v>
          </cell>
        </row>
        <row r="187">
          <cell r="A187" t="str">
            <v>NS5843</v>
          </cell>
          <cell r="B187">
            <v>4.5590999999999999</v>
          </cell>
        </row>
        <row r="188">
          <cell r="A188" t="str">
            <v>NS5844</v>
          </cell>
          <cell r="B188">
            <v>5.7590000000000003</v>
          </cell>
        </row>
        <row r="189">
          <cell r="A189" t="str">
            <v>NS5845</v>
          </cell>
          <cell r="B189">
            <v>8.4673999999999996</v>
          </cell>
        </row>
        <row r="190">
          <cell r="A190" t="str">
            <v>NS5846</v>
          </cell>
          <cell r="B190">
            <v>9.1862999999999992</v>
          </cell>
        </row>
        <row r="191">
          <cell r="A191" t="str">
            <v>NS5847</v>
          </cell>
          <cell r="B191">
            <v>8.8327000000000009</v>
          </cell>
        </row>
        <row r="192">
          <cell r="A192" t="str">
            <v>NS5848</v>
          </cell>
          <cell r="B192">
            <v>9.1067999999999998</v>
          </cell>
        </row>
        <row r="193">
          <cell r="A193" t="str">
            <v>NS5849</v>
          </cell>
          <cell r="B193">
            <v>12.950100000000001</v>
          </cell>
        </row>
        <row r="194">
          <cell r="A194" t="str">
            <v>NS5850</v>
          </cell>
          <cell r="B194">
            <v>9.2406000000000006</v>
          </cell>
        </row>
        <row r="195">
          <cell r="A195" t="str">
            <v>NS5851</v>
          </cell>
          <cell r="B195">
            <v>9.0434000000000001</v>
          </cell>
        </row>
        <row r="196">
          <cell r="A196" t="str">
            <v>NS5852</v>
          </cell>
          <cell r="B196">
            <v>5.8471000000000002</v>
          </cell>
        </row>
        <row r="197">
          <cell r="A197" t="str">
            <v>NS5853</v>
          </cell>
          <cell r="B197">
            <v>8.6156000000000006</v>
          </cell>
        </row>
        <row r="198">
          <cell r="A198" t="str">
            <v>NS5854</v>
          </cell>
          <cell r="B198">
            <v>6.9680999999999997</v>
          </cell>
        </row>
        <row r="199">
          <cell r="A199" t="str">
            <v>NS5855</v>
          </cell>
          <cell r="B199">
            <v>5.9</v>
          </cell>
        </row>
        <row r="200">
          <cell r="A200" t="str">
            <v>NS5856</v>
          </cell>
          <cell r="B200">
            <v>4.6300999999999997</v>
          </cell>
        </row>
        <row r="201">
          <cell r="A201" t="str">
            <v>NS5857</v>
          </cell>
          <cell r="B201">
            <v>10.204499999999999</v>
          </cell>
        </row>
        <row r="202">
          <cell r="A202" t="str">
            <v>NS5858</v>
          </cell>
          <cell r="B202">
            <v>9.0326000000000004</v>
          </cell>
        </row>
        <row r="203">
          <cell r="A203" t="str">
            <v>NS5859</v>
          </cell>
          <cell r="B203">
            <v>5.3055000000000003</v>
          </cell>
        </row>
        <row r="204">
          <cell r="A204" t="str">
            <v>NS5860</v>
          </cell>
          <cell r="B204">
            <v>6.8611000000000004</v>
          </cell>
        </row>
        <row r="205">
          <cell r="A205" t="str">
            <v>NS5861</v>
          </cell>
          <cell r="B205">
            <v>7.0317999999999996</v>
          </cell>
        </row>
        <row r="206">
          <cell r="A206" t="str">
            <v>NS5862</v>
          </cell>
          <cell r="B206">
            <v>5.7515000000000001</v>
          </cell>
        </row>
        <row r="207">
          <cell r="A207" t="str">
            <v>NS5863</v>
          </cell>
          <cell r="B207">
            <v>7.1745999999999999</v>
          </cell>
        </row>
        <row r="208">
          <cell r="A208" t="str">
            <v>NS5864</v>
          </cell>
          <cell r="B208">
            <v>9.7005999999999997</v>
          </cell>
        </row>
        <row r="209">
          <cell r="A209" t="str">
            <v>NS5865</v>
          </cell>
          <cell r="B209">
            <v>7.3098999999999998</v>
          </cell>
        </row>
        <row r="210">
          <cell r="A210" t="str">
            <v>NS5866</v>
          </cell>
          <cell r="B210">
            <v>4.8091999999999997</v>
          </cell>
        </row>
        <row r="211">
          <cell r="A211" t="str">
            <v>NS5867</v>
          </cell>
          <cell r="B211">
            <v>4.9124999999999996</v>
          </cell>
        </row>
        <row r="212">
          <cell r="A212" t="str">
            <v>NS5868</v>
          </cell>
          <cell r="B212">
            <v>9.0813000000000006</v>
          </cell>
        </row>
        <row r="213">
          <cell r="A213" t="str">
            <v>NS5869</v>
          </cell>
          <cell r="B213">
            <v>6.2249999999999996</v>
          </cell>
        </row>
        <row r="214">
          <cell r="A214" t="str">
            <v>NS5870</v>
          </cell>
          <cell r="B214">
            <v>5.8654000000000002</v>
          </cell>
        </row>
        <row r="215">
          <cell r="A215" t="str">
            <v>NS5871</v>
          </cell>
          <cell r="B215">
            <v>5.9191000000000003</v>
          </cell>
        </row>
        <row r="216">
          <cell r="A216" t="str">
            <v>NS5872</v>
          </cell>
          <cell r="B216">
            <v>4.6858000000000004</v>
          </cell>
        </row>
        <row r="217">
          <cell r="A217" t="str">
            <v>NS5873</v>
          </cell>
          <cell r="B217">
            <v>5.4527000000000001</v>
          </cell>
        </row>
        <row r="218">
          <cell r="A218" t="str">
            <v>NW3001</v>
          </cell>
          <cell r="B218">
            <v>14.547800000000001</v>
          </cell>
        </row>
        <row r="219">
          <cell r="A219" t="str">
            <v>NW3002</v>
          </cell>
          <cell r="B219">
            <v>11.035</v>
          </cell>
        </row>
        <row r="220">
          <cell r="A220" t="str">
            <v>NW3003</v>
          </cell>
          <cell r="B220">
            <v>8.7798999999999996</v>
          </cell>
        </row>
        <row r="221">
          <cell r="A221" t="str">
            <v>NW3004</v>
          </cell>
          <cell r="B221">
            <v>18.971</v>
          </cell>
        </row>
        <row r="222">
          <cell r="A222" t="str">
            <v>NW3005</v>
          </cell>
          <cell r="B222">
            <v>3.8582999999999998</v>
          </cell>
        </row>
        <row r="223">
          <cell r="A223" t="str">
            <v>NW3100</v>
          </cell>
          <cell r="B223">
            <v>17.7653</v>
          </cell>
        </row>
        <row r="224">
          <cell r="A224" t="str">
            <v>NW3101</v>
          </cell>
          <cell r="B224">
            <v>12.2659</v>
          </cell>
        </row>
        <row r="225">
          <cell r="A225" t="str">
            <v>NW3102</v>
          </cell>
          <cell r="B225">
            <v>11.0886</v>
          </cell>
        </row>
        <row r="226">
          <cell r="A226" t="str">
            <v>NW3103</v>
          </cell>
          <cell r="B226">
            <v>15.3969</v>
          </cell>
        </row>
        <row r="227">
          <cell r="A227" t="str">
            <v>NW3104</v>
          </cell>
          <cell r="B227">
            <v>9.1157000000000004</v>
          </cell>
        </row>
        <row r="228">
          <cell r="A228" t="str">
            <v>NW3105</v>
          </cell>
          <cell r="B228">
            <v>15.421799999999999</v>
          </cell>
        </row>
        <row r="229">
          <cell r="A229" t="str">
            <v>NW3105.S001</v>
          </cell>
          <cell r="B229">
            <v>8.7994000000000003</v>
          </cell>
        </row>
        <row r="230">
          <cell r="A230" t="str">
            <v>NW3105.S002</v>
          </cell>
          <cell r="B230">
            <v>8.7994000000000003</v>
          </cell>
        </row>
        <row r="231">
          <cell r="A231" t="str">
            <v>NW3106</v>
          </cell>
          <cell r="B231">
            <v>6.9969999999999999</v>
          </cell>
        </row>
        <row r="232">
          <cell r="A232" t="str">
            <v>NW3106.S001</v>
          </cell>
          <cell r="B232">
            <v>7.5650000000000004</v>
          </cell>
        </row>
        <row r="233">
          <cell r="A233" t="str">
            <v>NW3107</v>
          </cell>
          <cell r="B233">
            <v>21.508700000000001</v>
          </cell>
        </row>
        <row r="234">
          <cell r="A234" t="str">
            <v>NW3108</v>
          </cell>
          <cell r="B234">
            <v>20.632899999999999</v>
          </cell>
        </row>
        <row r="235">
          <cell r="A235" t="str">
            <v>NW3108.S001</v>
          </cell>
          <cell r="B235">
            <v>10.155900000000001</v>
          </cell>
        </row>
        <row r="236">
          <cell r="A236" t="str">
            <v>NW3109</v>
          </cell>
          <cell r="B236">
            <v>11.8589</v>
          </cell>
        </row>
        <row r="237">
          <cell r="A237" t="str">
            <v>NW3109.S001</v>
          </cell>
          <cell r="B237">
            <v>6.0651999999999999</v>
          </cell>
        </row>
        <row r="238">
          <cell r="A238" t="str">
            <v>NW3110</v>
          </cell>
          <cell r="B238">
            <v>10.974600000000001</v>
          </cell>
        </row>
        <row r="239">
          <cell r="A239" t="str">
            <v>NW3110.S001</v>
          </cell>
          <cell r="B239">
            <v>5.4824000000000002</v>
          </cell>
        </row>
        <row r="240">
          <cell r="A240" t="str">
            <v>NW3110.S002</v>
          </cell>
          <cell r="B240">
            <v>5.5476000000000001</v>
          </cell>
        </row>
        <row r="241">
          <cell r="A241" t="str">
            <v>NW3110.S003</v>
          </cell>
          <cell r="B241">
            <v>5.4436999999999998</v>
          </cell>
        </row>
        <row r="242">
          <cell r="A242" t="str">
            <v>NW3111</v>
          </cell>
          <cell r="B242">
            <v>7.5279999999999996</v>
          </cell>
        </row>
        <row r="243">
          <cell r="A243" t="str">
            <v>NW3112</v>
          </cell>
          <cell r="B243">
            <v>10.6258</v>
          </cell>
        </row>
        <row r="244">
          <cell r="A244" t="str">
            <v>NW3113</v>
          </cell>
          <cell r="B244">
            <v>12.5075</v>
          </cell>
        </row>
        <row r="245">
          <cell r="A245" t="str">
            <v>NW3114</v>
          </cell>
          <cell r="B245">
            <v>11.1472</v>
          </cell>
        </row>
        <row r="246">
          <cell r="A246" t="str">
            <v>NW3115</v>
          </cell>
          <cell r="B246">
            <v>13.6967</v>
          </cell>
        </row>
        <row r="247">
          <cell r="A247" t="str">
            <v>NW3116</v>
          </cell>
          <cell r="B247">
            <v>10.402799999999999</v>
          </cell>
        </row>
        <row r="248">
          <cell r="A248" t="str">
            <v>NW3117</v>
          </cell>
          <cell r="B248">
            <v>15.7845</v>
          </cell>
        </row>
        <row r="249">
          <cell r="A249" t="str">
            <v>NW3118</v>
          </cell>
          <cell r="B249">
            <v>11.6717</v>
          </cell>
        </row>
        <row r="250">
          <cell r="A250" t="str">
            <v>NW3119</v>
          </cell>
          <cell r="B250">
            <v>14.138</v>
          </cell>
        </row>
        <row r="251">
          <cell r="A251" t="str">
            <v>NW3120</v>
          </cell>
          <cell r="B251">
            <v>12.513400000000001</v>
          </cell>
        </row>
        <row r="252">
          <cell r="A252" t="str">
            <v>NW3121</v>
          </cell>
          <cell r="B252">
            <v>8.6632999999999996</v>
          </cell>
        </row>
        <row r="253">
          <cell r="A253" t="str">
            <v>NW3122</v>
          </cell>
          <cell r="B253">
            <v>16.211600000000001</v>
          </cell>
        </row>
        <row r="254">
          <cell r="A254" t="str">
            <v>NW3124</v>
          </cell>
          <cell r="B254">
            <v>12.432399999999999</v>
          </cell>
        </row>
        <row r="255">
          <cell r="A255" t="str">
            <v>NW3125</v>
          </cell>
          <cell r="B255">
            <v>16.017900000000001</v>
          </cell>
        </row>
        <row r="256">
          <cell r="A256" t="str">
            <v>NW3126</v>
          </cell>
          <cell r="B256">
            <v>14.775499999999999</v>
          </cell>
        </row>
        <row r="257">
          <cell r="A257" t="str">
            <v>NW3127</v>
          </cell>
          <cell r="B257">
            <v>9.2729999999999997</v>
          </cell>
        </row>
        <row r="258">
          <cell r="A258" t="str">
            <v>NW3128</v>
          </cell>
          <cell r="B258">
            <v>12.557</v>
          </cell>
        </row>
        <row r="259">
          <cell r="A259" t="str">
            <v>NW3128.S001</v>
          </cell>
          <cell r="B259">
            <v>10.1241</v>
          </cell>
        </row>
        <row r="260">
          <cell r="A260" t="str">
            <v>NW3128.S002</v>
          </cell>
          <cell r="B260">
            <v>10.1241</v>
          </cell>
        </row>
        <row r="261">
          <cell r="A261" t="str">
            <v>NW3129</v>
          </cell>
          <cell r="B261">
            <v>12.597300000000001</v>
          </cell>
        </row>
        <row r="262">
          <cell r="A262" t="str">
            <v>NW3800</v>
          </cell>
          <cell r="B262">
            <v>9.3683999999999994</v>
          </cell>
        </row>
        <row r="263">
          <cell r="A263" t="str">
            <v>NW3801</v>
          </cell>
          <cell r="B263">
            <v>5.3760000000000003</v>
          </cell>
        </row>
        <row r="264">
          <cell r="A264" t="str">
            <v>NW3802</v>
          </cell>
          <cell r="B264">
            <v>5.3871000000000002</v>
          </cell>
        </row>
        <row r="265">
          <cell r="A265" t="str">
            <v>NW3803</v>
          </cell>
          <cell r="B265">
            <v>5.6104000000000003</v>
          </cell>
        </row>
        <row r="266">
          <cell r="A266" t="str">
            <v>NW3804</v>
          </cell>
          <cell r="B266">
            <v>4.1060999999999996</v>
          </cell>
        </row>
        <row r="267">
          <cell r="A267" t="str">
            <v>NW3805</v>
          </cell>
          <cell r="B267">
            <v>4.8912000000000004</v>
          </cell>
        </row>
        <row r="268">
          <cell r="A268" t="str">
            <v>NW3806</v>
          </cell>
          <cell r="B268">
            <v>10.4123</v>
          </cell>
        </row>
        <row r="269">
          <cell r="A269" t="str">
            <v>NW3807</v>
          </cell>
          <cell r="B269">
            <v>5.7198000000000002</v>
          </cell>
        </row>
        <row r="270">
          <cell r="A270" t="str">
            <v>NW3808</v>
          </cell>
          <cell r="B270">
            <v>5.5010000000000003</v>
          </cell>
        </row>
        <row r="271">
          <cell r="A271" t="str">
            <v>NW3809</v>
          </cell>
          <cell r="B271">
            <v>5.4851000000000001</v>
          </cell>
        </row>
        <row r="272">
          <cell r="A272" t="str">
            <v>NW3810</v>
          </cell>
          <cell r="B272">
            <v>5.4983000000000004</v>
          </cell>
        </row>
        <row r="273">
          <cell r="A273" t="str">
            <v>NW3811</v>
          </cell>
          <cell r="B273">
            <v>5.1059999999999999</v>
          </cell>
        </row>
        <row r="274">
          <cell r="A274" t="str">
            <v>NW3812</v>
          </cell>
          <cell r="B274">
            <v>5.4358000000000004</v>
          </cell>
        </row>
        <row r="275">
          <cell r="A275" t="str">
            <v>NW3813</v>
          </cell>
          <cell r="B275">
            <v>5.4301000000000004</v>
          </cell>
        </row>
        <row r="276">
          <cell r="A276" t="str">
            <v>NW3814</v>
          </cell>
          <cell r="B276">
            <v>5.6555</v>
          </cell>
        </row>
        <row r="277">
          <cell r="A277" t="str">
            <v>NW3815</v>
          </cell>
          <cell r="B277">
            <v>5.6422999999999996</v>
          </cell>
        </row>
        <row r="278">
          <cell r="A278" t="str">
            <v>NW3816</v>
          </cell>
          <cell r="B278">
            <v>4.8826000000000001</v>
          </cell>
        </row>
        <row r="279">
          <cell r="A279" t="str">
            <v>NW3817</v>
          </cell>
          <cell r="B279">
            <v>6.8868999999999998</v>
          </cell>
        </row>
        <row r="280">
          <cell r="A280" t="str">
            <v>NW3818</v>
          </cell>
          <cell r="B280">
            <v>6.4699</v>
          </cell>
        </row>
        <row r="281">
          <cell r="A281" t="str">
            <v>NW3819</v>
          </cell>
          <cell r="B281">
            <v>6.5110000000000001</v>
          </cell>
        </row>
        <row r="282">
          <cell r="A282" t="str">
            <v>NW3820</v>
          </cell>
          <cell r="B282">
            <v>5.7971000000000004</v>
          </cell>
        </row>
        <row r="283">
          <cell r="A283" t="str">
            <v>NW3821</v>
          </cell>
          <cell r="B283">
            <v>5.1048999999999998</v>
          </cell>
        </row>
        <row r="284">
          <cell r="A284" t="str">
            <v>NW3822</v>
          </cell>
          <cell r="B284">
            <v>5.5738000000000003</v>
          </cell>
        </row>
        <row r="285">
          <cell r="A285" t="str">
            <v>NW3823</v>
          </cell>
          <cell r="B285">
            <v>5.1344000000000003</v>
          </cell>
        </row>
        <row r="286">
          <cell r="A286" t="str">
            <v>NW3824</v>
          </cell>
          <cell r="B286">
            <v>4.6025</v>
          </cell>
        </row>
        <row r="287">
          <cell r="A287" t="str">
            <v>NW3825</v>
          </cell>
          <cell r="B287">
            <v>5.5674999999999999</v>
          </cell>
        </row>
        <row r="288">
          <cell r="A288" t="str">
            <v>NW3826</v>
          </cell>
          <cell r="B288">
            <v>5.8571</v>
          </cell>
        </row>
        <row r="289">
          <cell r="A289" t="str">
            <v>NW3827</v>
          </cell>
          <cell r="B289">
            <v>5.8437999999999999</v>
          </cell>
        </row>
        <row r="290">
          <cell r="A290" t="str">
            <v>NW3828</v>
          </cell>
          <cell r="B290">
            <v>5.4991000000000003</v>
          </cell>
        </row>
        <row r="291">
          <cell r="A291" t="str">
            <v>NW3829</v>
          </cell>
          <cell r="B291">
            <v>5.6104000000000003</v>
          </cell>
        </row>
        <row r="292">
          <cell r="A292" t="str">
            <v>NW3830</v>
          </cell>
          <cell r="B292">
            <v>5.9661999999999997</v>
          </cell>
        </row>
        <row r="293">
          <cell r="A293" t="str">
            <v>NW3831</v>
          </cell>
          <cell r="B293">
            <v>5.6071</v>
          </cell>
        </row>
        <row r="294">
          <cell r="A294" t="str">
            <v>NW3832</v>
          </cell>
          <cell r="B294">
            <v>5.6071</v>
          </cell>
        </row>
        <row r="295">
          <cell r="A295" t="str">
            <v>NW3833</v>
          </cell>
          <cell r="B295">
            <v>5.3760000000000003</v>
          </cell>
        </row>
        <row r="296">
          <cell r="A296" t="str">
            <v>NW3834</v>
          </cell>
          <cell r="B296">
            <v>5.0720000000000001</v>
          </cell>
        </row>
        <row r="297">
          <cell r="A297" t="str">
            <v>NW3835</v>
          </cell>
          <cell r="B297">
            <v>5.3701999999999996</v>
          </cell>
        </row>
        <row r="298">
          <cell r="A298" t="str">
            <v>NW3836</v>
          </cell>
          <cell r="B298">
            <v>5.3701999999999996</v>
          </cell>
        </row>
        <row r="299">
          <cell r="A299" t="str">
            <v>NW3837</v>
          </cell>
          <cell r="B299">
            <v>5.4778000000000002</v>
          </cell>
        </row>
        <row r="300">
          <cell r="A300" t="str">
            <v>NW3838</v>
          </cell>
          <cell r="B300">
            <v>5.7287999999999997</v>
          </cell>
        </row>
        <row r="301">
          <cell r="A301" t="str">
            <v>NW3839</v>
          </cell>
          <cell r="B301">
            <v>5.3760000000000003</v>
          </cell>
        </row>
        <row r="302">
          <cell r="A302" t="str">
            <v>NW3840</v>
          </cell>
          <cell r="B302">
            <v>9.4079999999999995</v>
          </cell>
        </row>
        <row r="303">
          <cell r="A303" t="str">
            <v>NW3841</v>
          </cell>
          <cell r="B303">
            <v>5.5763999999999996</v>
          </cell>
        </row>
        <row r="304">
          <cell r="A304" t="str">
            <v>NW3842</v>
          </cell>
          <cell r="B304">
            <v>5.5885999999999996</v>
          </cell>
        </row>
        <row r="305">
          <cell r="A305" t="str">
            <v>NW3843</v>
          </cell>
          <cell r="B305">
            <v>5.4619</v>
          </cell>
        </row>
        <row r="306">
          <cell r="A306" t="str">
            <v>NW3844</v>
          </cell>
          <cell r="B306">
            <v>5.6250999999999998</v>
          </cell>
        </row>
        <row r="307">
          <cell r="A307" t="str">
            <v>NW3845</v>
          </cell>
          <cell r="B307">
            <v>7.5998999999999999</v>
          </cell>
        </row>
        <row r="308">
          <cell r="A308" t="str">
            <v>NW3846</v>
          </cell>
          <cell r="B308">
            <v>7.7561999999999998</v>
          </cell>
        </row>
        <row r="309">
          <cell r="A309" t="str">
            <v>NW3847</v>
          </cell>
          <cell r="B309">
            <v>5.6120999999999999</v>
          </cell>
        </row>
        <row r="310">
          <cell r="A310" t="str">
            <v>OGA000</v>
          </cell>
          <cell r="B310">
            <v>27.232099999999999</v>
          </cell>
        </row>
        <row r="311">
          <cell r="A311" t="str">
            <v>OGA077</v>
          </cell>
          <cell r="B311">
            <v>18.495200000000001</v>
          </cell>
        </row>
        <row r="312">
          <cell r="A312" t="str">
            <v>OGA080</v>
          </cell>
          <cell r="B312">
            <v>11.2164</v>
          </cell>
        </row>
        <row r="313">
          <cell r="A313" t="str">
            <v>OGA097</v>
          </cell>
          <cell r="B313">
            <v>20.763300000000001</v>
          </cell>
        </row>
        <row r="314">
          <cell r="A314" t="str">
            <v>OGA115</v>
          </cell>
          <cell r="B314">
            <v>12.032999999999999</v>
          </cell>
        </row>
        <row r="315">
          <cell r="A315" t="str">
            <v>OGA116</v>
          </cell>
          <cell r="B315">
            <v>12.007400000000001</v>
          </cell>
        </row>
        <row r="316">
          <cell r="A316" t="str">
            <v>OGA145</v>
          </cell>
          <cell r="B316">
            <v>11.632300000000001</v>
          </cell>
        </row>
        <row r="317">
          <cell r="A317" t="str">
            <v>OGA161</v>
          </cell>
          <cell r="B317">
            <v>22.066099999999999</v>
          </cell>
        </row>
        <row r="318">
          <cell r="A318" t="str">
            <v>OGZ036</v>
          </cell>
          <cell r="B318">
            <v>23.1325</v>
          </cell>
        </row>
        <row r="319">
          <cell r="A319" t="str">
            <v>OGZ036.L001</v>
          </cell>
          <cell r="B319">
            <v>9.1194000000000006</v>
          </cell>
        </row>
        <row r="320">
          <cell r="A320" t="str">
            <v>OGZ038</v>
          </cell>
          <cell r="B320">
            <v>5.6765999999999996</v>
          </cell>
        </row>
        <row r="321">
          <cell r="A321" t="str">
            <v>OGZ050E</v>
          </cell>
          <cell r="B321">
            <v>24.917100000000001</v>
          </cell>
        </row>
        <row r="322">
          <cell r="A322" t="str">
            <v>OGZ050W</v>
          </cell>
          <cell r="B322">
            <v>15.7043</v>
          </cell>
        </row>
        <row r="323">
          <cell r="A323" t="str">
            <v>OGZ051</v>
          </cell>
          <cell r="B323">
            <v>17.319199999999999</v>
          </cell>
        </row>
        <row r="324">
          <cell r="A324" t="str">
            <v>OGZ167M</v>
          </cell>
          <cell r="B324">
            <v>20.229199999999999</v>
          </cell>
        </row>
        <row r="325">
          <cell r="A325" t="str">
            <v>OGZ167N</v>
          </cell>
          <cell r="B325">
            <v>14.0716</v>
          </cell>
        </row>
        <row r="326">
          <cell r="A326" t="str">
            <v>OGZ167S</v>
          </cell>
          <cell r="B326">
            <v>22.5245</v>
          </cell>
        </row>
        <row r="327">
          <cell r="A327" t="str">
            <v>OGZ171</v>
          </cell>
          <cell r="B327">
            <v>11.655200000000001</v>
          </cell>
        </row>
        <row r="328">
          <cell r="A328" t="str">
            <v>OGZ270</v>
          </cell>
          <cell r="B328">
            <v>21.444900000000001</v>
          </cell>
        </row>
        <row r="329">
          <cell r="A329" t="str">
            <v>OGZ550W</v>
          </cell>
          <cell r="B329">
            <v>5.5640000000000001</v>
          </cell>
        </row>
        <row r="330">
          <cell r="A330" t="str">
            <v>SW6001</v>
          </cell>
          <cell r="B330">
            <v>11.5862</v>
          </cell>
        </row>
        <row r="331">
          <cell r="A331" t="str">
            <v>SW6002</v>
          </cell>
          <cell r="B331">
            <v>9.7194000000000003</v>
          </cell>
        </row>
        <row r="332">
          <cell r="A332" t="str">
            <v>SW6003</v>
          </cell>
          <cell r="B332">
            <v>8.0154999999999994</v>
          </cell>
        </row>
        <row r="333">
          <cell r="A333" t="str">
            <v>SW6004</v>
          </cell>
          <cell r="B333">
            <v>15.5855</v>
          </cell>
        </row>
        <row r="334">
          <cell r="A334" t="str">
            <v>SW6005</v>
          </cell>
          <cell r="B334">
            <v>11.3933</v>
          </cell>
        </row>
        <row r="335">
          <cell r="A335" t="str">
            <v>SW6006</v>
          </cell>
          <cell r="B335">
            <v>7.5514000000000001</v>
          </cell>
        </row>
        <row r="336">
          <cell r="A336" t="str">
            <v>SW6007</v>
          </cell>
          <cell r="B336">
            <v>19.547899999999998</v>
          </cell>
        </row>
        <row r="337">
          <cell r="A337" t="str">
            <v>SW6069</v>
          </cell>
          <cell r="B337">
            <v>23.1084</v>
          </cell>
        </row>
        <row r="338">
          <cell r="A338" t="str">
            <v>SW6070</v>
          </cell>
          <cell r="B338">
            <v>19.0838</v>
          </cell>
        </row>
        <row r="339">
          <cell r="A339" t="str">
            <v>SW6071</v>
          </cell>
          <cell r="B339">
            <v>15.4756</v>
          </cell>
        </row>
        <row r="340">
          <cell r="A340" t="str">
            <v>SW6072</v>
          </cell>
          <cell r="B340">
            <v>19.582799999999999</v>
          </cell>
        </row>
        <row r="341">
          <cell r="A341" t="str">
            <v>SW6073</v>
          </cell>
          <cell r="B341">
            <v>7.6700999999999997</v>
          </cell>
        </row>
        <row r="342">
          <cell r="A342" t="str">
            <v>SW6074</v>
          </cell>
          <cell r="B342">
            <v>6.3803000000000001</v>
          </cell>
        </row>
        <row r="343">
          <cell r="A343" t="str">
            <v>SW6075</v>
          </cell>
          <cell r="B343">
            <v>20.893000000000001</v>
          </cell>
        </row>
        <row r="344">
          <cell r="A344" t="str">
            <v>SW6076</v>
          </cell>
          <cell r="B344">
            <v>23.6724</v>
          </cell>
        </row>
        <row r="345">
          <cell r="A345" t="str">
            <v>SW6077</v>
          </cell>
          <cell r="B345">
            <v>9.4253999999999998</v>
          </cell>
        </row>
        <row r="346">
          <cell r="A346" t="str">
            <v>SW6078</v>
          </cell>
          <cell r="B346">
            <v>15.4138</v>
          </cell>
        </row>
        <row r="347">
          <cell r="A347" t="str">
            <v>SW6079</v>
          </cell>
          <cell r="B347">
            <v>11.318300000000001</v>
          </cell>
        </row>
        <row r="348">
          <cell r="A348" t="str">
            <v>SW6121</v>
          </cell>
          <cell r="B348">
            <v>12.4819</v>
          </cell>
        </row>
        <row r="349">
          <cell r="A349" t="str">
            <v>SW6122</v>
          </cell>
          <cell r="B349">
            <v>8.4036000000000008</v>
          </cell>
        </row>
        <row r="350">
          <cell r="A350" t="str">
            <v>SW6123</v>
          </cell>
          <cell r="B350">
            <v>6.7575000000000003</v>
          </cell>
        </row>
        <row r="351">
          <cell r="A351" t="str">
            <v>SW6124</v>
          </cell>
          <cell r="B351">
            <v>7.3970000000000002</v>
          </cell>
        </row>
        <row r="352">
          <cell r="A352" t="str">
            <v>SW6155</v>
          </cell>
          <cell r="B352">
            <v>19.085599999999999</v>
          </cell>
        </row>
        <row r="353">
          <cell r="A353" t="str">
            <v>SW6156</v>
          </cell>
          <cell r="B353">
            <v>7.9036999999999997</v>
          </cell>
        </row>
        <row r="354">
          <cell r="A354" t="str">
            <v>SW6157</v>
          </cell>
          <cell r="B354">
            <v>14.1076</v>
          </cell>
        </row>
        <row r="355">
          <cell r="A355" t="str">
            <v>SW6158</v>
          </cell>
          <cell r="B355">
            <v>8.8500999999999994</v>
          </cell>
        </row>
        <row r="356">
          <cell r="A356" t="str">
            <v>SW6700</v>
          </cell>
          <cell r="B356">
            <v>6.9283000000000001</v>
          </cell>
        </row>
        <row r="357">
          <cell r="A357" t="str">
            <v>SW6701</v>
          </cell>
          <cell r="B357">
            <v>5.5411000000000001</v>
          </cell>
        </row>
        <row r="358">
          <cell r="A358" t="str">
            <v>SW6702</v>
          </cell>
          <cell r="B358">
            <v>5.2184999999999997</v>
          </cell>
        </row>
        <row r="359">
          <cell r="A359" t="str">
            <v>SW6703</v>
          </cell>
          <cell r="B359">
            <v>5.1750999999999996</v>
          </cell>
        </row>
        <row r="360">
          <cell r="A360" t="str">
            <v>SW6704</v>
          </cell>
          <cell r="B360">
            <v>4.0724999999999998</v>
          </cell>
        </row>
        <row r="361">
          <cell r="A361" t="str">
            <v>SW6705</v>
          </cell>
          <cell r="B361">
            <v>3.9765000000000001</v>
          </cell>
        </row>
        <row r="362">
          <cell r="A362" t="str">
            <v>SW6706</v>
          </cell>
          <cell r="B362">
            <v>5.548</v>
          </cell>
        </row>
        <row r="363">
          <cell r="A363" t="str">
            <v>SW6707</v>
          </cell>
          <cell r="B363">
            <v>4.2466999999999997</v>
          </cell>
        </row>
        <row r="364">
          <cell r="A364" t="str">
            <v>SW6708</v>
          </cell>
          <cell r="B364">
            <v>3.9971999999999999</v>
          </cell>
        </row>
        <row r="365">
          <cell r="A365" t="str">
            <v>SW6709</v>
          </cell>
          <cell r="B365">
            <v>5.8174999999999999</v>
          </cell>
        </row>
        <row r="366">
          <cell r="A366" t="str">
            <v>SW6710</v>
          </cell>
          <cell r="B366">
            <v>5.3712999999999997</v>
          </cell>
        </row>
        <row r="367">
          <cell r="A367" t="str">
            <v>SW6711</v>
          </cell>
          <cell r="B367">
            <v>4.4889999999999999</v>
          </cell>
        </row>
        <row r="368">
          <cell r="A368" t="str">
            <v>SW6712</v>
          </cell>
          <cell r="B368">
            <v>4.5654000000000003</v>
          </cell>
        </row>
        <row r="369">
          <cell r="A369" t="str">
            <v>SW6713</v>
          </cell>
          <cell r="B369">
            <v>4.5654000000000003</v>
          </cell>
        </row>
        <row r="370">
          <cell r="A370" t="str">
            <v>SW6714</v>
          </cell>
          <cell r="B370">
            <v>5.758</v>
          </cell>
        </row>
        <row r="371">
          <cell r="A371" t="str">
            <v>SW6715</v>
          </cell>
          <cell r="B371">
            <v>5.758</v>
          </cell>
        </row>
        <row r="372">
          <cell r="A372" t="str">
            <v>SW6716</v>
          </cell>
          <cell r="B372">
            <v>5.4322999999999997</v>
          </cell>
        </row>
        <row r="373">
          <cell r="A373" t="str">
            <v>SW6717</v>
          </cell>
          <cell r="B373">
            <v>3.7713000000000001</v>
          </cell>
        </row>
        <row r="374">
          <cell r="A374" t="str">
            <v>SW6718</v>
          </cell>
          <cell r="B374">
            <v>5.3760000000000003</v>
          </cell>
        </row>
        <row r="375">
          <cell r="A375" t="str">
            <v>SW6719</v>
          </cell>
          <cell r="B375">
            <v>5.1352000000000002</v>
          </cell>
        </row>
        <row r="376">
          <cell r="A376" t="str">
            <v>SW6720</v>
          </cell>
          <cell r="B376">
            <v>4.6463999999999999</v>
          </cell>
        </row>
        <row r="377">
          <cell r="A377" t="str">
            <v>SW6721</v>
          </cell>
          <cell r="B377">
            <v>4.3297999999999996</v>
          </cell>
        </row>
        <row r="378">
          <cell r="A378" t="str">
            <v>SW6722</v>
          </cell>
          <cell r="B378">
            <v>4.3297999999999996</v>
          </cell>
        </row>
        <row r="379">
          <cell r="A379" t="str">
            <v>SW6723</v>
          </cell>
          <cell r="B379">
            <v>5.6219000000000001</v>
          </cell>
        </row>
        <row r="380">
          <cell r="A380" t="str">
            <v>SW6725</v>
          </cell>
          <cell r="B380">
            <v>5.5651999999999999</v>
          </cell>
        </row>
        <row r="381">
          <cell r="A381" t="str">
            <v>SW6726</v>
          </cell>
          <cell r="B381">
            <v>5.5110999999999999</v>
          </cell>
        </row>
        <row r="382">
          <cell r="A382" t="str">
            <v>SW6727</v>
          </cell>
          <cell r="B382">
            <v>5.2652000000000001</v>
          </cell>
        </row>
        <row r="383">
          <cell r="A383" t="str">
            <v>SW6728</v>
          </cell>
          <cell r="B383">
            <v>4.4200999999999997</v>
          </cell>
        </row>
        <row r="384">
          <cell r="A384" t="str">
            <v>SW6729</v>
          </cell>
          <cell r="B384">
            <v>5.4772999999999996</v>
          </cell>
        </row>
        <row r="385">
          <cell r="A385" t="str">
            <v>SW6730</v>
          </cell>
          <cell r="B385">
            <v>5.4772999999999996</v>
          </cell>
        </row>
        <row r="386">
          <cell r="A386" t="str">
            <v>SW6731</v>
          </cell>
          <cell r="B386">
            <v>5.4772999999999996</v>
          </cell>
        </row>
        <row r="387">
          <cell r="A387" t="str">
            <v>SW6732</v>
          </cell>
          <cell r="B387">
            <v>5.4772999999999996</v>
          </cell>
        </row>
        <row r="388">
          <cell r="A388" t="str">
            <v>SW6733</v>
          </cell>
          <cell r="B388">
            <v>5.4772999999999996</v>
          </cell>
        </row>
        <row r="389">
          <cell r="A389" t="str">
            <v>SW6800</v>
          </cell>
          <cell r="B389">
            <v>9.8048000000000002</v>
          </cell>
        </row>
        <row r="390">
          <cell r="A390" t="str">
            <v>SW6801</v>
          </cell>
          <cell r="B390">
            <v>6.0118</v>
          </cell>
        </row>
        <row r="391">
          <cell r="A391" t="str">
            <v>SW6802</v>
          </cell>
          <cell r="B391">
            <v>6.2137000000000002</v>
          </cell>
        </row>
        <row r="392">
          <cell r="A392" t="str">
            <v>SW6803</v>
          </cell>
          <cell r="B392">
            <v>5.9503000000000004</v>
          </cell>
        </row>
        <row r="393">
          <cell r="A393" t="str">
            <v>SW6804</v>
          </cell>
          <cell r="B393">
            <v>5.9542999999999999</v>
          </cell>
        </row>
        <row r="394">
          <cell r="A394" t="str">
            <v>SW6805</v>
          </cell>
          <cell r="B394">
            <v>5.9503000000000004</v>
          </cell>
        </row>
        <row r="395">
          <cell r="A395" t="str">
            <v>SW6806</v>
          </cell>
          <cell r="B395">
            <v>5.8135000000000003</v>
          </cell>
        </row>
        <row r="396">
          <cell r="A396" t="str">
            <v>SW6807</v>
          </cell>
          <cell r="B396">
            <v>5.9489999999999998</v>
          </cell>
        </row>
        <row r="397">
          <cell r="A397" t="str">
            <v>SW6808</v>
          </cell>
          <cell r="B397">
            <v>6.1920000000000002</v>
          </cell>
        </row>
        <row r="398">
          <cell r="A398" t="str">
            <v>SW6809</v>
          </cell>
          <cell r="B398">
            <v>5.9337</v>
          </cell>
        </row>
        <row r="399">
          <cell r="A399" t="str">
            <v>SW6810</v>
          </cell>
          <cell r="B399">
            <v>9.7894000000000005</v>
          </cell>
        </row>
        <row r="400">
          <cell r="A400" t="str">
            <v>SW6811</v>
          </cell>
          <cell r="B400">
            <v>6.0533999999999999</v>
          </cell>
        </row>
        <row r="401">
          <cell r="A401" t="str">
            <v>SW6812</v>
          </cell>
          <cell r="B401">
            <v>5.9337</v>
          </cell>
        </row>
        <row r="402">
          <cell r="A402" t="str">
            <v>SW6813</v>
          </cell>
          <cell r="B402">
            <v>5.9348999999999998</v>
          </cell>
        </row>
        <row r="403">
          <cell r="A403" t="str">
            <v>SW6814</v>
          </cell>
          <cell r="B403">
            <v>6.0312000000000001</v>
          </cell>
        </row>
        <row r="404">
          <cell r="A404" t="str">
            <v>SW6815</v>
          </cell>
          <cell r="B404">
            <v>6.0533999999999999</v>
          </cell>
        </row>
        <row r="405">
          <cell r="A405" t="str">
            <v>SW6816</v>
          </cell>
          <cell r="B405">
            <v>5.8219000000000003</v>
          </cell>
        </row>
        <row r="406">
          <cell r="A406" t="str">
            <v>SW6817</v>
          </cell>
          <cell r="B406">
            <v>6.0956000000000001</v>
          </cell>
        </row>
        <row r="407">
          <cell r="A407" t="str">
            <v>SW6818</v>
          </cell>
          <cell r="B407">
            <v>5.7409999999999997</v>
          </cell>
        </row>
        <row r="408">
          <cell r="A408" t="str">
            <v>SW6819</v>
          </cell>
          <cell r="B408">
            <v>6.2230999999999996</v>
          </cell>
        </row>
        <row r="409">
          <cell r="A409" t="str">
            <v>SW6820</v>
          </cell>
          <cell r="B409">
            <v>6.2461000000000002</v>
          </cell>
        </row>
        <row r="410">
          <cell r="A410" t="str">
            <v>SW6821</v>
          </cell>
          <cell r="B410">
            <v>5.9337</v>
          </cell>
        </row>
        <row r="411">
          <cell r="A411" t="str">
            <v>SW6822</v>
          </cell>
          <cell r="B411">
            <v>5.9337</v>
          </cell>
        </row>
        <row r="412">
          <cell r="A412" t="str">
            <v>SW6823</v>
          </cell>
          <cell r="B412">
            <v>5.7564000000000002</v>
          </cell>
        </row>
        <row r="413">
          <cell r="A413" t="str">
            <v>SW6824</v>
          </cell>
          <cell r="B413">
            <v>6.0728</v>
          </cell>
        </row>
        <row r="414">
          <cell r="A414" t="str">
            <v>SW6825</v>
          </cell>
          <cell r="B414">
            <v>6.2188999999999997</v>
          </cell>
        </row>
        <row r="415">
          <cell r="A415" t="str">
            <v>SW6826</v>
          </cell>
          <cell r="B415">
            <v>5.9337</v>
          </cell>
        </row>
        <row r="416">
          <cell r="A416" t="str">
            <v>SW6827</v>
          </cell>
          <cell r="B416">
            <v>5.9377000000000004</v>
          </cell>
        </row>
        <row r="417">
          <cell r="A417" t="str">
            <v>SW6828</v>
          </cell>
          <cell r="B417">
            <v>6.8619000000000003</v>
          </cell>
        </row>
        <row r="418">
          <cell r="A418" t="str">
            <v>SW6828.L001</v>
          </cell>
          <cell r="B418">
            <v>7.0186999999999999</v>
          </cell>
        </row>
        <row r="419">
          <cell r="A419" t="str">
            <v>SW6829</v>
          </cell>
          <cell r="B419">
            <v>9.202</v>
          </cell>
        </row>
        <row r="420">
          <cell r="A420" t="str">
            <v>SW6830</v>
          </cell>
          <cell r="B420">
            <v>5.9877000000000002</v>
          </cell>
        </row>
        <row r="421">
          <cell r="A421" t="str">
            <v>SW6831</v>
          </cell>
          <cell r="B421">
            <v>5.9222999999999999</v>
          </cell>
        </row>
        <row r="422">
          <cell r="A422" t="str">
            <v>SW6832</v>
          </cell>
          <cell r="B422">
            <v>6.1124000000000001</v>
          </cell>
        </row>
        <row r="423">
          <cell r="A423" t="str">
            <v>SW6833</v>
          </cell>
          <cell r="B423">
            <v>6.1424000000000003</v>
          </cell>
        </row>
        <row r="424">
          <cell r="A424" t="str">
            <v>SW6834</v>
          </cell>
          <cell r="B424">
            <v>5.9542999999999999</v>
          </cell>
        </row>
        <row r="425">
          <cell r="A425" t="str">
            <v>SW6835</v>
          </cell>
          <cell r="B425">
            <v>6.2233999999999998</v>
          </cell>
        </row>
        <row r="426">
          <cell r="A426" t="str">
            <v>SW6900</v>
          </cell>
          <cell r="B426">
            <v>7.3127000000000004</v>
          </cell>
        </row>
        <row r="427">
          <cell r="A427" t="str">
            <v>SW6901</v>
          </cell>
          <cell r="B427">
            <v>5.3213999999999997</v>
          </cell>
        </row>
        <row r="428">
          <cell r="A428" t="str">
            <v>SW6902</v>
          </cell>
          <cell r="B428">
            <v>4.4433999999999996</v>
          </cell>
        </row>
        <row r="429">
          <cell r="A429" t="str">
            <v>SW6903</v>
          </cell>
          <cell r="B429">
            <v>4.2343000000000002</v>
          </cell>
        </row>
        <row r="430">
          <cell r="A430" t="str">
            <v>SW6904</v>
          </cell>
          <cell r="B430">
            <v>4.1877000000000004</v>
          </cell>
        </row>
        <row r="431">
          <cell r="A431" t="str">
            <v>SW6905</v>
          </cell>
          <cell r="B431">
            <v>4.2343000000000002</v>
          </cell>
        </row>
        <row r="432">
          <cell r="A432" t="str">
            <v>SW6906</v>
          </cell>
          <cell r="B432">
            <v>4.0548999999999999</v>
          </cell>
        </row>
        <row r="433">
          <cell r="A433" t="str">
            <v>SW6907</v>
          </cell>
          <cell r="B433">
            <v>5.1025</v>
          </cell>
        </row>
        <row r="434">
          <cell r="A434" t="str">
            <v>SW6908</v>
          </cell>
          <cell r="B434">
            <v>4.4398999999999997</v>
          </cell>
        </row>
        <row r="435">
          <cell r="A435" t="str">
            <v>SW6910</v>
          </cell>
          <cell r="B435">
            <v>5.1516000000000002</v>
          </cell>
        </row>
        <row r="436">
          <cell r="A436" t="str">
            <v>SW6911</v>
          </cell>
          <cell r="B436">
            <v>5.0187999999999997</v>
          </cell>
        </row>
        <row r="437">
          <cell r="A437" t="str">
            <v>SW6912</v>
          </cell>
          <cell r="B437">
            <v>5.3136000000000001</v>
          </cell>
        </row>
        <row r="438">
          <cell r="A438" t="str">
            <v>SW6913</v>
          </cell>
          <cell r="B438">
            <v>5.2304000000000004</v>
          </cell>
        </row>
        <row r="439">
          <cell r="A439" t="str">
            <v>SW6914</v>
          </cell>
          <cell r="B439">
            <v>5.1097000000000001</v>
          </cell>
        </row>
        <row r="440">
          <cell r="A440" t="str">
            <v>SW6915</v>
          </cell>
          <cell r="B440">
            <v>5.0237999999999996</v>
          </cell>
        </row>
        <row r="441">
          <cell r="A441" t="str">
            <v>SW6916</v>
          </cell>
          <cell r="B441">
            <v>5.2502000000000004</v>
          </cell>
        </row>
        <row r="442">
          <cell r="A442" t="str">
            <v>SW6917</v>
          </cell>
          <cell r="B442">
            <v>7.0410000000000004</v>
          </cell>
        </row>
        <row r="443">
          <cell r="A443" t="str">
            <v>SW6918</v>
          </cell>
          <cell r="B443">
            <v>5.5693999999999999</v>
          </cell>
        </row>
        <row r="444">
          <cell r="A444" t="str">
            <v>SW6919</v>
          </cell>
          <cell r="B444">
            <v>5.1097000000000001</v>
          </cell>
        </row>
        <row r="445">
          <cell r="A445" t="str">
            <v>SW6920</v>
          </cell>
          <cell r="B445">
            <v>5.1097000000000001</v>
          </cell>
        </row>
        <row r="446">
          <cell r="A446" t="str">
            <v>SW6921</v>
          </cell>
          <cell r="B446">
            <v>5.0187999999999997</v>
          </cell>
        </row>
        <row r="447">
          <cell r="A447" t="str">
            <v>SW6922</v>
          </cell>
          <cell r="B447">
            <v>5.1516000000000002</v>
          </cell>
        </row>
        <row r="448">
          <cell r="A448" t="str">
            <v>SW6923</v>
          </cell>
          <cell r="B448">
            <v>5.6135999999999999</v>
          </cell>
        </row>
        <row r="449">
          <cell r="A449" t="str">
            <v>SW6924</v>
          </cell>
          <cell r="B449">
            <v>5.2746000000000004</v>
          </cell>
        </row>
        <row r="450">
          <cell r="A450" t="str">
            <v>SW6925</v>
          </cell>
          <cell r="B450">
            <v>5.0237999999999996</v>
          </cell>
        </row>
        <row r="451">
          <cell r="A451" t="str">
            <v>SW6926</v>
          </cell>
          <cell r="B451">
            <v>5.1174999999999997</v>
          </cell>
        </row>
        <row r="452">
          <cell r="A452" t="str">
            <v>SW6927</v>
          </cell>
          <cell r="B452">
            <v>7.1193999999999997</v>
          </cell>
        </row>
        <row r="453">
          <cell r="A453" t="str">
            <v>SW6928</v>
          </cell>
          <cell r="B453">
            <v>5.0187999999999997</v>
          </cell>
        </row>
        <row r="454">
          <cell r="A454" t="str">
            <v>SW6929</v>
          </cell>
          <cell r="B454">
            <v>5.0187999999999997</v>
          </cell>
        </row>
        <row r="455">
          <cell r="A455" t="str">
            <v>SW6930</v>
          </cell>
          <cell r="B455">
            <v>5.0713999999999997</v>
          </cell>
        </row>
        <row r="456">
          <cell r="A456" t="str">
            <v>SW6931</v>
          </cell>
          <cell r="B456">
            <v>3.9584999999999999</v>
          </cell>
        </row>
        <row r="457">
          <cell r="A457" t="str">
            <v>SW6932</v>
          </cell>
          <cell r="B457">
            <v>5.1174999999999997</v>
          </cell>
        </row>
        <row r="458">
          <cell r="A458" t="str">
            <v>SW6933</v>
          </cell>
          <cell r="B458">
            <v>7.0342000000000002</v>
          </cell>
        </row>
        <row r="459">
          <cell r="A459" t="str">
            <v>SW6934</v>
          </cell>
          <cell r="B459">
            <v>5.3537999999999997</v>
          </cell>
        </row>
        <row r="460">
          <cell r="A460" t="str">
            <v>SW6935</v>
          </cell>
          <cell r="B460">
            <v>5.0237999999999996</v>
          </cell>
        </row>
        <row r="461">
          <cell r="A461" t="str">
            <v>SW6936</v>
          </cell>
          <cell r="B461">
            <v>5.4463999999999997</v>
          </cell>
        </row>
        <row r="462">
          <cell r="A462" t="str">
            <v>SW6937</v>
          </cell>
          <cell r="B462">
            <v>5.3136000000000001</v>
          </cell>
        </row>
        <row r="463">
          <cell r="A463" t="str">
            <v>SW6938</v>
          </cell>
          <cell r="B463">
            <v>4.8860999999999999</v>
          </cell>
        </row>
        <row r="464">
          <cell r="A464" t="str">
            <v>SW6939</v>
          </cell>
          <cell r="B464">
            <v>5.3602999999999996</v>
          </cell>
        </row>
        <row r="465">
          <cell r="A465" t="str">
            <v>SW6940</v>
          </cell>
          <cell r="B465">
            <v>5.0266000000000002</v>
          </cell>
        </row>
        <row r="466">
          <cell r="A466" t="str">
            <v>SW6941</v>
          </cell>
          <cell r="B466">
            <v>5.3262</v>
          </cell>
        </row>
        <row r="467">
          <cell r="A467" t="str">
            <v>SW6942</v>
          </cell>
          <cell r="B467">
            <v>5.383</v>
          </cell>
        </row>
      </sheetData>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Analysis for Estimate"/>
      <sheetName val="Project Log"/>
      <sheetName val="Sheet1"/>
      <sheetName val="Sheet3"/>
      <sheetName val="Sheet4"/>
      <sheetName val="Sheet5"/>
      <sheetName val="Sheet6"/>
      <sheetName val="O&amp;M Pivot Analysis"/>
      <sheetName val="Source Data"/>
      <sheetName val="IM Risk Score Per Pipeline"/>
      <sheetName val="IM System Name"/>
      <sheetName val="Directions"/>
      <sheetName val="Costs By Year"/>
      <sheetName val="ILI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1">
          <cell r="B21">
            <v>2013</v>
          </cell>
        </row>
        <row r="22">
          <cell r="B22">
            <v>2014</v>
          </cell>
        </row>
        <row r="23">
          <cell r="B23">
            <v>2015</v>
          </cell>
        </row>
        <row r="24">
          <cell r="B24">
            <v>2016</v>
          </cell>
        </row>
        <row r="25">
          <cell r="B25">
            <v>2017</v>
          </cell>
        </row>
        <row r="26">
          <cell r="B26">
            <v>2018</v>
          </cell>
        </row>
        <row r="27">
          <cell r="B27">
            <v>2019</v>
          </cell>
        </row>
        <row r="28">
          <cell r="B28">
            <v>2020</v>
          </cell>
        </row>
        <row r="29">
          <cell r="B29">
            <v>2021</v>
          </cell>
        </row>
        <row r="30">
          <cell r="B30">
            <v>2022</v>
          </cell>
        </row>
        <row r="31">
          <cell r="B31">
            <v>2023</v>
          </cell>
        </row>
        <row r="32">
          <cell r="B32">
            <v>2024</v>
          </cell>
        </row>
        <row r="33">
          <cell r="B33">
            <v>2025</v>
          </cell>
        </row>
        <row r="34">
          <cell r="B34">
            <v>2026</v>
          </cell>
        </row>
        <row r="35">
          <cell r="B35">
            <v>2027</v>
          </cell>
        </row>
        <row r="36">
          <cell r="B36">
            <v>2028</v>
          </cell>
        </row>
        <row r="37">
          <cell r="B37">
            <v>2029</v>
          </cell>
        </row>
        <row r="38">
          <cell r="B38">
            <v>2030</v>
          </cell>
        </row>
        <row r="39">
          <cell r="B39">
            <v>2031</v>
          </cell>
        </row>
        <row r="40">
          <cell r="B40">
            <v>2032</v>
          </cell>
        </row>
        <row r="41">
          <cell r="B41">
            <v>2033</v>
          </cell>
        </row>
        <row r="42">
          <cell r="B42">
            <v>2034</v>
          </cell>
        </row>
        <row r="43">
          <cell r="B43">
            <v>2035</v>
          </cell>
        </row>
        <row r="44">
          <cell r="B44" t="str">
            <v>Other</v>
          </cell>
        </row>
        <row r="520">
          <cell r="B520" t="str">
            <v>Bridge Crossings</v>
          </cell>
        </row>
        <row r="521">
          <cell r="B521" t="str">
            <v>Casings</v>
          </cell>
        </row>
        <row r="522">
          <cell r="B522" t="str">
            <v>Data Collection</v>
          </cell>
        </row>
        <row r="523">
          <cell r="B523" t="str">
            <v>Direct Assesment</v>
          </cell>
        </row>
        <row r="524">
          <cell r="B524" t="str">
            <v>Encroachments</v>
          </cell>
        </row>
        <row r="525">
          <cell r="B525" t="str">
            <v>Exposures</v>
          </cell>
        </row>
        <row r="526">
          <cell r="B526" t="str">
            <v>Gas Quality / Conditioning</v>
          </cell>
        </row>
        <row r="527">
          <cell r="B527" t="str">
            <v>ILI Assessments</v>
          </cell>
        </row>
        <row r="528">
          <cell r="B528" t="str">
            <v>ILI Retrofits</v>
          </cell>
        </row>
        <row r="529">
          <cell r="B529" t="str">
            <v>Ineffectively Coated Steel</v>
          </cell>
        </row>
        <row r="530">
          <cell r="B530" t="str">
            <v>Inside Meters</v>
          </cell>
        </row>
        <row r="531">
          <cell r="B531" t="str">
            <v>Miscellaneous</v>
          </cell>
        </row>
        <row r="532">
          <cell r="B532" t="str">
            <v>Non-Commerically Available Pipe Size</v>
          </cell>
        </row>
        <row r="533">
          <cell r="B533" t="str">
            <v>Obsolete Equipment</v>
          </cell>
        </row>
        <row r="534">
          <cell r="B534" t="str">
            <v>Odorizers</v>
          </cell>
        </row>
        <row r="535">
          <cell r="B535" t="str">
            <v>Pressure Monitoring / SCADA / RTU</v>
          </cell>
        </row>
        <row r="536">
          <cell r="B536" t="str">
            <v>Pressure Test</v>
          </cell>
        </row>
        <row r="537">
          <cell r="B537" t="str">
            <v>Priority Pipe</v>
          </cell>
        </row>
        <row r="538">
          <cell r="B538" t="str">
            <v>Regulator Station</v>
          </cell>
        </row>
        <row r="539">
          <cell r="B539" t="str">
            <v>Retirements</v>
          </cell>
        </row>
        <row r="540">
          <cell r="B540" t="str">
            <v>Shallow Pipe</v>
          </cell>
        </row>
        <row r="541">
          <cell r="B541" t="str">
            <v>Single Feed Systems</v>
          </cell>
        </row>
        <row r="542">
          <cell r="B542" t="str">
            <v>Station Rehabilitation</v>
          </cell>
        </row>
        <row r="543">
          <cell r="B543" t="str">
            <v>Uprate</v>
          </cell>
        </row>
        <row r="544">
          <cell r="B544" t="str">
            <v>Valves / Operators / Remote Cntrl</v>
          </cell>
        </row>
        <row r="545">
          <cell r="B545" t="str">
            <v>Vintage Plastic (Aldyl-A)</v>
          </cell>
        </row>
        <row r="548">
          <cell r="B548" t="str">
            <v>Transmission</v>
          </cell>
        </row>
        <row r="549">
          <cell r="B549" t="str">
            <v>Distribution</v>
          </cell>
        </row>
        <row r="552">
          <cell r="B552" t="str">
            <v>NE</v>
          </cell>
        </row>
        <row r="553">
          <cell r="B553" t="str">
            <v>NW</v>
          </cell>
        </row>
        <row r="554">
          <cell r="B554" t="str">
            <v>OH</v>
          </cell>
        </row>
        <row r="555">
          <cell r="B555" t="str">
            <v>SE</v>
          </cell>
        </row>
        <row r="556">
          <cell r="B556" t="str">
            <v>SW</v>
          </cell>
        </row>
        <row r="559">
          <cell r="B559" t="str">
            <v>NE/Anderson</v>
          </cell>
        </row>
        <row r="560">
          <cell r="B560" t="str">
            <v>NE/Greenfield</v>
          </cell>
        </row>
        <row r="561">
          <cell r="B561" t="str">
            <v>NE/Huntington</v>
          </cell>
        </row>
        <row r="562">
          <cell r="B562" t="str">
            <v>NE/Muncie</v>
          </cell>
        </row>
        <row r="563">
          <cell r="B563" t="str">
            <v>NE/New Castle</v>
          </cell>
        </row>
        <row r="564">
          <cell r="B564" t="str">
            <v>NE/Noblesville</v>
          </cell>
        </row>
        <row r="565">
          <cell r="B565" t="str">
            <v>NE/Richmond</v>
          </cell>
        </row>
        <row r="566">
          <cell r="B566" t="str">
            <v>NW/Attica</v>
          </cell>
        </row>
        <row r="567">
          <cell r="B567" t="str">
            <v>NW/Crawfordsville</v>
          </cell>
        </row>
        <row r="568">
          <cell r="B568" t="str">
            <v>NW/Danville</v>
          </cell>
        </row>
        <row r="569">
          <cell r="B569" t="str">
            <v>NW/Frankfort</v>
          </cell>
        </row>
        <row r="570">
          <cell r="B570" t="str">
            <v>NW/Greencastle</v>
          </cell>
        </row>
        <row r="571">
          <cell r="B571" t="str">
            <v>NW/Lafayette</v>
          </cell>
        </row>
        <row r="572">
          <cell r="B572" t="str">
            <v>NW/Lebanon</v>
          </cell>
        </row>
        <row r="573">
          <cell r="B573" t="str">
            <v>NW/Rockville</v>
          </cell>
        </row>
        <row r="574">
          <cell r="B574" t="str">
            <v>NW/Terre Haute</v>
          </cell>
        </row>
        <row r="575">
          <cell r="B575" t="str">
            <v>NW/Wolcott</v>
          </cell>
        </row>
        <row r="576">
          <cell r="B576" t="str">
            <v>SE/Bedford</v>
          </cell>
        </row>
        <row r="577">
          <cell r="B577" t="str">
            <v>SE/Bloomington</v>
          </cell>
        </row>
        <row r="578">
          <cell r="B578" t="str">
            <v>SE/Clarksville</v>
          </cell>
        </row>
        <row r="579">
          <cell r="B579" t="str">
            <v>SE/Columbus</v>
          </cell>
        </row>
        <row r="580">
          <cell r="B580" t="str">
            <v>SE/Franklin</v>
          </cell>
        </row>
        <row r="581">
          <cell r="B581" t="str">
            <v>SE/Greensburg</v>
          </cell>
        </row>
        <row r="582">
          <cell r="B582" t="str">
            <v>SE/Madison</v>
          </cell>
        </row>
        <row r="583">
          <cell r="B583" t="str">
            <v>SE/Martinsville</v>
          </cell>
        </row>
        <row r="584">
          <cell r="B584" t="str">
            <v>SE/Shelbyville</v>
          </cell>
        </row>
        <row r="585">
          <cell r="B585" t="str">
            <v>SW/Boonville</v>
          </cell>
        </row>
        <row r="586">
          <cell r="B586" t="str">
            <v>SW/Evansville</v>
          </cell>
        </row>
        <row r="587">
          <cell r="B587" t="str">
            <v>SW/Mt. Vernon</v>
          </cell>
        </row>
        <row r="588">
          <cell r="B588" t="str">
            <v>SW/Rockport</v>
          </cell>
        </row>
        <row r="589">
          <cell r="B589" t="str">
            <v>SW/Vincennes</v>
          </cell>
        </row>
        <row r="590">
          <cell r="B590" t="str">
            <v>OH/Centerville</v>
          </cell>
        </row>
        <row r="591">
          <cell r="B591" t="str">
            <v>OH/Dayton West</v>
          </cell>
        </row>
        <row r="592">
          <cell r="B592" t="str">
            <v>OH/Fairborn</v>
          </cell>
        </row>
        <row r="593">
          <cell r="B593" t="str">
            <v>OH/Troy</v>
          </cell>
        </row>
        <row r="594">
          <cell r="B594" t="str">
            <v>OH/Washington CH</v>
          </cell>
        </row>
        <row r="597">
          <cell r="B597" t="str">
            <v>SB 251</v>
          </cell>
        </row>
        <row r="598">
          <cell r="B598" t="str">
            <v>SB 560</v>
          </cell>
        </row>
        <row r="599">
          <cell r="B599" t="str">
            <v>SB 560 PI</v>
          </cell>
        </row>
        <row r="600">
          <cell r="B600" t="str">
            <v>SB 560 SI</v>
          </cell>
        </row>
        <row r="601">
          <cell r="B601" t="str">
            <v>SB 560 SR</v>
          </cell>
        </row>
        <row r="602">
          <cell r="B602" t="str">
            <v>SB 560 C</v>
          </cell>
        </row>
        <row r="603">
          <cell r="B603" t="str">
            <v>SB 560 LPS</v>
          </cell>
        </row>
        <row r="604">
          <cell r="B604" t="str">
            <v>PSA Tracker</v>
          </cell>
        </row>
        <row r="605">
          <cell r="B605" t="str">
            <v>Other</v>
          </cell>
        </row>
        <row r="608">
          <cell r="B608" t="str">
            <v>Yes</v>
          </cell>
        </row>
        <row r="609">
          <cell r="B609" t="str">
            <v>No</v>
          </cell>
        </row>
        <row r="612">
          <cell r="B612" t="str">
            <v>Budgeted</v>
          </cell>
        </row>
        <row r="613">
          <cell r="B613" t="str">
            <v>Scheduled</v>
          </cell>
        </row>
        <row r="614">
          <cell r="B614" t="str">
            <v>In Progress</v>
          </cell>
        </row>
        <row r="615">
          <cell r="B615" t="str">
            <v>Resolved</v>
          </cell>
        </row>
        <row r="616">
          <cell r="B616" t="str">
            <v>Completed</v>
          </cell>
        </row>
        <row r="617">
          <cell r="B617" t="str">
            <v>Rollover</v>
          </cell>
        </row>
        <row r="639">
          <cell r="B639" t="str">
            <v>External Corrosion</v>
          </cell>
          <cell r="C639">
            <v>5</v>
          </cell>
        </row>
        <row r="640">
          <cell r="B640" t="str">
            <v>Internal Corrosion</v>
          </cell>
          <cell r="C640">
            <v>5</v>
          </cell>
        </row>
        <row r="641">
          <cell r="B641" t="str">
            <v>Atmospheric Corrosion</v>
          </cell>
          <cell r="C641">
            <v>3</v>
          </cell>
        </row>
        <row r="642">
          <cell r="B642" t="str">
            <v>Indirect Corrosion</v>
          </cell>
          <cell r="C642">
            <v>2</v>
          </cell>
        </row>
        <row r="643">
          <cell r="B643" t="str">
            <v>Natural Forces</v>
          </cell>
          <cell r="C643">
            <v>5</v>
          </cell>
        </row>
        <row r="644">
          <cell r="B644" t="str">
            <v>Excavation Damage</v>
          </cell>
          <cell r="C644">
            <v>5</v>
          </cell>
        </row>
        <row r="645">
          <cell r="B645" t="str">
            <v>Other Outside Force</v>
          </cell>
          <cell r="C645">
            <v>5</v>
          </cell>
        </row>
        <row r="646">
          <cell r="B646" t="str">
            <v>Material Weld / Joint</v>
          </cell>
          <cell r="C646">
            <v>5</v>
          </cell>
        </row>
        <row r="647">
          <cell r="B647" t="str">
            <v>Equipment Malfunction</v>
          </cell>
          <cell r="C647">
            <v>3</v>
          </cell>
        </row>
        <row r="648">
          <cell r="B648" t="str">
            <v>Inappropriate Operation</v>
          </cell>
          <cell r="C648">
            <v>4</v>
          </cell>
        </row>
        <row r="649">
          <cell r="B649" t="str">
            <v>Sewer Transection</v>
          </cell>
          <cell r="C649">
            <v>4</v>
          </cell>
        </row>
        <row r="650">
          <cell r="B650" t="str">
            <v>Overbuilds / Encroachment</v>
          </cell>
          <cell r="C650">
            <v>3</v>
          </cell>
        </row>
        <row r="651">
          <cell r="B651" t="str">
            <v>Stress Corrosion cracking</v>
          </cell>
          <cell r="C651">
            <v>5</v>
          </cell>
        </row>
        <row r="652">
          <cell r="B652" t="str">
            <v>Seam / Weld / Fab / Girth Def</v>
          </cell>
          <cell r="C652">
            <v>5</v>
          </cell>
        </row>
        <row r="653">
          <cell r="B653" t="str">
            <v>Pipe Body defect</v>
          </cell>
          <cell r="C653">
            <v>3</v>
          </cell>
        </row>
        <row r="654">
          <cell r="B654" t="str">
            <v>Wrinkle Bend</v>
          </cell>
          <cell r="C654">
            <v>2</v>
          </cell>
        </row>
        <row r="655">
          <cell r="B655" t="str">
            <v>Broken thread or coupling</v>
          </cell>
          <cell r="C655">
            <v>1</v>
          </cell>
        </row>
        <row r="656">
          <cell r="B656" t="str">
            <v>Gasket or o-ring failure</v>
          </cell>
          <cell r="C656">
            <v>1</v>
          </cell>
        </row>
        <row r="657">
          <cell r="B657" t="str">
            <v>Pressure control equipment</v>
          </cell>
          <cell r="C657">
            <v>4</v>
          </cell>
        </row>
        <row r="658">
          <cell r="B658" t="str">
            <v>Seal or Packing failure</v>
          </cell>
          <cell r="C658">
            <v>1</v>
          </cell>
        </row>
        <row r="659">
          <cell r="B659" t="str">
            <v>Misc Equipment</v>
          </cell>
          <cell r="C659">
            <v>2</v>
          </cell>
        </row>
        <row r="660">
          <cell r="B660" t="str">
            <v>Risk of Damage</v>
          </cell>
          <cell r="C660">
            <v>3</v>
          </cell>
        </row>
        <row r="661">
          <cell r="B661" t="str">
            <v>Vandalism</v>
          </cell>
          <cell r="C661">
            <v>3</v>
          </cell>
        </row>
        <row r="662">
          <cell r="B662" t="str">
            <v>Incorrect operation</v>
          </cell>
          <cell r="C662">
            <v>3</v>
          </cell>
        </row>
        <row r="663">
          <cell r="B663" t="str">
            <v>Cold Weather</v>
          </cell>
          <cell r="C663">
            <v>1</v>
          </cell>
        </row>
        <row r="664">
          <cell r="B664" t="str">
            <v>Lightning</v>
          </cell>
          <cell r="C664">
            <v>1</v>
          </cell>
        </row>
        <row r="665">
          <cell r="B665" t="str">
            <v>Flooding or heavy rain</v>
          </cell>
          <cell r="C665">
            <v>3</v>
          </cell>
        </row>
        <row r="666">
          <cell r="B666" t="str">
            <v>Soil Movement</v>
          </cell>
          <cell r="C666">
            <v>1</v>
          </cell>
        </row>
        <row r="669">
          <cell r="B669" t="str">
            <v>Pipeline - Steel</v>
          </cell>
          <cell r="C669">
            <v>5</v>
          </cell>
        </row>
        <row r="670">
          <cell r="B670" t="str">
            <v>Pipeline - Plastic</v>
          </cell>
          <cell r="C670">
            <v>4</v>
          </cell>
        </row>
        <row r="671">
          <cell r="B671" t="str">
            <v>Pipeline - Cast Iron</v>
          </cell>
          <cell r="C671">
            <v>5</v>
          </cell>
        </row>
        <row r="672">
          <cell r="B672" t="str">
            <v>Valve</v>
          </cell>
          <cell r="C672">
            <v>3</v>
          </cell>
        </row>
        <row r="673">
          <cell r="B673" t="str">
            <v>Pipeline Heater</v>
          </cell>
          <cell r="C673">
            <v>3</v>
          </cell>
        </row>
        <row r="674">
          <cell r="B674" t="str">
            <v>Odorizer</v>
          </cell>
          <cell r="C674">
            <v>3</v>
          </cell>
        </row>
        <row r="675">
          <cell r="B675" t="str">
            <v>Filter</v>
          </cell>
          <cell r="C675">
            <v>2</v>
          </cell>
        </row>
        <row r="676">
          <cell r="B676" t="str">
            <v>Pressure Control</v>
          </cell>
          <cell r="C676">
            <v>4</v>
          </cell>
        </row>
        <row r="677">
          <cell r="B677" t="str">
            <v>Meter</v>
          </cell>
          <cell r="C677">
            <v>4</v>
          </cell>
        </row>
        <row r="678">
          <cell r="B678" t="str">
            <v>Service Line - Steel</v>
          </cell>
          <cell r="C678">
            <v>5</v>
          </cell>
        </row>
        <row r="679">
          <cell r="B679" t="str">
            <v>Service Line - Plastic</v>
          </cell>
          <cell r="C679">
            <v>4</v>
          </cell>
        </row>
        <row r="680">
          <cell r="B680" t="str">
            <v>Service Line - Other</v>
          </cell>
          <cell r="C680">
            <v>5</v>
          </cell>
        </row>
        <row r="681">
          <cell r="B681" t="str">
            <v>Gas Quality Equip</v>
          </cell>
          <cell r="C681">
            <v>2</v>
          </cell>
        </row>
        <row r="684">
          <cell r="B684" t="str">
            <v>Unknown</v>
          </cell>
          <cell r="C684">
            <v>3</v>
          </cell>
        </row>
        <row r="685">
          <cell r="B685" t="str">
            <v>2000-current</v>
          </cell>
          <cell r="C685">
            <v>1</v>
          </cell>
        </row>
        <row r="686">
          <cell r="B686" t="str">
            <v>1985 - 1999</v>
          </cell>
          <cell r="C686">
            <v>2</v>
          </cell>
        </row>
        <row r="687">
          <cell r="B687" t="str">
            <v>1971 - 1985</v>
          </cell>
          <cell r="C687">
            <v>4</v>
          </cell>
        </row>
        <row r="688">
          <cell r="B688" t="str">
            <v>1955 -1970</v>
          </cell>
          <cell r="C688">
            <v>4</v>
          </cell>
        </row>
        <row r="689">
          <cell r="B689" t="str">
            <v>Prior to 1955</v>
          </cell>
          <cell r="C689">
            <v>5</v>
          </cell>
        </row>
        <row r="690">
          <cell r="B690" t="str">
            <v>N/A</v>
          </cell>
          <cell r="C690">
            <v>3</v>
          </cell>
        </row>
        <row r="693">
          <cell r="B693" t="str">
            <v>Unknown</v>
          </cell>
          <cell r="C693">
            <v>5</v>
          </cell>
        </row>
        <row r="694">
          <cell r="B694" t="str">
            <v>HP Dist: &gt; 60 psig &amp; &lt;20%</v>
          </cell>
          <cell r="C694">
            <v>2</v>
          </cell>
        </row>
        <row r="695">
          <cell r="B695" t="str">
            <v>Distribution &lt;60psig</v>
          </cell>
          <cell r="C695">
            <v>1</v>
          </cell>
        </row>
        <row r="696">
          <cell r="B696" t="str">
            <v>Transmission: 20% - 30%</v>
          </cell>
          <cell r="C696">
            <v>3</v>
          </cell>
        </row>
        <row r="697">
          <cell r="B697" t="str">
            <v>Transmission: 30% - 50%</v>
          </cell>
          <cell r="C697">
            <v>4</v>
          </cell>
        </row>
        <row r="698">
          <cell r="B698" t="str">
            <v>Transmission: &gt; 50%</v>
          </cell>
          <cell r="C698">
            <v>5</v>
          </cell>
        </row>
        <row r="701">
          <cell r="B701" t="str">
            <v>Yes</v>
          </cell>
          <cell r="C701">
            <v>4</v>
          </cell>
        </row>
        <row r="702">
          <cell r="B702" t="str">
            <v>No</v>
          </cell>
          <cell r="C702">
            <v>1</v>
          </cell>
        </row>
        <row r="703">
          <cell r="B703" t="str">
            <v>N/A</v>
          </cell>
          <cell r="C703">
            <v>1</v>
          </cell>
        </row>
        <row r="706">
          <cell r="B706" t="str">
            <v>Residential</v>
          </cell>
          <cell r="C706">
            <v>4</v>
          </cell>
        </row>
        <row r="707">
          <cell r="B707" t="str">
            <v>Business District</v>
          </cell>
          <cell r="C707">
            <v>5</v>
          </cell>
        </row>
        <row r="708">
          <cell r="B708" t="str">
            <v>Rural</v>
          </cell>
          <cell r="C708">
            <v>2</v>
          </cell>
        </row>
        <row r="709">
          <cell r="B709" t="str">
            <v>Class 1  (1-10)</v>
          </cell>
          <cell r="C709">
            <v>1</v>
          </cell>
        </row>
        <row r="710">
          <cell r="B710" t="str">
            <v>Class 2 (11-46)</v>
          </cell>
          <cell r="C710">
            <v>2</v>
          </cell>
        </row>
        <row r="711">
          <cell r="B711" t="str">
            <v>Class 3 (&gt;  46)</v>
          </cell>
          <cell r="C711">
            <v>4</v>
          </cell>
        </row>
        <row r="712">
          <cell r="B712" t="str">
            <v>Class 4 (4+stories bldgs)</v>
          </cell>
          <cell r="C712">
            <v>5</v>
          </cell>
        </row>
        <row r="715">
          <cell r="B715" t="str">
            <v>&lt; 1yr</v>
          </cell>
          <cell r="C715">
            <v>5</v>
          </cell>
        </row>
        <row r="716">
          <cell r="B716" t="str">
            <v>&gt; 1 yr / &lt; 2 yr</v>
          </cell>
          <cell r="C716">
            <v>4</v>
          </cell>
        </row>
        <row r="717">
          <cell r="B717" t="str">
            <v>&gt; 2 yr / &lt; 3 yr</v>
          </cell>
          <cell r="C717">
            <v>3</v>
          </cell>
        </row>
        <row r="718">
          <cell r="B718" t="str">
            <v>&gt; 3 yr / &lt; 4 yr</v>
          </cell>
          <cell r="C718">
            <v>2</v>
          </cell>
        </row>
        <row r="719">
          <cell r="B719" t="str">
            <v>&gt; 4 yr / &lt; 5 yr</v>
          </cell>
          <cell r="C719">
            <v>1</v>
          </cell>
        </row>
        <row r="720">
          <cell r="B720" t="str">
            <v>N/A</v>
          </cell>
          <cell r="C720">
            <v>0</v>
          </cell>
        </row>
        <row r="723">
          <cell r="B723" t="str">
            <v>Ready to inspect</v>
          </cell>
          <cell r="C723">
            <v>1</v>
          </cell>
        </row>
        <row r="724">
          <cell r="B724" t="str">
            <v>Traps in place + Minor modifications needed</v>
          </cell>
          <cell r="C724">
            <v>2</v>
          </cell>
        </row>
        <row r="725">
          <cell r="B725" t="str">
            <v>Traps required + Minor modifications needed</v>
          </cell>
          <cell r="C725">
            <v>3</v>
          </cell>
        </row>
        <row r="726">
          <cell r="B726" t="str">
            <v>Traps required + Major modifications needed</v>
          </cell>
          <cell r="C726">
            <v>4</v>
          </cell>
        </row>
        <row r="727">
          <cell r="B727" t="str">
            <v>Not feasible for modification to all smart pigging</v>
          </cell>
          <cell r="C727">
            <v>5</v>
          </cell>
        </row>
        <row r="728">
          <cell r="B728" t="str">
            <v>N/A</v>
          </cell>
          <cell r="C728">
            <v>1</v>
          </cell>
        </row>
        <row r="731">
          <cell r="B731" t="str">
            <v>Wall/Wall Pavement</v>
          </cell>
          <cell r="C731">
            <v>5</v>
          </cell>
        </row>
        <row r="732">
          <cell r="B732" t="str">
            <v>Cased Crossing</v>
          </cell>
          <cell r="C732">
            <v>2</v>
          </cell>
        </row>
        <row r="733">
          <cell r="B733" t="str">
            <v>Non- Cased Crossing</v>
          </cell>
          <cell r="C733">
            <v>4</v>
          </cell>
        </row>
        <row r="734">
          <cell r="B734" t="str">
            <v>Extra Depth</v>
          </cell>
          <cell r="C734">
            <v>4</v>
          </cell>
        </row>
        <row r="735">
          <cell r="B735" t="str">
            <v>Water Crossing</v>
          </cell>
          <cell r="C735">
            <v>5</v>
          </cell>
        </row>
        <row r="736">
          <cell r="B736" t="str">
            <v>Farm / Native Soil</v>
          </cell>
          <cell r="C736">
            <v>2</v>
          </cell>
        </row>
        <row r="737">
          <cell r="B737" t="str">
            <v>Above-Ground</v>
          </cell>
          <cell r="C737">
            <v>2</v>
          </cell>
        </row>
        <row r="738">
          <cell r="B738" t="str">
            <v>Below-Ground - Pit / Vault</v>
          </cell>
          <cell r="C738">
            <v>3</v>
          </cell>
        </row>
        <row r="739">
          <cell r="B739" t="str">
            <v>Street / Public ROW</v>
          </cell>
          <cell r="C739">
            <v>4</v>
          </cell>
        </row>
        <row r="742">
          <cell r="B742" t="str">
            <v>Time Sensitive (Current Year)</v>
          </cell>
          <cell r="C742">
            <v>5</v>
          </cell>
        </row>
        <row r="743">
          <cell r="B743" t="str">
            <v>Time Sensitive (1-2 years)</v>
          </cell>
          <cell r="C743">
            <v>3</v>
          </cell>
        </row>
        <row r="744">
          <cell r="B744" t="str">
            <v>Time Sensitive (3-5 years)</v>
          </cell>
          <cell r="C744">
            <v>2</v>
          </cell>
        </row>
        <row r="745">
          <cell r="B745" t="str">
            <v>Operations &amp; Maintenance</v>
          </cell>
          <cell r="C745">
            <v>1</v>
          </cell>
        </row>
        <row r="746">
          <cell r="B746" t="str">
            <v xml:space="preserve">High Impact </v>
          </cell>
          <cell r="C746">
            <v>5</v>
          </cell>
        </row>
        <row r="749">
          <cell r="B749" t="str">
            <v>Local</v>
          </cell>
          <cell r="C749">
            <v>3</v>
          </cell>
        </row>
        <row r="750">
          <cell r="B750" t="str">
            <v>State Permit</v>
          </cell>
          <cell r="C750">
            <v>4</v>
          </cell>
        </row>
        <row r="751">
          <cell r="B751" t="str">
            <v>Federal Permit</v>
          </cell>
          <cell r="C751">
            <v>5</v>
          </cell>
        </row>
        <row r="752">
          <cell r="B752" t="str">
            <v>Environmental</v>
          </cell>
          <cell r="C752">
            <v>5</v>
          </cell>
        </row>
        <row r="753">
          <cell r="B753" t="str">
            <v>No Long Lead Permits</v>
          </cell>
          <cell r="C753">
            <v>1</v>
          </cell>
        </row>
        <row r="756">
          <cell r="B756" t="str">
            <v>Low PSI / Capacity</v>
          </cell>
          <cell r="C756">
            <v>4</v>
          </cell>
        </row>
        <row r="757">
          <cell r="B757" t="str">
            <v>Water</v>
          </cell>
          <cell r="C757">
            <v>5</v>
          </cell>
        </row>
        <row r="758">
          <cell r="B758" t="str">
            <v>Unlocatable Pipe</v>
          </cell>
          <cell r="C758">
            <v>5</v>
          </cell>
        </row>
        <row r="759">
          <cell r="B759" t="str">
            <v>None Identified</v>
          </cell>
          <cell r="C759">
            <v>0</v>
          </cell>
        </row>
        <row r="762">
          <cell r="B762" t="str">
            <v>Long Lead Time</v>
          </cell>
          <cell r="C762">
            <v>4</v>
          </cell>
        </row>
        <row r="763">
          <cell r="B763" t="str">
            <v xml:space="preserve">Obsolete Material </v>
          </cell>
          <cell r="C763">
            <v>5</v>
          </cell>
        </row>
        <row r="764">
          <cell r="B764" t="str">
            <v>Material Available</v>
          </cell>
          <cell r="C764">
            <v>1</v>
          </cell>
        </row>
      </sheetData>
      <sheetData sheetId="9" refreshError="1">
        <row r="2">
          <cell r="A2" t="str">
            <v>NE4001</v>
          </cell>
          <cell r="B2">
            <v>25.5854</v>
          </cell>
        </row>
        <row r="3">
          <cell r="A3" t="str">
            <v>NE4001</v>
          </cell>
          <cell r="B3">
            <v>5.8658663214730797</v>
          </cell>
        </row>
        <row r="4">
          <cell r="A4" t="str">
            <v>NE4002</v>
          </cell>
          <cell r="B4">
            <v>5.9173999999999998</v>
          </cell>
        </row>
        <row r="5">
          <cell r="A5" t="str">
            <v>NE4002</v>
          </cell>
          <cell r="B5">
            <v>5.8531805250536504</v>
          </cell>
        </row>
        <row r="6">
          <cell r="A6" t="str">
            <v>NE4003</v>
          </cell>
          <cell r="B6">
            <v>22.232199999999999</v>
          </cell>
        </row>
        <row r="7">
          <cell r="A7" t="str">
            <v>NE4003</v>
          </cell>
          <cell r="B7">
            <v>5.8404947286342299</v>
          </cell>
        </row>
        <row r="8">
          <cell r="A8" t="str">
            <v>NE4004</v>
          </cell>
          <cell r="B8">
            <v>19.491099999999999</v>
          </cell>
        </row>
        <row r="9">
          <cell r="A9" t="str">
            <v>NE4004</v>
          </cell>
          <cell r="B9">
            <v>5.8278089322148103</v>
          </cell>
        </row>
        <row r="10">
          <cell r="A10" t="str">
            <v>NE4005</v>
          </cell>
          <cell r="B10">
            <v>14.8757</v>
          </cell>
        </row>
        <row r="11">
          <cell r="A11" t="str">
            <v>NE4005</v>
          </cell>
          <cell r="B11">
            <v>5.8151231357953899</v>
          </cell>
        </row>
        <row r="12">
          <cell r="A12" t="str">
            <v>NE4006</v>
          </cell>
          <cell r="B12">
            <v>16.962199999999999</v>
          </cell>
        </row>
        <row r="13">
          <cell r="A13" t="str">
            <v>NE4006</v>
          </cell>
          <cell r="B13">
            <v>5.8024373393759703</v>
          </cell>
        </row>
        <row r="14">
          <cell r="A14" t="str">
            <v>NE4007</v>
          </cell>
          <cell r="B14">
            <v>7.7610999999999999</v>
          </cell>
        </row>
        <row r="15">
          <cell r="A15" t="str">
            <v>NE4007</v>
          </cell>
          <cell r="B15">
            <v>5.7897515429565498</v>
          </cell>
        </row>
        <row r="16">
          <cell r="A16" t="str">
            <v>NE4008</v>
          </cell>
          <cell r="B16">
            <v>9.7829999999999995</v>
          </cell>
        </row>
        <row r="17">
          <cell r="A17" t="str">
            <v>NE4008</v>
          </cell>
          <cell r="B17">
            <v>5.7770657465371302</v>
          </cell>
        </row>
        <row r="18">
          <cell r="A18" t="str">
            <v>NE4009</v>
          </cell>
          <cell r="B18">
            <v>15.1386</v>
          </cell>
        </row>
        <row r="19">
          <cell r="A19" t="str">
            <v>NE4009</v>
          </cell>
          <cell r="B19">
            <v>5.7643799501177098</v>
          </cell>
        </row>
        <row r="20">
          <cell r="A20" t="str">
            <v>NE4010</v>
          </cell>
          <cell r="B20">
            <v>11.228899999999999</v>
          </cell>
        </row>
        <row r="21">
          <cell r="A21" t="str">
            <v>NE4010</v>
          </cell>
          <cell r="B21">
            <v>5.7516941536982902</v>
          </cell>
        </row>
        <row r="22">
          <cell r="A22" t="str">
            <v>NE4012</v>
          </cell>
          <cell r="B22">
            <v>19.5243</v>
          </cell>
        </row>
        <row r="23">
          <cell r="A23" t="str">
            <v>NE4012</v>
          </cell>
          <cell r="B23">
            <v>5.7390083572788697</v>
          </cell>
        </row>
        <row r="24">
          <cell r="A24" t="str">
            <v>NE4013</v>
          </cell>
          <cell r="B24">
            <v>9.1304999999999996</v>
          </cell>
        </row>
        <row r="25">
          <cell r="A25" t="str">
            <v>NE4013</v>
          </cell>
          <cell r="B25">
            <v>5.7263225608594501</v>
          </cell>
        </row>
        <row r="26">
          <cell r="A26" t="str">
            <v>NE4014</v>
          </cell>
          <cell r="B26">
            <v>8.7512000000000008</v>
          </cell>
        </row>
        <row r="27">
          <cell r="A27" t="str">
            <v>NE4014</v>
          </cell>
          <cell r="B27">
            <v>5.7136367644400297</v>
          </cell>
        </row>
        <row r="28">
          <cell r="A28" t="str">
            <v>NE4015</v>
          </cell>
          <cell r="B28">
            <v>20.802199999999999</v>
          </cell>
        </row>
        <row r="29">
          <cell r="A29" t="str">
            <v>NE4015</v>
          </cell>
          <cell r="B29">
            <v>5.7009509680206101</v>
          </cell>
        </row>
        <row r="30">
          <cell r="A30" t="str">
            <v>NE4016</v>
          </cell>
          <cell r="B30">
            <v>9.4640000000000004</v>
          </cell>
        </row>
        <row r="31">
          <cell r="A31" t="str">
            <v>NE4016</v>
          </cell>
          <cell r="B31">
            <v>5.6882651716011896</v>
          </cell>
        </row>
        <row r="32">
          <cell r="A32" t="str">
            <v>NE4017</v>
          </cell>
          <cell r="B32">
            <v>11.6906</v>
          </cell>
        </row>
        <row r="33">
          <cell r="A33" t="str">
            <v>NE4017</v>
          </cell>
          <cell r="B33">
            <v>5.67557937518177</v>
          </cell>
        </row>
        <row r="34">
          <cell r="A34" t="str">
            <v>NE4018</v>
          </cell>
          <cell r="B34">
            <v>14.6402</v>
          </cell>
        </row>
        <row r="35">
          <cell r="A35" t="str">
            <v>NE4018</v>
          </cell>
          <cell r="B35">
            <v>5.6628935787623504</v>
          </cell>
        </row>
        <row r="36">
          <cell r="A36" t="str">
            <v>NE4019</v>
          </cell>
          <cell r="B36">
            <v>16.918600000000001</v>
          </cell>
        </row>
        <row r="37">
          <cell r="A37" t="str">
            <v>NE4019</v>
          </cell>
          <cell r="B37">
            <v>5.65020778234293</v>
          </cell>
        </row>
        <row r="38">
          <cell r="A38" t="str">
            <v>NE4019.S001</v>
          </cell>
          <cell r="B38">
            <v>7.9560000000000004</v>
          </cell>
        </row>
        <row r="39">
          <cell r="A39" t="str">
            <v>NE4019.S002</v>
          </cell>
          <cell r="B39">
            <v>7.5612000000000004</v>
          </cell>
        </row>
        <row r="40">
          <cell r="A40" t="str">
            <v>NE4019.S003</v>
          </cell>
          <cell r="B40">
            <v>7.3944999999999999</v>
          </cell>
        </row>
        <row r="41">
          <cell r="A41" t="str">
            <v>NE4019.S004</v>
          </cell>
          <cell r="B41">
            <v>8.0806000000000004</v>
          </cell>
        </row>
        <row r="42">
          <cell r="A42" t="str">
            <v>NE4019.S005</v>
          </cell>
          <cell r="B42">
            <v>7.2789000000000001</v>
          </cell>
        </row>
        <row r="43">
          <cell r="A43" t="str">
            <v>NE4019.S006</v>
          </cell>
          <cell r="B43">
            <v>5.6375219859235104</v>
          </cell>
        </row>
        <row r="44">
          <cell r="A44" t="str">
            <v>NE4019.S007</v>
          </cell>
          <cell r="B44">
            <v>5.6248361895040899</v>
          </cell>
        </row>
        <row r="45">
          <cell r="A45" t="str">
            <v>NE4019.S008</v>
          </cell>
          <cell r="B45">
            <v>5.6121503930846703</v>
          </cell>
        </row>
        <row r="46">
          <cell r="A46" t="str">
            <v>NE4019.S009</v>
          </cell>
          <cell r="B46">
            <v>5.5994645966652499</v>
          </cell>
        </row>
        <row r="47">
          <cell r="A47" t="str">
            <v>NE4019.S010</v>
          </cell>
          <cell r="B47">
            <v>5.5867788002458303</v>
          </cell>
        </row>
        <row r="48">
          <cell r="A48" t="str">
            <v>NE4020</v>
          </cell>
          <cell r="B48">
            <v>9.7838999999999992</v>
          </cell>
        </row>
        <row r="49">
          <cell r="A49" t="str">
            <v>NE4020</v>
          </cell>
          <cell r="B49">
            <v>5.5740930038264098</v>
          </cell>
        </row>
        <row r="50">
          <cell r="A50" t="str">
            <v>NE4021</v>
          </cell>
          <cell r="B50">
            <v>9.0787999999999993</v>
          </cell>
        </row>
        <row r="51">
          <cell r="A51" t="str">
            <v>NE4022</v>
          </cell>
          <cell r="B51">
            <v>15.7196</v>
          </cell>
        </row>
        <row r="52">
          <cell r="A52" t="str">
            <v>NE4023</v>
          </cell>
          <cell r="B52">
            <v>18.476299999999998</v>
          </cell>
        </row>
        <row r="53">
          <cell r="A53" t="str">
            <v>NE4024</v>
          </cell>
          <cell r="B53">
            <v>14.3795</v>
          </cell>
        </row>
        <row r="54">
          <cell r="A54" t="str">
            <v>NE4025</v>
          </cell>
          <cell r="B54">
            <v>8.8272999999999993</v>
          </cell>
        </row>
        <row r="55">
          <cell r="A55" t="str">
            <v>NE4027</v>
          </cell>
          <cell r="B55">
            <v>8.1514000000000006</v>
          </cell>
        </row>
        <row r="56">
          <cell r="A56" t="str">
            <v>NE4028</v>
          </cell>
          <cell r="B56">
            <v>6.8855000000000004</v>
          </cell>
        </row>
        <row r="57">
          <cell r="A57" t="str">
            <v>NE4029</v>
          </cell>
          <cell r="B57">
            <v>17.158999999999999</v>
          </cell>
        </row>
        <row r="58">
          <cell r="A58" t="str">
            <v>NE4030</v>
          </cell>
          <cell r="B58">
            <v>8.3254000000000001</v>
          </cell>
        </row>
        <row r="59">
          <cell r="A59" t="str">
            <v>NE4031</v>
          </cell>
          <cell r="B59">
            <v>11.6645</v>
          </cell>
        </row>
        <row r="60">
          <cell r="A60" t="str">
            <v>NE4031.S001</v>
          </cell>
          <cell r="B60">
            <v>5.9587000000000003</v>
          </cell>
        </row>
        <row r="61">
          <cell r="A61" t="str">
            <v>NE4032</v>
          </cell>
          <cell r="B61">
            <v>7.4653999999999998</v>
          </cell>
        </row>
        <row r="62">
          <cell r="A62" t="str">
            <v>NE4033</v>
          </cell>
          <cell r="B62">
            <v>6.5876000000000001</v>
          </cell>
        </row>
        <row r="63">
          <cell r="A63" t="str">
            <v>NS5001</v>
          </cell>
          <cell r="B63">
            <v>16.450099999999999</v>
          </cell>
        </row>
        <row r="64">
          <cell r="A64" t="str">
            <v>NS5002</v>
          </cell>
          <cell r="B64">
            <v>21.3827</v>
          </cell>
        </row>
        <row r="65">
          <cell r="A65" t="str">
            <v>NS5003</v>
          </cell>
          <cell r="B65">
            <v>22.5594</v>
          </cell>
        </row>
        <row r="66">
          <cell r="A66" t="str">
            <v>NS5004</v>
          </cell>
          <cell r="B66">
            <v>16.045100000000001</v>
          </cell>
        </row>
        <row r="67">
          <cell r="A67" t="str">
            <v>NS5005</v>
          </cell>
          <cell r="B67">
            <v>19.691299999999998</v>
          </cell>
        </row>
        <row r="68">
          <cell r="A68" t="str">
            <v>NS5006</v>
          </cell>
          <cell r="B68">
            <v>25.665400000000002</v>
          </cell>
        </row>
        <row r="69">
          <cell r="A69" t="str">
            <v>NS5007</v>
          </cell>
          <cell r="B69">
            <v>9.3331</v>
          </cell>
        </row>
        <row r="70">
          <cell r="A70" t="str">
            <v>NS5008</v>
          </cell>
          <cell r="B70">
            <v>17.103999999999999</v>
          </cell>
        </row>
        <row r="71">
          <cell r="A71" t="str">
            <v>NS5009</v>
          </cell>
          <cell r="B71">
            <v>13.572100000000001</v>
          </cell>
        </row>
        <row r="72">
          <cell r="A72" t="str">
            <v>NS5010</v>
          </cell>
          <cell r="B72">
            <v>13.195</v>
          </cell>
        </row>
        <row r="73">
          <cell r="A73" t="str">
            <v>NS5011</v>
          </cell>
          <cell r="B73">
            <v>14.6777</v>
          </cell>
        </row>
        <row r="74">
          <cell r="A74" t="str">
            <v>NS5012</v>
          </cell>
          <cell r="B74">
            <v>14.6777</v>
          </cell>
        </row>
        <row r="75">
          <cell r="A75" t="str">
            <v>NS5013</v>
          </cell>
          <cell r="B75">
            <v>16.872399999999999</v>
          </cell>
        </row>
        <row r="76">
          <cell r="A76" t="str">
            <v>NS5014</v>
          </cell>
          <cell r="B76">
            <v>21.509599999999999</v>
          </cell>
        </row>
        <row r="77">
          <cell r="A77" t="str">
            <v>NS5015</v>
          </cell>
          <cell r="B77">
            <v>15.69</v>
          </cell>
        </row>
        <row r="78">
          <cell r="A78" t="str">
            <v>NS5015.S001</v>
          </cell>
          <cell r="B78">
            <v>10.0623</v>
          </cell>
        </row>
        <row r="79">
          <cell r="A79" t="str">
            <v>NS5015.S002</v>
          </cell>
          <cell r="B79">
            <v>10.6073</v>
          </cell>
        </row>
        <row r="80">
          <cell r="A80" t="str">
            <v>NS5015.S003</v>
          </cell>
          <cell r="B80">
            <v>9.9100999999999999</v>
          </cell>
        </row>
        <row r="81">
          <cell r="A81" t="str">
            <v>NS5015.S004</v>
          </cell>
          <cell r="B81">
            <v>6.9173999999999998</v>
          </cell>
        </row>
        <row r="82">
          <cell r="A82" t="str">
            <v>NS5015.S005</v>
          </cell>
          <cell r="B82">
            <v>9.8962000000000003</v>
          </cell>
        </row>
        <row r="83">
          <cell r="A83" t="str">
            <v>NS5015.S006</v>
          </cell>
          <cell r="B83">
            <v>9.8962000000000003</v>
          </cell>
        </row>
        <row r="84">
          <cell r="A84" t="str">
            <v>NS5016</v>
          </cell>
          <cell r="B84">
            <v>24.632400000000001</v>
          </cell>
        </row>
        <row r="85">
          <cell r="A85" t="str">
            <v>NS5017</v>
          </cell>
          <cell r="B85">
            <v>20.200800000000001</v>
          </cell>
        </row>
        <row r="86">
          <cell r="A86" t="str">
            <v>NS5050</v>
          </cell>
          <cell r="B86">
            <v>10.5313</v>
          </cell>
        </row>
        <row r="87">
          <cell r="A87" t="str">
            <v>NS5051</v>
          </cell>
          <cell r="B87">
            <v>12.170199999999999</v>
          </cell>
        </row>
        <row r="88">
          <cell r="A88" t="str">
            <v>NS5052</v>
          </cell>
          <cell r="B88">
            <v>14.451499999999999</v>
          </cell>
        </row>
        <row r="89">
          <cell r="A89" t="str">
            <v>NS5053</v>
          </cell>
          <cell r="B89">
            <v>11.0344</v>
          </cell>
        </row>
        <row r="90">
          <cell r="A90" t="str">
            <v>NS5054</v>
          </cell>
          <cell r="B90">
            <v>4.9283999999999999</v>
          </cell>
        </row>
        <row r="91">
          <cell r="A91" t="str">
            <v>NS5055</v>
          </cell>
          <cell r="B91">
            <v>13.318899999999999</v>
          </cell>
        </row>
        <row r="92">
          <cell r="A92" t="str">
            <v>NS5056</v>
          </cell>
          <cell r="B92">
            <v>15.259600000000001</v>
          </cell>
        </row>
        <row r="93">
          <cell r="A93" t="str">
            <v>NS5057</v>
          </cell>
          <cell r="B93">
            <v>19.988900000000001</v>
          </cell>
        </row>
        <row r="94">
          <cell r="A94" t="str">
            <v>NS5058</v>
          </cell>
          <cell r="B94">
            <v>19.9072</v>
          </cell>
        </row>
        <row r="95">
          <cell r="A95" t="str">
            <v>NS5059</v>
          </cell>
          <cell r="B95">
            <v>16.035699999999999</v>
          </cell>
        </row>
        <row r="96">
          <cell r="A96" t="str">
            <v>NS5060</v>
          </cell>
          <cell r="B96">
            <v>13.531499999999999</v>
          </cell>
        </row>
        <row r="97">
          <cell r="A97" t="str">
            <v>NS5061</v>
          </cell>
          <cell r="B97">
            <v>18.7348</v>
          </cell>
        </row>
        <row r="98">
          <cell r="A98" t="str">
            <v>NS5120</v>
          </cell>
          <cell r="B98">
            <v>22.799700000000001</v>
          </cell>
        </row>
        <row r="99">
          <cell r="A99" t="str">
            <v>NS5140</v>
          </cell>
          <cell r="B99">
            <v>20.581199999999999</v>
          </cell>
        </row>
        <row r="100">
          <cell r="A100" t="str">
            <v>NS5141</v>
          </cell>
          <cell r="B100">
            <v>13.4992</v>
          </cell>
        </row>
        <row r="101">
          <cell r="A101" t="str">
            <v>NS5142</v>
          </cell>
          <cell r="B101">
            <v>23.835100000000001</v>
          </cell>
        </row>
        <row r="102">
          <cell r="A102" t="str">
            <v>NS5143</v>
          </cell>
          <cell r="B102">
            <v>25.8094</v>
          </cell>
        </row>
        <row r="103">
          <cell r="A103" t="str">
            <v>NS5144</v>
          </cell>
          <cell r="B103">
            <v>15.3095</v>
          </cell>
        </row>
        <row r="104">
          <cell r="A104" t="str">
            <v>NS5145</v>
          </cell>
          <cell r="B104">
            <v>19.7727</v>
          </cell>
        </row>
        <row r="105">
          <cell r="A105" t="str">
            <v>NS5146</v>
          </cell>
          <cell r="B105">
            <v>12.562799999999999</v>
          </cell>
        </row>
        <row r="106">
          <cell r="A106" t="str">
            <v>NS5147</v>
          </cell>
          <cell r="B106">
            <v>13.1195</v>
          </cell>
        </row>
        <row r="107">
          <cell r="A107" t="str">
            <v>NS5148</v>
          </cell>
          <cell r="B107">
            <v>8.0152999999999999</v>
          </cell>
        </row>
        <row r="108">
          <cell r="A108" t="str">
            <v>NS5149</v>
          </cell>
          <cell r="B108">
            <v>7.1919000000000004</v>
          </cell>
        </row>
        <row r="109">
          <cell r="A109" t="str">
            <v>NS5150</v>
          </cell>
          <cell r="B109">
            <v>10.012700000000001</v>
          </cell>
        </row>
        <row r="110">
          <cell r="A110" t="str">
            <v>NS5700</v>
          </cell>
          <cell r="B110">
            <v>5.4846000000000004</v>
          </cell>
        </row>
        <row r="111">
          <cell r="A111" t="str">
            <v>NS5701</v>
          </cell>
          <cell r="B111">
            <v>5.3495999999999997</v>
          </cell>
        </row>
        <row r="112">
          <cell r="A112" t="str">
            <v>NS5702</v>
          </cell>
          <cell r="B112">
            <v>5.2632000000000003</v>
          </cell>
        </row>
        <row r="113">
          <cell r="A113" t="str">
            <v>NS5703</v>
          </cell>
          <cell r="B113">
            <v>5.3872</v>
          </cell>
        </row>
        <row r="114">
          <cell r="A114" t="str">
            <v>NS5704</v>
          </cell>
          <cell r="B114">
            <v>5.2365000000000004</v>
          </cell>
        </row>
        <row r="115">
          <cell r="A115" t="str">
            <v>NS5705</v>
          </cell>
          <cell r="B115">
            <v>5.2632000000000003</v>
          </cell>
        </row>
        <row r="116">
          <cell r="A116" t="str">
            <v>NS5706</v>
          </cell>
          <cell r="B116">
            <v>4.9194000000000004</v>
          </cell>
        </row>
        <row r="117">
          <cell r="A117" t="str">
            <v>NS5707</v>
          </cell>
          <cell r="B117">
            <v>5.3045</v>
          </cell>
        </row>
        <row r="118">
          <cell r="A118" t="str">
            <v>NS5708</v>
          </cell>
          <cell r="B118">
            <v>5.4020000000000001</v>
          </cell>
        </row>
        <row r="119">
          <cell r="A119" t="str">
            <v>NS5709</v>
          </cell>
          <cell r="B119">
            <v>4.9127999999999998</v>
          </cell>
        </row>
        <row r="120">
          <cell r="A120" t="str">
            <v>NS5710</v>
          </cell>
          <cell r="B120">
            <v>5.5403000000000002</v>
          </cell>
        </row>
        <row r="121">
          <cell r="A121" t="str">
            <v>NS5711</v>
          </cell>
          <cell r="B121">
            <v>5.2778</v>
          </cell>
        </row>
        <row r="122">
          <cell r="A122" t="str">
            <v>NS5712</v>
          </cell>
          <cell r="B122">
            <v>5.1329000000000002</v>
          </cell>
        </row>
        <row r="123">
          <cell r="A123" t="str">
            <v>NS5713</v>
          </cell>
          <cell r="B123">
            <v>4.9177999999999997</v>
          </cell>
        </row>
        <row r="124">
          <cell r="A124" t="str">
            <v>NS5714</v>
          </cell>
          <cell r="B124">
            <v>5.2365000000000004</v>
          </cell>
        </row>
        <row r="125">
          <cell r="A125" t="str">
            <v>NS5715</v>
          </cell>
          <cell r="B125">
            <v>5.1489000000000003</v>
          </cell>
        </row>
        <row r="126">
          <cell r="A126" t="str">
            <v>NS5716</v>
          </cell>
          <cell r="B126">
            <v>5.2728999999999999</v>
          </cell>
        </row>
        <row r="127">
          <cell r="A127" t="str">
            <v>NS5717</v>
          </cell>
          <cell r="B127">
            <v>8.16</v>
          </cell>
        </row>
        <row r="128">
          <cell r="A128" t="str">
            <v>NS5718</v>
          </cell>
          <cell r="B128">
            <v>5.3956</v>
          </cell>
        </row>
        <row r="129">
          <cell r="A129" t="str">
            <v>NS5719</v>
          </cell>
          <cell r="B129">
            <v>5.2632000000000003</v>
          </cell>
        </row>
        <row r="130">
          <cell r="A130" t="str">
            <v>NS5720</v>
          </cell>
          <cell r="B130">
            <v>6.6661000000000001</v>
          </cell>
        </row>
        <row r="131">
          <cell r="A131" t="str">
            <v>NS5721</v>
          </cell>
          <cell r="B131">
            <v>5.4162999999999997</v>
          </cell>
        </row>
        <row r="132">
          <cell r="A132" t="str">
            <v>NS5750</v>
          </cell>
          <cell r="B132">
            <v>9.7805999999999997</v>
          </cell>
        </row>
        <row r="133">
          <cell r="A133" t="str">
            <v>NS5751</v>
          </cell>
          <cell r="B133">
            <v>7.4444999999999997</v>
          </cell>
        </row>
        <row r="134">
          <cell r="A134" t="str">
            <v>NS5752</v>
          </cell>
          <cell r="B134">
            <v>5.5195999999999996</v>
          </cell>
        </row>
        <row r="135">
          <cell r="A135" t="str">
            <v>NS5753</v>
          </cell>
          <cell r="B135">
            <v>5.5023</v>
          </cell>
        </row>
        <row r="136">
          <cell r="A136" t="str">
            <v>NS5754</v>
          </cell>
          <cell r="B136">
            <v>5.8654000000000002</v>
          </cell>
        </row>
        <row r="137">
          <cell r="A137" t="str">
            <v>NS5755</v>
          </cell>
          <cell r="B137">
            <v>5.3992000000000004</v>
          </cell>
        </row>
        <row r="138">
          <cell r="A138" t="str">
            <v>NS5756</v>
          </cell>
          <cell r="B138">
            <v>5.3388</v>
          </cell>
        </row>
        <row r="139">
          <cell r="A139" t="str">
            <v>NS5757</v>
          </cell>
          <cell r="B139">
            <v>5.4320000000000004</v>
          </cell>
        </row>
        <row r="140">
          <cell r="A140" t="str">
            <v>NS5758</v>
          </cell>
          <cell r="B140">
            <v>5.2598000000000003</v>
          </cell>
        </row>
        <row r="141">
          <cell r="A141" t="str">
            <v>NS5759</v>
          </cell>
          <cell r="B141">
            <v>5.0083000000000002</v>
          </cell>
        </row>
        <row r="142">
          <cell r="A142" t="str">
            <v>NS5760</v>
          </cell>
          <cell r="B142">
            <v>3.8660000000000001</v>
          </cell>
        </row>
        <row r="143">
          <cell r="A143" t="str">
            <v>NS5761</v>
          </cell>
          <cell r="B143">
            <v>4.9382000000000001</v>
          </cell>
        </row>
        <row r="144">
          <cell r="A144" t="str">
            <v>NS5762</v>
          </cell>
          <cell r="B144">
            <v>3.9592000000000001</v>
          </cell>
        </row>
        <row r="145">
          <cell r="A145" t="str">
            <v>NS5763</v>
          </cell>
          <cell r="B145">
            <v>5.0083000000000002</v>
          </cell>
        </row>
        <row r="146">
          <cell r="A146" t="str">
            <v>NS5764</v>
          </cell>
          <cell r="B146">
            <v>7.0011999999999999</v>
          </cell>
        </row>
        <row r="147">
          <cell r="A147" t="str">
            <v>NS5802</v>
          </cell>
          <cell r="B147">
            <v>11.166600000000001</v>
          </cell>
        </row>
        <row r="148">
          <cell r="A148" t="str">
            <v>NS5803</v>
          </cell>
          <cell r="B148">
            <v>15.2615</v>
          </cell>
        </row>
        <row r="149">
          <cell r="A149" t="str">
            <v>NS5805</v>
          </cell>
          <cell r="B149">
            <v>6.3529</v>
          </cell>
        </row>
        <row r="150">
          <cell r="A150" t="str">
            <v>NS5806</v>
          </cell>
          <cell r="B150">
            <v>4.2464000000000004</v>
          </cell>
        </row>
        <row r="151">
          <cell r="A151" t="str">
            <v>NS5807</v>
          </cell>
          <cell r="B151">
            <v>4.6325000000000003</v>
          </cell>
        </row>
        <row r="152">
          <cell r="A152" t="str">
            <v>NS5808</v>
          </cell>
          <cell r="B152">
            <v>5.7117000000000004</v>
          </cell>
        </row>
        <row r="153">
          <cell r="A153" t="str">
            <v>NS5809</v>
          </cell>
          <cell r="B153">
            <v>5.6182999999999996</v>
          </cell>
        </row>
        <row r="154">
          <cell r="A154" t="str">
            <v>NS5810</v>
          </cell>
          <cell r="B154">
            <v>7.1840999999999999</v>
          </cell>
        </row>
        <row r="155">
          <cell r="A155" t="str">
            <v>NS5811</v>
          </cell>
          <cell r="B155">
            <v>5.4781000000000004</v>
          </cell>
        </row>
        <row r="156">
          <cell r="A156" t="str">
            <v>NS5812</v>
          </cell>
          <cell r="B156">
            <v>5.7595000000000001</v>
          </cell>
        </row>
        <row r="157">
          <cell r="A157" t="str">
            <v>NS5813</v>
          </cell>
          <cell r="B157">
            <v>5.3731999999999998</v>
          </cell>
        </row>
        <row r="158">
          <cell r="A158" t="str">
            <v>NS5814</v>
          </cell>
          <cell r="B158">
            <v>4.1859999999999999</v>
          </cell>
        </row>
        <row r="159">
          <cell r="A159" t="str">
            <v>NS5815</v>
          </cell>
          <cell r="B159">
            <v>5.6738</v>
          </cell>
        </row>
        <row r="160">
          <cell r="A160" t="str">
            <v>NS5816</v>
          </cell>
          <cell r="B160">
            <v>10.759</v>
          </cell>
        </row>
        <row r="161">
          <cell r="A161" t="str">
            <v>NS5817</v>
          </cell>
          <cell r="B161">
            <v>8.7584999999999997</v>
          </cell>
        </row>
        <row r="162">
          <cell r="A162" t="str">
            <v>NS5818</v>
          </cell>
          <cell r="B162">
            <v>7.3224</v>
          </cell>
        </row>
        <row r="163">
          <cell r="A163" t="str">
            <v>NS5819</v>
          </cell>
          <cell r="B163">
            <v>5.4992999999999999</v>
          </cell>
        </row>
        <row r="164">
          <cell r="A164" t="str">
            <v>NS5820</v>
          </cell>
          <cell r="B164">
            <v>9.4727999999999994</v>
          </cell>
        </row>
        <row r="165">
          <cell r="A165" t="str">
            <v>NS5821</v>
          </cell>
          <cell r="B165">
            <v>7.0583</v>
          </cell>
        </row>
        <row r="166">
          <cell r="A166" t="str">
            <v>NS5822</v>
          </cell>
          <cell r="B166">
            <v>8.7406000000000006</v>
          </cell>
        </row>
        <row r="167">
          <cell r="A167" t="str">
            <v>NS5823</v>
          </cell>
          <cell r="B167">
            <v>6.8878000000000004</v>
          </cell>
        </row>
        <row r="168">
          <cell r="A168" t="str">
            <v>NS5824</v>
          </cell>
          <cell r="B168">
            <v>6.8878000000000004</v>
          </cell>
        </row>
        <row r="169">
          <cell r="A169" t="str">
            <v>NS5825</v>
          </cell>
          <cell r="B169">
            <v>6.9497</v>
          </cell>
        </row>
        <row r="170">
          <cell r="A170" t="str">
            <v>NS5826</v>
          </cell>
          <cell r="B170">
            <v>3.9506000000000001</v>
          </cell>
        </row>
        <row r="171">
          <cell r="A171" t="str">
            <v>NS5827</v>
          </cell>
          <cell r="B171">
            <v>7.2950999999999997</v>
          </cell>
        </row>
        <row r="172">
          <cell r="A172" t="str">
            <v>NS5828</v>
          </cell>
          <cell r="B172">
            <v>10.528700000000001</v>
          </cell>
        </row>
        <row r="173">
          <cell r="A173" t="str">
            <v>NS5829</v>
          </cell>
          <cell r="B173">
            <v>4.8102</v>
          </cell>
        </row>
        <row r="174">
          <cell r="A174" t="str">
            <v>NS5830</v>
          </cell>
          <cell r="B174">
            <v>4.1859999999999999</v>
          </cell>
        </row>
        <row r="175">
          <cell r="A175" t="str">
            <v>NS5831</v>
          </cell>
          <cell r="B175">
            <v>5.7264999999999997</v>
          </cell>
        </row>
        <row r="176">
          <cell r="A176" t="str">
            <v>NS5832</v>
          </cell>
          <cell r="B176">
            <v>4.3658999999999999</v>
          </cell>
        </row>
        <row r="177">
          <cell r="A177" t="str">
            <v>NS5833</v>
          </cell>
          <cell r="B177">
            <v>6.9389000000000003</v>
          </cell>
        </row>
        <row r="178">
          <cell r="A178" t="str">
            <v>NS5834</v>
          </cell>
          <cell r="B178">
            <v>5.4099000000000004</v>
          </cell>
        </row>
        <row r="179">
          <cell r="A179" t="str">
            <v>NS5835</v>
          </cell>
          <cell r="B179">
            <v>5.3089000000000004</v>
          </cell>
        </row>
        <row r="180">
          <cell r="A180" t="str">
            <v>NS5836</v>
          </cell>
          <cell r="B180">
            <v>5.3178000000000001</v>
          </cell>
        </row>
        <row r="181">
          <cell r="A181" t="str">
            <v>NS5837</v>
          </cell>
          <cell r="B181">
            <v>7.1173000000000002</v>
          </cell>
        </row>
        <row r="182">
          <cell r="A182" t="str">
            <v>NS5838</v>
          </cell>
          <cell r="B182">
            <v>8.8932000000000002</v>
          </cell>
        </row>
        <row r="183">
          <cell r="A183" t="str">
            <v>NS5839</v>
          </cell>
          <cell r="B183">
            <v>4.5578000000000003</v>
          </cell>
        </row>
        <row r="184">
          <cell r="A184" t="str">
            <v>NS5840</v>
          </cell>
          <cell r="B184">
            <v>5.2523</v>
          </cell>
        </row>
        <row r="185">
          <cell r="A185" t="str">
            <v>NS5841</v>
          </cell>
          <cell r="B185">
            <v>4.5444000000000004</v>
          </cell>
        </row>
        <row r="186">
          <cell r="A186" t="str">
            <v>NS5842</v>
          </cell>
          <cell r="B186">
            <v>4.3825000000000003</v>
          </cell>
        </row>
        <row r="187">
          <cell r="A187" t="str">
            <v>NS5843</v>
          </cell>
          <cell r="B187">
            <v>4.5590999999999999</v>
          </cell>
        </row>
        <row r="188">
          <cell r="A188" t="str">
            <v>NS5844</v>
          </cell>
          <cell r="B188">
            <v>5.7590000000000003</v>
          </cell>
        </row>
        <row r="189">
          <cell r="A189" t="str">
            <v>NS5845</v>
          </cell>
          <cell r="B189">
            <v>8.4673999999999996</v>
          </cell>
        </row>
        <row r="190">
          <cell r="A190" t="str">
            <v>NS5846</v>
          </cell>
          <cell r="B190">
            <v>9.1862999999999992</v>
          </cell>
        </row>
        <row r="191">
          <cell r="A191" t="str">
            <v>NS5847</v>
          </cell>
          <cell r="B191">
            <v>8.8327000000000009</v>
          </cell>
        </row>
        <row r="192">
          <cell r="A192" t="str">
            <v>NS5848</v>
          </cell>
          <cell r="B192">
            <v>9.1067999999999998</v>
          </cell>
        </row>
        <row r="193">
          <cell r="A193" t="str">
            <v>NS5849</v>
          </cell>
          <cell r="B193">
            <v>12.950100000000001</v>
          </cell>
        </row>
        <row r="194">
          <cell r="A194" t="str">
            <v>NS5850</v>
          </cell>
          <cell r="B194">
            <v>9.2406000000000006</v>
          </cell>
        </row>
        <row r="195">
          <cell r="A195" t="str">
            <v>NS5851</v>
          </cell>
          <cell r="B195">
            <v>9.0434000000000001</v>
          </cell>
        </row>
        <row r="196">
          <cell r="A196" t="str">
            <v>NS5852</v>
          </cell>
          <cell r="B196">
            <v>5.8471000000000002</v>
          </cell>
        </row>
        <row r="197">
          <cell r="A197" t="str">
            <v>NS5853</v>
          </cell>
          <cell r="B197">
            <v>8.6156000000000006</v>
          </cell>
        </row>
        <row r="198">
          <cell r="A198" t="str">
            <v>NS5854</v>
          </cell>
          <cell r="B198">
            <v>6.9680999999999997</v>
          </cell>
        </row>
        <row r="199">
          <cell r="A199" t="str">
            <v>NS5855</v>
          </cell>
          <cell r="B199">
            <v>5.9</v>
          </cell>
        </row>
        <row r="200">
          <cell r="A200" t="str">
            <v>NS5856</v>
          </cell>
          <cell r="B200">
            <v>4.6300999999999997</v>
          </cell>
        </row>
        <row r="201">
          <cell r="A201" t="str">
            <v>NS5857</v>
          </cell>
          <cell r="B201">
            <v>10.204499999999999</v>
          </cell>
        </row>
        <row r="202">
          <cell r="A202" t="str">
            <v>NS5858</v>
          </cell>
          <cell r="B202">
            <v>9.0326000000000004</v>
          </cell>
        </row>
        <row r="203">
          <cell r="A203" t="str">
            <v>NS5859</v>
          </cell>
          <cell r="B203">
            <v>5.3055000000000003</v>
          </cell>
        </row>
        <row r="204">
          <cell r="A204" t="str">
            <v>NS5860</v>
          </cell>
          <cell r="B204">
            <v>6.8611000000000004</v>
          </cell>
        </row>
        <row r="205">
          <cell r="A205" t="str">
            <v>NS5861</v>
          </cell>
          <cell r="B205">
            <v>7.0317999999999996</v>
          </cell>
        </row>
        <row r="206">
          <cell r="A206" t="str">
            <v>NS5862</v>
          </cell>
          <cell r="B206">
            <v>5.7515000000000001</v>
          </cell>
        </row>
        <row r="207">
          <cell r="A207" t="str">
            <v>NS5863</v>
          </cell>
          <cell r="B207">
            <v>7.1745999999999999</v>
          </cell>
        </row>
        <row r="208">
          <cell r="A208" t="str">
            <v>NS5864</v>
          </cell>
          <cell r="B208">
            <v>9.7005999999999997</v>
          </cell>
        </row>
        <row r="209">
          <cell r="A209" t="str">
            <v>NS5865</v>
          </cell>
          <cell r="B209">
            <v>7.3098999999999998</v>
          </cell>
        </row>
        <row r="210">
          <cell r="A210" t="str">
            <v>NS5866</v>
          </cell>
          <cell r="B210">
            <v>4.8091999999999997</v>
          </cell>
        </row>
        <row r="211">
          <cell r="A211" t="str">
            <v>NS5867</v>
          </cell>
          <cell r="B211">
            <v>4.9124999999999996</v>
          </cell>
        </row>
        <row r="212">
          <cell r="A212" t="str">
            <v>NS5868</v>
          </cell>
          <cell r="B212">
            <v>9.0813000000000006</v>
          </cell>
        </row>
        <row r="213">
          <cell r="A213" t="str">
            <v>NS5869</v>
          </cell>
          <cell r="B213">
            <v>6.2249999999999996</v>
          </cell>
        </row>
        <row r="214">
          <cell r="A214" t="str">
            <v>NS5870</v>
          </cell>
          <cell r="B214">
            <v>5.8654000000000002</v>
          </cell>
        </row>
        <row r="215">
          <cell r="A215" t="str">
            <v>NS5871</v>
          </cell>
          <cell r="B215">
            <v>5.9191000000000003</v>
          </cell>
        </row>
        <row r="216">
          <cell r="A216" t="str">
            <v>NS5872</v>
          </cell>
          <cell r="B216">
            <v>4.6858000000000004</v>
          </cell>
        </row>
        <row r="217">
          <cell r="A217" t="str">
            <v>NS5873</v>
          </cell>
          <cell r="B217">
            <v>5.4527000000000001</v>
          </cell>
        </row>
        <row r="218">
          <cell r="A218" t="str">
            <v>NW3001</v>
          </cell>
          <cell r="B218">
            <v>14.547800000000001</v>
          </cell>
        </row>
        <row r="219">
          <cell r="A219" t="str">
            <v>NW3002</v>
          </cell>
          <cell r="B219">
            <v>11.035</v>
          </cell>
        </row>
        <row r="220">
          <cell r="A220" t="str">
            <v>NW3003</v>
          </cell>
          <cell r="B220">
            <v>8.7798999999999996</v>
          </cell>
        </row>
        <row r="221">
          <cell r="A221" t="str">
            <v>NW3004</v>
          </cell>
          <cell r="B221">
            <v>18.971</v>
          </cell>
        </row>
        <row r="222">
          <cell r="A222" t="str">
            <v>NW3005</v>
          </cell>
          <cell r="B222">
            <v>3.8582999999999998</v>
          </cell>
        </row>
        <row r="223">
          <cell r="A223" t="str">
            <v>NW3100</v>
          </cell>
          <cell r="B223">
            <v>17.7653</v>
          </cell>
        </row>
        <row r="224">
          <cell r="A224" t="str">
            <v>NW3101</v>
          </cell>
          <cell r="B224">
            <v>12.2659</v>
          </cell>
        </row>
        <row r="225">
          <cell r="A225" t="str">
            <v>NW3102</v>
          </cell>
          <cell r="B225">
            <v>11.0886</v>
          </cell>
        </row>
        <row r="226">
          <cell r="A226" t="str">
            <v>NW3103</v>
          </cell>
          <cell r="B226">
            <v>15.3969</v>
          </cell>
        </row>
        <row r="227">
          <cell r="A227" t="str">
            <v>NW3104</v>
          </cell>
          <cell r="B227">
            <v>9.1157000000000004</v>
          </cell>
        </row>
        <row r="228">
          <cell r="A228" t="str">
            <v>NW3105</v>
          </cell>
          <cell r="B228">
            <v>15.421799999999999</v>
          </cell>
        </row>
        <row r="229">
          <cell r="A229" t="str">
            <v>NW3105.S001</v>
          </cell>
          <cell r="B229">
            <v>8.7994000000000003</v>
          </cell>
        </row>
        <row r="230">
          <cell r="A230" t="str">
            <v>NW3105.S002</v>
          </cell>
          <cell r="B230">
            <v>8.7994000000000003</v>
          </cell>
        </row>
        <row r="231">
          <cell r="A231" t="str">
            <v>NW3106</v>
          </cell>
          <cell r="B231">
            <v>6.9969999999999999</v>
          </cell>
        </row>
        <row r="232">
          <cell r="A232" t="str">
            <v>NW3106.S001</v>
          </cell>
          <cell r="B232">
            <v>7.5650000000000004</v>
          </cell>
        </row>
        <row r="233">
          <cell r="A233" t="str">
            <v>NW3107</v>
          </cell>
          <cell r="B233">
            <v>21.508700000000001</v>
          </cell>
        </row>
        <row r="234">
          <cell r="A234" t="str">
            <v>NW3108</v>
          </cell>
          <cell r="B234">
            <v>20.632899999999999</v>
          </cell>
        </row>
        <row r="235">
          <cell r="A235" t="str">
            <v>NW3108.S001</v>
          </cell>
          <cell r="B235">
            <v>10.155900000000001</v>
          </cell>
        </row>
        <row r="236">
          <cell r="A236" t="str">
            <v>NW3109</v>
          </cell>
          <cell r="B236">
            <v>11.8589</v>
          </cell>
        </row>
        <row r="237">
          <cell r="A237" t="str">
            <v>NW3109.S001</v>
          </cell>
          <cell r="B237">
            <v>6.0651999999999999</v>
          </cell>
        </row>
        <row r="238">
          <cell r="A238" t="str">
            <v>NW3110</v>
          </cell>
          <cell r="B238">
            <v>10.974600000000001</v>
          </cell>
        </row>
        <row r="239">
          <cell r="A239" t="str">
            <v>NW3110.S001</v>
          </cell>
          <cell r="B239">
            <v>5.4824000000000002</v>
          </cell>
        </row>
        <row r="240">
          <cell r="A240" t="str">
            <v>NW3110.S002</v>
          </cell>
          <cell r="B240">
            <v>5.5476000000000001</v>
          </cell>
        </row>
        <row r="241">
          <cell r="A241" t="str">
            <v>NW3110.S003</v>
          </cell>
          <cell r="B241">
            <v>5.4436999999999998</v>
          </cell>
        </row>
        <row r="242">
          <cell r="A242" t="str">
            <v>NW3111</v>
          </cell>
          <cell r="B242">
            <v>7.5279999999999996</v>
          </cell>
        </row>
        <row r="243">
          <cell r="A243" t="str">
            <v>NW3112</v>
          </cell>
          <cell r="B243">
            <v>10.6258</v>
          </cell>
        </row>
        <row r="244">
          <cell r="A244" t="str">
            <v>NW3113</v>
          </cell>
          <cell r="B244">
            <v>12.5075</v>
          </cell>
        </row>
        <row r="245">
          <cell r="A245" t="str">
            <v>NW3114</v>
          </cell>
          <cell r="B245">
            <v>11.1472</v>
          </cell>
        </row>
        <row r="246">
          <cell r="A246" t="str">
            <v>NW3115</v>
          </cell>
          <cell r="B246">
            <v>13.6967</v>
          </cell>
        </row>
        <row r="247">
          <cell r="A247" t="str">
            <v>NW3116</v>
          </cell>
          <cell r="B247">
            <v>10.402799999999999</v>
          </cell>
        </row>
        <row r="248">
          <cell r="A248" t="str">
            <v>NW3117</v>
          </cell>
          <cell r="B248">
            <v>15.7845</v>
          </cell>
        </row>
        <row r="249">
          <cell r="A249" t="str">
            <v>NW3118</v>
          </cell>
          <cell r="B249">
            <v>11.6717</v>
          </cell>
        </row>
        <row r="250">
          <cell r="A250" t="str">
            <v>NW3119</v>
          </cell>
          <cell r="B250">
            <v>14.138</v>
          </cell>
        </row>
        <row r="251">
          <cell r="A251" t="str">
            <v>NW3120</v>
          </cell>
          <cell r="B251">
            <v>12.513400000000001</v>
          </cell>
        </row>
        <row r="252">
          <cell r="A252" t="str">
            <v>NW3121</v>
          </cell>
          <cell r="B252">
            <v>8.6632999999999996</v>
          </cell>
        </row>
        <row r="253">
          <cell r="A253" t="str">
            <v>NW3122</v>
          </cell>
          <cell r="B253">
            <v>16.211600000000001</v>
          </cell>
        </row>
        <row r="254">
          <cell r="A254" t="str">
            <v>NW3124</v>
          </cell>
          <cell r="B254">
            <v>12.432399999999999</v>
          </cell>
        </row>
        <row r="255">
          <cell r="A255" t="str">
            <v>NW3125</v>
          </cell>
          <cell r="B255">
            <v>16.017900000000001</v>
          </cell>
        </row>
        <row r="256">
          <cell r="A256" t="str">
            <v>NW3126</v>
          </cell>
          <cell r="B256">
            <v>14.775499999999999</v>
          </cell>
        </row>
        <row r="257">
          <cell r="A257" t="str">
            <v>NW3127</v>
          </cell>
          <cell r="B257">
            <v>9.2729999999999997</v>
          </cell>
        </row>
        <row r="258">
          <cell r="A258" t="str">
            <v>NW3128</v>
          </cell>
          <cell r="B258">
            <v>12.557</v>
          </cell>
        </row>
        <row r="259">
          <cell r="A259" t="str">
            <v>NW3128.S001</v>
          </cell>
          <cell r="B259">
            <v>10.1241</v>
          </cell>
        </row>
        <row r="260">
          <cell r="A260" t="str">
            <v>NW3128.S002</v>
          </cell>
          <cell r="B260">
            <v>10.1241</v>
          </cell>
        </row>
        <row r="261">
          <cell r="A261" t="str">
            <v>NW3129</v>
          </cell>
          <cell r="B261">
            <v>12.597300000000001</v>
          </cell>
        </row>
        <row r="262">
          <cell r="A262" t="str">
            <v>NW3800</v>
          </cell>
          <cell r="B262">
            <v>9.3683999999999994</v>
          </cell>
        </row>
        <row r="263">
          <cell r="A263" t="str">
            <v>NW3801</v>
          </cell>
          <cell r="B263">
            <v>5.3760000000000003</v>
          </cell>
        </row>
        <row r="264">
          <cell r="A264" t="str">
            <v>NW3802</v>
          </cell>
          <cell r="B264">
            <v>5.3871000000000002</v>
          </cell>
        </row>
        <row r="265">
          <cell r="A265" t="str">
            <v>NW3803</v>
          </cell>
          <cell r="B265">
            <v>5.6104000000000003</v>
          </cell>
        </row>
        <row r="266">
          <cell r="A266" t="str">
            <v>NW3804</v>
          </cell>
          <cell r="B266">
            <v>4.1060999999999996</v>
          </cell>
        </row>
        <row r="267">
          <cell r="A267" t="str">
            <v>NW3805</v>
          </cell>
          <cell r="B267">
            <v>4.8912000000000004</v>
          </cell>
        </row>
        <row r="268">
          <cell r="A268" t="str">
            <v>NW3806</v>
          </cell>
          <cell r="B268">
            <v>10.4123</v>
          </cell>
        </row>
        <row r="269">
          <cell r="A269" t="str">
            <v>NW3807</v>
          </cell>
          <cell r="B269">
            <v>5.7198000000000002</v>
          </cell>
        </row>
        <row r="270">
          <cell r="A270" t="str">
            <v>NW3808</v>
          </cell>
          <cell r="B270">
            <v>5.5010000000000003</v>
          </cell>
        </row>
        <row r="271">
          <cell r="A271" t="str">
            <v>NW3809</v>
          </cell>
          <cell r="B271">
            <v>5.4851000000000001</v>
          </cell>
        </row>
        <row r="272">
          <cell r="A272" t="str">
            <v>NW3810</v>
          </cell>
          <cell r="B272">
            <v>5.4983000000000004</v>
          </cell>
        </row>
        <row r="273">
          <cell r="A273" t="str">
            <v>NW3811</v>
          </cell>
          <cell r="B273">
            <v>5.1059999999999999</v>
          </cell>
        </row>
        <row r="274">
          <cell r="A274" t="str">
            <v>NW3812</v>
          </cell>
          <cell r="B274">
            <v>5.4358000000000004</v>
          </cell>
        </row>
        <row r="275">
          <cell r="A275" t="str">
            <v>NW3813</v>
          </cell>
          <cell r="B275">
            <v>5.4301000000000004</v>
          </cell>
        </row>
        <row r="276">
          <cell r="A276" t="str">
            <v>NW3814</v>
          </cell>
          <cell r="B276">
            <v>5.6555</v>
          </cell>
        </row>
        <row r="277">
          <cell r="A277" t="str">
            <v>NW3815</v>
          </cell>
          <cell r="B277">
            <v>5.6422999999999996</v>
          </cell>
        </row>
        <row r="278">
          <cell r="A278" t="str">
            <v>NW3816</v>
          </cell>
          <cell r="B278">
            <v>4.8826000000000001</v>
          </cell>
        </row>
        <row r="279">
          <cell r="A279" t="str">
            <v>NW3817</v>
          </cell>
          <cell r="B279">
            <v>6.8868999999999998</v>
          </cell>
        </row>
        <row r="280">
          <cell r="A280" t="str">
            <v>NW3818</v>
          </cell>
          <cell r="B280">
            <v>6.4699</v>
          </cell>
        </row>
        <row r="281">
          <cell r="A281" t="str">
            <v>NW3819</v>
          </cell>
          <cell r="B281">
            <v>6.5110000000000001</v>
          </cell>
        </row>
        <row r="282">
          <cell r="A282" t="str">
            <v>NW3820</v>
          </cell>
          <cell r="B282">
            <v>5.7971000000000004</v>
          </cell>
        </row>
        <row r="283">
          <cell r="A283" t="str">
            <v>NW3821</v>
          </cell>
          <cell r="B283">
            <v>5.1048999999999998</v>
          </cell>
        </row>
        <row r="284">
          <cell r="A284" t="str">
            <v>NW3822</v>
          </cell>
          <cell r="B284">
            <v>5.5738000000000003</v>
          </cell>
        </row>
        <row r="285">
          <cell r="A285" t="str">
            <v>NW3823</v>
          </cell>
          <cell r="B285">
            <v>5.1344000000000003</v>
          </cell>
        </row>
        <row r="286">
          <cell r="A286" t="str">
            <v>NW3824</v>
          </cell>
          <cell r="B286">
            <v>4.6025</v>
          </cell>
        </row>
        <row r="287">
          <cell r="A287" t="str">
            <v>NW3825</v>
          </cell>
          <cell r="B287">
            <v>5.5674999999999999</v>
          </cell>
        </row>
        <row r="288">
          <cell r="A288" t="str">
            <v>NW3826</v>
          </cell>
          <cell r="B288">
            <v>5.8571</v>
          </cell>
        </row>
        <row r="289">
          <cell r="A289" t="str">
            <v>NW3827</v>
          </cell>
          <cell r="B289">
            <v>5.8437999999999999</v>
          </cell>
        </row>
        <row r="290">
          <cell r="A290" t="str">
            <v>NW3828</v>
          </cell>
          <cell r="B290">
            <v>5.4991000000000003</v>
          </cell>
        </row>
        <row r="291">
          <cell r="A291" t="str">
            <v>NW3829</v>
          </cell>
          <cell r="B291">
            <v>5.6104000000000003</v>
          </cell>
        </row>
        <row r="292">
          <cell r="A292" t="str">
            <v>NW3830</v>
          </cell>
          <cell r="B292">
            <v>5.9661999999999997</v>
          </cell>
        </row>
        <row r="293">
          <cell r="A293" t="str">
            <v>NW3831</v>
          </cell>
          <cell r="B293">
            <v>5.6071</v>
          </cell>
        </row>
        <row r="294">
          <cell r="A294" t="str">
            <v>NW3832</v>
          </cell>
          <cell r="B294">
            <v>5.6071</v>
          </cell>
        </row>
        <row r="295">
          <cell r="A295" t="str">
            <v>NW3833</v>
          </cell>
          <cell r="B295">
            <v>5.3760000000000003</v>
          </cell>
        </row>
        <row r="296">
          <cell r="A296" t="str">
            <v>NW3834</v>
          </cell>
          <cell r="B296">
            <v>5.0720000000000001</v>
          </cell>
        </row>
        <row r="297">
          <cell r="A297" t="str">
            <v>NW3835</v>
          </cell>
          <cell r="B297">
            <v>5.3701999999999996</v>
          </cell>
        </row>
        <row r="298">
          <cell r="A298" t="str">
            <v>NW3836</v>
          </cell>
          <cell r="B298">
            <v>5.3701999999999996</v>
          </cell>
        </row>
        <row r="299">
          <cell r="A299" t="str">
            <v>NW3837</v>
          </cell>
          <cell r="B299">
            <v>5.4778000000000002</v>
          </cell>
        </row>
        <row r="300">
          <cell r="A300" t="str">
            <v>NW3838</v>
          </cell>
          <cell r="B300">
            <v>5.7287999999999997</v>
          </cell>
        </row>
        <row r="301">
          <cell r="A301" t="str">
            <v>NW3839</v>
          </cell>
          <cell r="B301">
            <v>5.3760000000000003</v>
          </cell>
        </row>
        <row r="302">
          <cell r="A302" t="str">
            <v>NW3840</v>
          </cell>
          <cell r="B302">
            <v>9.4079999999999995</v>
          </cell>
        </row>
        <row r="303">
          <cell r="A303" t="str">
            <v>NW3841</v>
          </cell>
          <cell r="B303">
            <v>5.5763999999999996</v>
          </cell>
        </row>
        <row r="304">
          <cell r="A304" t="str">
            <v>NW3842</v>
          </cell>
          <cell r="B304">
            <v>5.5885999999999996</v>
          </cell>
        </row>
        <row r="305">
          <cell r="A305" t="str">
            <v>NW3843</v>
          </cell>
          <cell r="B305">
            <v>5.4619</v>
          </cell>
        </row>
        <row r="306">
          <cell r="A306" t="str">
            <v>NW3844</v>
          </cell>
          <cell r="B306">
            <v>5.6250999999999998</v>
          </cell>
        </row>
        <row r="307">
          <cell r="A307" t="str">
            <v>NW3845</v>
          </cell>
          <cell r="B307">
            <v>7.5998999999999999</v>
          </cell>
        </row>
        <row r="308">
          <cell r="A308" t="str">
            <v>NW3846</v>
          </cell>
          <cell r="B308">
            <v>7.7561999999999998</v>
          </cell>
        </row>
        <row r="309">
          <cell r="A309" t="str">
            <v>NW3847</v>
          </cell>
          <cell r="B309">
            <v>5.6120999999999999</v>
          </cell>
        </row>
        <row r="310">
          <cell r="A310" t="str">
            <v>OGA000</v>
          </cell>
          <cell r="B310">
            <v>27.232099999999999</v>
          </cell>
        </row>
        <row r="311">
          <cell r="A311" t="str">
            <v>OGA077</v>
          </cell>
          <cell r="B311">
            <v>18.495200000000001</v>
          </cell>
        </row>
        <row r="312">
          <cell r="A312" t="str">
            <v>OGA080</v>
          </cell>
          <cell r="B312">
            <v>11.2164</v>
          </cell>
        </row>
        <row r="313">
          <cell r="A313" t="str">
            <v>OGA097</v>
          </cell>
          <cell r="B313">
            <v>20.763300000000001</v>
          </cell>
        </row>
        <row r="314">
          <cell r="A314" t="str">
            <v>OGA115</v>
          </cell>
          <cell r="B314">
            <v>12.032999999999999</v>
          </cell>
        </row>
        <row r="315">
          <cell r="A315" t="str">
            <v>OGA116</v>
          </cell>
          <cell r="B315">
            <v>12.007400000000001</v>
          </cell>
        </row>
        <row r="316">
          <cell r="A316" t="str">
            <v>OGA145</v>
          </cell>
          <cell r="B316">
            <v>11.632300000000001</v>
          </cell>
        </row>
        <row r="317">
          <cell r="A317" t="str">
            <v>OGA161</v>
          </cell>
          <cell r="B317">
            <v>22.066099999999999</v>
          </cell>
        </row>
        <row r="318">
          <cell r="A318" t="str">
            <v>OGZ036</v>
          </cell>
          <cell r="B318">
            <v>23.1325</v>
          </cell>
        </row>
        <row r="319">
          <cell r="A319" t="str">
            <v>OGZ036.L001</v>
          </cell>
          <cell r="B319">
            <v>9.1194000000000006</v>
          </cell>
        </row>
        <row r="320">
          <cell r="A320" t="str">
            <v>OGZ038</v>
          </cell>
          <cell r="B320">
            <v>5.6765999999999996</v>
          </cell>
        </row>
        <row r="321">
          <cell r="A321" t="str">
            <v>OGZ050E</v>
          </cell>
          <cell r="B321">
            <v>24.917100000000001</v>
          </cell>
        </row>
        <row r="322">
          <cell r="A322" t="str">
            <v>OGZ050W</v>
          </cell>
          <cell r="B322">
            <v>15.7043</v>
          </cell>
        </row>
        <row r="323">
          <cell r="A323" t="str">
            <v>OGZ051</v>
          </cell>
          <cell r="B323">
            <v>17.319199999999999</v>
          </cell>
        </row>
        <row r="324">
          <cell r="A324" t="str">
            <v>OGZ167M</v>
          </cell>
          <cell r="B324">
            <v>20.229199999999999</v>
          </cell>
        </row>
        <row r="325">
          <cell r="A325" t="str">
            <v>OGZ167N</v>
          </cell>
          <cell r="B325">
            <v>14.0716</v>
          </cell>
        </row>
        <row r="326">
          <cell r="A326" t="str">
            <v>OGZ167S</v>
          </cell>
          <cell r="B326">
            <v>22.5245</v>
          </cell>
        </row>
        <row r="327">
          <cell r="A327" t="str">
            <v>OGZ171</v>
          </cell>
          <cell r="B327">
            <v>11.655200000000001</v>
          </cell>
        </row>
        <row r="328">
          <cell r="A328" t="str">
            <v>OGZ270</v>
          </cell>
          <cell r="B328">
            <v>21.444900000000001</v>
          </cell>
        </row>
        <row r="329">
          <cell r="A329" t="str">
            <v>OGZ550W</v>
          </cell>
          <cell r="B329">
            <v>5.5640000000000001</v>
          </cell>
        </row>
        <row r="330">
          <cell r="A330" t="str">
            <v>SW6001</v>
          </cell>
          <cell r="B330">
            <v>11.5862</v>
          </cell>
        </row>
        <row r="331">
          <cell r="A331" t="str">
            <v>SW6002</v>
          </cell>
          <cell r="B331">
            <v>9.7194000000000003</v>
          </cell>
        </row>
        <row r="332">
          <cell r="A332" t="str">
            <v>SW6003</v>
          </cell>
          <cell r="B332">
            <v>8.0154999999999994</v>
          </cell>
        </row>
        <row r="333">
          <cell r="A333" t="str">
            <v>SW6004</v>
          </cell>
          <cell r="B333">
            <v>15.5855</v>
          </cell>
        </row>
        <row r="334">
          <cell r="A334" t="str">
            <v>SW6005</v>
          </cell>
          <cell r="B334">
            <v>11.3933</v>
          </cell>
        </row>
        <row r="335">
          <cell r="A335" t="str">
            <v>SW6006</v>
          </cell>
          <cell r="B335">
            <v>7.5514000000000001</v>
          </cell>
        </row>
        <row r="336">
          <cell r="A336" t="str">
            <v>SW6007</v>
          </cell>
          <cell r="B336">
            <v>19.547899999999998</v>
          </cell>
        </row>
        <row r="337">
          <cell r="A337" t="str">
            <v>SW6069</v>
          </cell>
          <cell r="B337">
            <v>23.1084</v>
          </cell>
        </row>
        <row r="338">
          <cell r="A338" t="str">
            <v>SW6070</v>
          </cell>
          <cell r="B338">
            <v>19.0838</v>
          </cell>
        </row>
        <row r="339">
          <cell r="A339" t="str">
            <v>SW6071</v>
          </cell>
          <cell r="B339">
            <v>15.4756</v>
          </cell>
        </row>
        <row r="340">
          <cell r="A340" t="str">
            <v>SW6072</v>
          </cell>
          <cell r="B340">
            <v>19.582799999999999</v>
          </cell>
        </row>
        <row r="341">
          <cell r="A341" t="str">
            <v>SW6073</v>
          </cell>
          <cell r="B341">
            <v>7.6700999999999997</v>
          </cell>
        </row>
        <row r="342">
          <cell r="A342" t="str">
            <v>SW6074</v>
          </cell>
          <cell r="B342">
            <v>6.3803000000000001</v>
          </cell>
        </row>
        <row r="343">
          <cell r="A343" t="str">
            <v>SW6075</v>
          </cell>
          <cell r="B343">
            <v>20.893000000000001</v>
          </cell>
        </row>
        <row r="344">
          <cell r="A344" t="str">
            <v>SW6076</v>
          </cell>
          <cell r="B344">
            <v>23.6724</v>
          </cell>
        </row>
        <row r="345">
          <cell r="A345" t="str">
            <v>SW6077</v>
          </cell>
          <cell r="B345">
            <v>9.4253999999999998</v>
          </cell>
        </row>
        <row r="346">
          <cell r="A346" t="str">
            <v>SW6078</v>
          </cell>
          <cell r="B346">
            <v>15.4138</v>
          </cell>
        </row>
        <row r="347">
          <cell r="A347" t="str">
            <v>SW6079</v>
          </cell>
          <cell r="B347">
            <v>11.318300000000001</v>
          </cell>
        </row>
        <row r="348">
          <cell r="A348" t="str">
            <v>SW6121</v>
          </cell>
          <cell r="B348">
            <v>12.4819</v>
          </cell>
        </row>
        <row r="349">
          <cell r="A349" t="str">
            <v>SW6122</v>
          </cell>
          <cell r="B349">
            <v>8.4036000000000008</v>
          </cell>
        </row>
        <row r="350">
          <cell r="A350" t="str">
            <v>SW6123</v>
          </cell>
          <cell r="B350">
            <v>6.7575000000000003</v>
          </cell>
        </row>
        <row r="351">
          <cell r="A351" t="str">
            <v>SW6124</v>
          </cell>
          <cell r="B351">
            <v>7.3970000000000002</v>
          </cell>
        </row>
        <row r="352">
          <cell r="A352" t="str">
            <v>SW6155</v>
          </cell>
          <cell r="B352">
            <v>19.085599999999999</v>
          </cell>
        </row>
        <row r="353">
          <cell r="A353" t="str">
            <v>SW6156</v>
          </cell>
          <cell r="B353">
            <v>7.9036999999999997</v>
          </cell>
        </row>
        <row r="354">
          <cell r="A354" t="str">
            <v>SW6157</v>
          </cell>
          <cell r="B354">
            <v>14.1076</v>
          </cell>
        </row>
        <row r="355">
          <cell r="A355" t="str">
            <v>SW6158</v>
          </cell>
          <cell r="B355">
            <v>8.8500999999999994</v>
          </cell>
        </row>
        <row r="356">
          <cell r="A356" t="str">
            <v>SW6700</v>
          </cell>
          <cell r="B356">
            <v>6.9283000000000001</v>
          </cell>
        </row>
        <row r="357">
          <cell r="A357" t="str">
            <v>SW6701</v>
          </cell>
          <cell r="B357">
            <v>5.5411000000000001</v>
          </cell>
        </row>
        <row r="358">
          <cell r="A358" t="str">
            <v>SW6702</v>
          </cell>
          <cell r="B358">
            <v>5.2184999999999997</v>
          </cell>
        </row>
        <row r="359">
          <cell r="A359" t="str">
            <v>SW6703</v>
          </cell>
          <cell r="B359">
            <v>5.1750999999999996</v>
          </cell>
        </row>
        <row r="360">
          <cell r="A360" t="str">
            <v>SW6704</v>
          </cell>
          <cell r="B360">
            <v>4.0724999999999998</v>
          </cell>
        </row>
        <row r="361">
          <cell r="A361" t="str">
            <v>SW6705</v>
          </cell>
          <cell r="B361">
            <v>3.9765000000000001</v>
          </cell>
        </row>
        <row r="362">
          <cell r="A362" t="str">
            <v>SW6706</v>
          </cell>
          <cell r="B362">
            <v>5.548</v>
          </cell>
        </row>
        <row r="363">
          <cell r="A363" t="str">
            <v>SW6707</v>
          </cell>
          <cell r="B363">
            <v>4.2466999999999997</v>
          </cell>
        </row>
        <row r="364">
          <cell r="A364" t="str">
            <v>SW6708</v>
          </cell>
          <cell r="B364">
            <v>3.9971999999999999</v>
          </cell>
        </row>
        <row r="365">
          <cell r="A365" t="str">
            <v>SW6709</v>
          </cell>
          <cell r="B365">
            <v>5.8174999999999999</v>
          </cell>
        </row>
        <row r="366">
          <cell r="A366" t="str">
            <v>SW6710</v>
          </cell>
          <cell r="B366">
            <v>5.3712999999999997</v>
          </cell>
        </row>
        <row r="367">
          <cell r="A367" t="str">
            <v>SW6711</v>
          </cell>
          <cell r="B367">
            <v>4.4889999999999999</v>
          </cell>
        </row>
        <row r="368">
          <cell r="A368" t="str">
            <v>SW6712</v>
          </cell>
          <cell r="B368">
            <v>4.5654000000000003</v>
          </cell>
        </row>
        <row r="369">
          <cell r="A369" t="str">
            <v>SW6713</v>
          </cell>
          <cell r="B369">
            <v>4.5654000000000003</v>
          </cell>
        </row>
        <row r="370">
          <cell r="A370" t="str">
            <v>SW6714</v>
          </cell>
          <cell r="B370">
            <v>5.758</v>
          </cell>
        </row>
        <row r="371">
          <cell r="A371" t="str">
            <v>SW6715</v>
          </cell>
          <cell r="B371">
            <v>5.758</v>
          </cell>
        </row>
        <row r="372">
          <cell r="A372" t="str">
            <v>SW6716</v>
          </cell>
          <cell r="B372">
            <v>5.4322999999999997</v>
          </cell>
        </row>
        <row r="373">
          <cell r="A373" t="str">
            <v>SW6717</v>
          </cell>
          <cell r="B373">
            <v>3.7713000000000001</v>
          </cell>
        </row>
        <row r="374">
          <cell r="A374" t="str">
            <v>SW6718</v>
          </cell>
          <cell r="B374">
            <v>5.3760000000000003</v>
          </cell>
        </row>
        <row r="375">
          <cell r="A375" t="str">
            <v>SW6719</v>
          </cell>
          <cell r="B375">
            <v>5.1352000000000002</v>
          </cell>
        </row>
        <row r="376">
          <cell r="A376" t="str">
            <v>SW6720</v>
          </cell>
          <cell r="B376">
            <v>4.6463999999999999</v>
          </cell>
        </row>
        <row r="377">
          <cell r="A377" t="str">
            <v>SW6721</v>
          </cell>
          <cell r="B377">
            <v>4.3297999999999996</v>
          </cell>
        </row>
        <row r="378">
          <cell r="A378" t="str">
            <v>SW6722</v>
          </cell>
          <cell r="B378">
            <v>4.3297999999999996</v>
          </cell>
        </row>
        <row r="379">
          <cell r="A379" t="str">
            <v>SW6723</v>
          </cell>
          <cell r="B379">
            <v>5.6219000000000001</v>
          </cell>
        </row>
        <row r="380">
          <cell r="A380" t="str">
            <v>SW6725</v>
          </cell>
          <cell r="B380">
            <v>5.5651999999999999</v>
          </cell>
        </row>
        <row r="381">
          <cell r="A381" t="str">
            <v>SW6726</v>
          </cell>
          <cell r="B381">
            <v>5.5110999999999999</v>
          </cell>
        </row>
        <row r="382">
          <cell r="A382" t="str">
            <v>SW6727</v>
          </cell>
          <cell r="B382">
            <v>5.2652000000000001</v>
          </cell>
        </row>
        <row r="383">
          <cell r="A383" t="str">
            <v>SW6728</v>
          </cell>
          <cell r="B383">
            <v>4.4200999999999997</v>
          </cell>
        </row>
        <row r="384">
          <cell r="A384" t="str">
            <v>SW6729</v>
          </cell>
          <cell r="B384">
            <v>5.4772999999999996</v>
          </cell>
        </row>
        <row r="385">
          <cell r="A385" t="str">
            <v>SW6730</v>
          </cell>
          <cell r="B385">
            <v>5.4772999999999996</v>
          </cell>
        </row>
        <row r="386">
          <cell r="A386" t="str">
            <v>SW6731</v>
          </cell>
          <cell r="B386">
            <v>5.4772999999999996</v>
          </cell>
        </row>
        <row r="387">
          <cell r="A387" t="str">
            <v>SW6732</v>
          </cell>
          <cell r="B387">
            <v>5.4772999999999996</v>
          </cell>
        </row>
        <row r="388">
          <cell r="A388" t="str">
            <v>SW6733</v>
          </cell>
          <cell r="B388">
            <v>5.4772999999999996</v>
          </cell>
        </row>
        <row r="389">
          <cell r="A389" t="str">
            <v>SW6800</v>
          </cell>
          <cell r="B389">
            <v>9.8048000000000002</v>
          </cell>
        </row>
        <row r="390">
          <cell r="A390" t="str">
            <v>SW6801</v>
          </cell>
          <cell r="B390">
            <v>6.0118</v>
          </cell>
        </row>
        <row r="391">
          <cell r="A391" t="str">
            <v>SW6802</v>
          </cell>
          <cell r="B391">
            <v>6.2137000000000002</v>
          </cell>
        </row>
        <row r="392">
          <cell r="A392" t="str">
            <v>SW6803</v>
          </cell>
          <cell r="B392">
            <v>5.9503000000000004</v>
          </cell>
        </row>
        <row r="393">
          <cell r="A393" t="str">
            <v>SW6804</v>
          </cell>
          <cell r="B393">
            <v>5.9542999999999999</v>
          </cell>
        </row>
        <row r="394">
          <cell r="A394" t="str">
            <v>SW6805</v>
          </cell>
          <cell r="B394">
            <v>5.9503000000000004</v>
          </cell>
        </row>
        <row r="395">
          <cell r="A395" t="str">
            <v>SW6806</v>
          </cell>
          <cell r="B395">
            <v>5.8135000000000003</v>
          </cell>
        </row>
        <row r="396">
          <cell r="A396" t="str">
            <v>SW6807</v>
          </cell>
          <cell r="B396">
            <v>5.9489999999999998</v>
          </cell>
        </row>
        <row r="397">
          <cell r="A397" t="str">
            <v>SW6808</v>
          </cell>
          <cell r="B397">
            <v>6.1920000000000002</v>
          </cell>
        </row>
        <row r="398">
          <cell r="A398" t="str">
            <v>SW6809</v>
          </cell>
          <cell r="B398">
            <v>5.9337</v>
          </cell>
        </row>
        <row r="399">
          <cell r="A399" t="str">
            <v>SW6810</v>
          </cell>
          <cell r="B399">
            <v>9.7894000000000005</v>
          </cell>
        </row>
        <row r="400">
          <cell r="A400" t="str">
            <v>SW6811</v>
          </cell>
          <cell r="B400">
            <v>6.0533999999999999</v>
          </cell>
        </row>
        <row r="401">
          <cell r="A401" t="str">
            <v>SW6812</v>
          </cell>
          <cell r="B401">
            <v>5.9337</v>
          </cell>
        </row>
        <row r="402">
          <cell r="A402" t="str">
            <v>SW6813</v>
          </cell>
          <cell r="B402">
            <v>5.9348999999999998</v>
          </cell>
        </row>
        <row r="403">
          <cell r="A403" t="str">
            <v>SW6814</v>
          </cell>
          <cell r="B403">
            <v>6.0312000000000001</v>
          </cell>
        </row>
        <row r="404">
          <cell r="A404" t="str">
            <v>SW6815</v>
          </cell>
          <cell r="B404">
            <v>6.0533999999999999</v>
          </cell>
        </row>
        <row r="405">
          <cell r="A405" t="str">
            <v>SW6816</v>
          </cell>
          <cell r="B405">
            <v>5.8219000000000003</v>
          </cell>
        </row>
        <row r="406">
          <cell r="A406" t="str">
            <v>SW6817</v>
          </cell>
          <cell r="B406">
            <v>6.0956000000000001</v>
          </cell>
        </row>
        <row r="407">
          <cell r="A407" t="str">
            <v>SW6818</v>
          </cell>
          <cell r="B407">
            <v>5.7409999999999997</v>
          </cell>
        </row>
        <row r="408">
          <cell r="A408" t="str">
            <v>SW6819</v>
          </cell>
          <cell r="B408">
            <v>6.2230999999999996</v>
          </cell>
        </row>
        <row r="409">
          <cell r="A409" t="str">
            <v>SW6820</v>
          </cell>
          <cell r="B409">
            <v>6.2461000000000002</v>
          </cell>
        </row>
        <row r="410">
          <cell r="A410" t="str">
            <v>SW6821</v>
          </cell>
          <cell r="B410">
            <v>5.9337</v>
          </cell>
        </row>
        <row r="411">
          <cell r="A411" t="str">
            <v>SW6822</v>
          </cell>
          <cell r="B411">
            <v>5.9337</v>
          </cell>
        </row>
        <row r="412">
          <cell r="A412" t="str">
            <v>SW6823</v>
          </cell>
          <cell r="B412">
            <v>5.7564000000000002</v>
          </cell>
        </row>
        <row r="413">
          <cell r="A413" t="str">
            <v>SW6824</v>
          </cell>
          <cell r="B413">
            <v>6.0728</v>
          </cell>
        </row>
        <row r="414">
          <cell r="A414" t="str">
            <v>SW6825</v>
          </cell>
          <cell r="B414">
            <v>6.2188999999999997</v>
          </cell>
        </row>
        <row r="415">
          <cell r="A415" t="str">
            <v>SW6826</v>
          </cell>
          <cell r="B415">
            <v>5.9337</v>
          </cell>
        </row>
        <row r="416">
          <cell r="A416" t="str">
            <v>SW6827</v>
          </cell>
          <cell r="B416">
            <v>5.9377000000000004</v>
          </cell>
        </row>
        <row r="417">
          <cell r="A417" t="str">
            <v>SW6828</v>
          </cell>
          <cell r="B417">
            <v>6.8619000000000003</v>
          </cell>
        </row>
        <row r="418">
          <cell r="A418" t="str">
            <v>SW6828.L001</v>
          </cell>
          <cell r="B418">
            <v>7.0186999999999999</v>
          </cell>
        </row>
        <row r="419">
          <cell r="A419" t="str">
            <v>SW6829</v>
          </cell>
          <cell r="B419">
            <v>9.202</v>
          </cell>
        </row>
        <row r="420">
          <cell r="A420" t="str">
            <v>SW6830</v>
          </cell>
          <cell r="B420">
            <v>5.9877000000000002</v>
          </cell>
        </row>
        <row r="421">
          <cell r="A421" t="str">
            <v>SW6831</v>
          </cell>
          <cell r="B421">
            <v>5.9222999999999999</v>
          </cell>
        </row>
        <row r="422">
          <cell r="A422" t="str">
            <v>SW6832</v>
          </cell>
          <cell r="B422">
            <v>6.1124000000000001</v>
          </cell>
        </row>
        <row r="423">
          <cell r="A423" t="str">
            <v>SW6833</v>
          </cell>
          <cell r="B423">
            <v>6.1424000000000003</v>
          </cell>
        </row>
        <row r="424">
          <cell r="A424" t="str">
            <v>SW6834</v>
          </cell>
          <cell r="B424">
            <v>5.9542999999999999</v>
          </cell>
        </row>
        <row r="425">
          <cell r="A425" t="str">
            <v>SW6835</v>
          </cell>
          <cell r="B425">
            <v>6.2233999999999998</v>
          </cell>
        </row>
        <row r="426">
          <cell r="A426" t="str">
            <v>SW6900</v>
          </cell>
          <cell r="B426">
            <v>7.3127000000000004</v>
          </cell>
        </row>
        <row r="427">
          <cell r="A427" t="str">
            <v>SW6901</v>
          </cell>
          <cell r="B427">
            <v>5.3213999999999997</v>
          </cell>
        </row>
        <row r="428">
          <cell r="A428" t="str">
            <v>SW6902</v>
          </cell>
          <cell r="B428">
            <v>4.4433999999999996</v>
          </cell>
        </row>
        <row r="429">
          <cell r="A429" t="str">
            <v>SW6903</v>
          </cell>
          <cell r="B429">
            <v>4.2343000000000002</v>
          </cell>
        </row>
        <row r="430">
          <cell r="A430" t="str">
            <v>SW6904</v>
          </cell>
          <cell r="B430">
            <v>4.1877000000000004</v>
          </cell>
        </row>
        <row r="431">
          <cell r="A431" t="str">
            <v>SW6905</v>
          </cell>
          <cell r="B431">
            <v>4.2343000000000002</v>
          </cell>
        </row>
        <row r="432">
          <cell r="A432" t="str">
            <v>SW6906</v>
          </cell>
          <cell r="B432">
            <v>4.0548999999999999</v>
          </cell>
        </row>
        <row r="433">
          <cell r="A433" t="str">
            <v>SW6907</v>
          </cell>
          <cell r="B433">
            <v>5.1025</v>
          </cell>
        </row>
        <row r="434">
          <cell r="A434" t="str">
            <v>SW6908</v>
          </cell>
          <cell r="B434">
            <v>4.4398999999999997</v>
          </cell>
        </row>
        <row r="435">
          <cell r="A435" t="str">
            <v>SW6910</v>
          </cell>
          <cell r="B435">
            <v>5.1516000000000002</v>
          </cell>
        </row>
        <row r="436">
          <cell r="A436" t="str">
            <v>SW6911</v>
          </cell>
          <cell r="B436">
            <v>5.0187999999999997</v>
          </cell>
        </row>
        <row r="437">
          <cell r="A437" t="str">
            <v>SW6912</v>
          </cell>
          <cell r="B437">
            <v>5.3136000000000001</v>
          </cell>
        </row>
        <row r="438">
          <cell r="A438" t="str">
            <v>SW6913</v>
          </cell>
          <cell r="B438">
            <v>5.2304000000000004</v>
          </cell>
        </row>
        <row r="439">
          <cell r="A439" t="str">
            <v>SW6914</v>
          </cell>
          <cell r="B439">
            <v>5.1097000000000001</v>
          </cell>
        </row>
        <row r="440">
          <cell r="A440" t="str">
            <v>SW6915</v>
          </cell>
          <cell r="B440">
            <v>5.0237999999999996</v>
          </cell>
        </row>
        <row r="441">
          <cell r="A441" t="str">
            <v>SW6916</v>
          </cell>
          <cell r="B441">
            <v>5.2502000000000004</v>
          </cell>
        </row>
        <row r="442">
          <cell r="A442" t="str">
            <v>SW6917</v>
          </cell>
          <cell r="B442">
            <v>7.0410000000000004</v>
          </cell>
        </row>
        <row r="443">
          <cell r="A443" t="str">
            <v>SW6918</v>
          </cell>
          <cell r="B443">
            <v>5.5693999999999999</v>
          </cell>
        </row>
        <row r="444">
          <cell r="A444" t="str">
            <v>SW6919</v>
          </cell>
          <cell r="B444">
            <v>5.1097000000000001</v>
          </cell>
        </row>
        <row r="445">
          <cell r="A445" t="str">
            <v>SW6920</v>
          </cell>
          <cell r="B445">
            <v>5.1097000000000001</v>
          </cell>
        </row>
        <row r="446">
          <cell r="A446" t="str">
            <v>SW6921</v>
          </cell>
          <cell r="B446">
            <v>5.0187999999999997</v>
          </cell>
        </row>
        <row r="447">
          <cell r="A447" t="str">
            <v>SW6922</v>
          </cell>
          <cell r="B447">
            <v>5.1516000000000002</v>
          </cell>
        </row>
        <row r="448">
          <cell r="A448" t="str">
            <v>SW6923</v>
          </cell>
          <cell r="B448">
            <v>5.6135999999999999</v>
          </cell>
        </row>
        <row r="449">
          <cell r="A449" t="str">
            <v>SW6924</v>
          </cell>
          <cell r="B449">
            <v>5.2746000000000004</v>
          </cell>
        </row>
        <row r="450">
          <cell r="A450" t="str">
            <v>SW6925</v>
          </cell>
          <cell r="B450">
            <v>5.0237999999999996</v>
          </cell>
        </row>
        <row r="451">
          <cell r="A451" t="str">
            <v>SW6926</v>
          </cell>
          <cell r="B451">
            <v>5.1174999999999997</v>
          </cell>
        </row>
        <row r="452">
          <cell r="A452" t="str">
            <v>SW6927</v>
          </cell>
          <cell r="B452">
            <v>7.1193999999999997</v>
          </cell>
        </row>
        <row r="453">
          <cell r="A453" t="str">
            <v>SW6928</v>
          </cell>
          <cell r="B453">
            <v>5.0187999999999997</v>
          </cell>
        </row>
        <row r="454">
          <cell r="A454" t="str">
            <v>SW6929</v>
          </cell>
          <cell r="B454">
            <v>5.0187999999999997</v>
          </cell>
        </row>
        <row r="455">
          <cell r="A455" t="str">
            <v>SW6930</v>
          </cell>
          <cell r="B455">
            <v>5.0713999999999997</v>
          </cell>
        </row>
        <row r="456">
          <cell r="A456" t="str">
            <v>SW6931</v>
          </cell>
          <cell r="B456">
            <v>3.9584999999999999</v>
          </cell>
        </row>
        <row r="457">
          <cell r="A457" t="str">
            <v>SW6932</v>
          </cell>
          <cell r="B457">
            <v>5.1174999999999997</v>
          </cell>
        </row>
        <row r="458">
          <cell r="A458" t="str">
            <v>SW6933</v>
          </cell>
          <cell r="B458">
            <v>7.0342000000000002</v>
          </cell>
        </row>
        <row r="459">
          <cell r="A459" t="str">
            <v>SW6934</v>
          </cell>
          <cell r="B459">
            <v>5.3537999999999997</v>
          </cell>
        </row>
        <row r="460">
          <cell r="A460" t="str">
            <v>SW6935</v>
          </cell>
          <cell r="B460">
            <v>5.0237999999999996</v>
          </cell>
        </row>
        <row r="461">
          <cell r="A461" t="str">
            <v>SW6936</v>
          </cell>
          <cell r="B461">
            <v>5.4463999999999997</v>
          </cell>
        </row>
        <row r="462">
          <cell r="A462" t="str">
            <v>SW6937</v>
          </cell>
          <cell r="B462">
            <v>5.3136000000000001</v>
          </cell>
        </row>
        <row r="463">
          <cell r="A463" t="str">
            <v>SW6938</v>
          </cell>
          <cell r="B463">
            <v>4.8860999999999999</v>
          </cell>
        </row>
        <row r="464">
          <cell r="A464" t="str">
            <v>SW6939</v>
          </cell>
          <cell r="B464">
            <v>5.3602999999999996</v>
          </cell>
        </row>
        <row r="465">
          <cell r="A465" t="str">
            <v>SW6940</v>
          </cell>
          <cell r="B465">
            <v>5.0266000000000002</v>
          </cell>
        </row>
        <row r="466">
          <cell r="A466" t="str">
            <v>SW6941</v>
          </cell>
          <cell r="B466">
            <v>5.3262</v>
          </cell>
        </row>
        <row r="467">
          <cell r="A467" t="str">
            <v>SW6942</v>
          </cell>
          <cell r="B467">
            <v>5.383</v>
          </cell>
        </row>
      </sheetData>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Analysis for Estimate"/>
      <sheetName val="Project Log"/>
      <sheetName val="Sheet1"/>
      <sheetName val="Sheet3"/>
      <sheetName val="Sheet4"/>
      <sheetName val="Sheet5"/>
      <sheetName val="Sheet6"/>
      <sheetName val="O&amp;M Pivot Analysis"/>
      <sheetName val="Source Data"/>
      <sheetName val="IM Risk Score Per Pipeline"/>
      <sheetName val="IM System Name"/>
      <sheetName val="Directions"/>
      <sheetName val="Costs By Year"/>
      <sheetName val="ILI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1">
          <cell r="B21">
            <v>2013</v>
          </cell>
        </row>
        <row r="22">
          <cell r="B22">
            <v>2014</v>
          </cell>
        </row>
        <row r="23">
          <cell r="B23">
            <v>2015</v>
          </cell>
        </row>
        <row r="24">
          <cell r="B24">
            <v>2016</v>
          </cell>
        </row>
        <row r="25">
          <cell r="B25">
            <v>2017</v>
          </cell>
        </row>
        <row r="26">
          <cell r="B26">
            <v>2018</v>
          </cell>
        </row>
        <row r="27">
          <cell r="B27">
            <v>2019</v>
          </cell>
        </row>
        <row r="28">
          <cell r="B28">
            <v>2020</v>
          </cell>
        </row>
        <row r="29">
          <cell r="B29">
            <v>2021</v>
          </cell>
        </row>
        <row r="30">
          <cell r="B30">
            <v>2022</v>
          </cell>
        </row>
        <row r="31">
          <cell r="B31">
            <v>2023</v>
          </cell>
        </row>
        <row r="32">
          <cell r="B32">
            <v>2024</v>
          </cell>
        </row>
        <row r="33">
          <cell r="B33">
            <v>2025</v>
          </cell>
        </row>
        <row r="34">
          <cell r="B34">
            <v>2026</v>
          </cell>
        </row>
        <row r="35">
          <cell r="B35">
            <v>2027</v>
          </cell>
        </row>
        <row r="36">
          <cell r="B36">
            <v>2028</v>
          </cell>
        </row>
        <row r="37">
          <cell r="B37">
            <v>2029</v>
          </cell>
        </row>
        <row r="38">
          <cell r="B38">
            <v>2030</v>
          </cell>
        </row>
        <row r="39">
          <cell r="B39">
            <v>2031</v>
          </cell>
        </row>
        <row r="40">
          <cell r="B40">
            <v>2032</v>
          </cell>
        </row>
        <row r="41">
          <cell r="B41">
            <v>2033</v>
          </cell>
        </row>
        <row r="42">
          <cell r="B42">
            <v>2034</v>
          </cell>
        </row>
        <row r="43">
          <cell r="B43">
            <v>2035</v>
          </cell>
        </row>
        <row r="44">
          <cell r="B44" t="str">
            <v>Other</v>
          </cell>
        </row>
        <row r="520">
          <cell r="B520" t="str">
            <v>Bridge Crossings</v>
          </cell>
        </row>
        <row r="521">
          <cell r="B521" t="str">
            <v>Casings</v>
          </cell>
        </row>
        <row r="522">
          <cell r="B522" t="str">
            <v>Data Collection</v>
          </cell>
        </row>
        <row r="523">
          <cell r="B523" t="str">
            <v>Direct Assesment</v>
          </cell>
        </row>
        <row r="524">
          <cell r="B524" t="str">
            <v>Encroachments</v>
          </cell>
        </row>
        <row r="525">
          <cell r="B525" t="str">
            <v>Exposures</v>
          </cell>
        </row>
        <row r="526">
          <cell r="B526" t="str">
            <v>Gas Quality / Conditioning</v>
          </cell>
        </row>
        <row r="527">
          <cell r="B527" t="str">
            <v>ILI Assessments</v>
          </cell>
        </row>
        <row r="528">
          <cell r="B528" t="str">
            <v>ILI Retrofits</v>
          </cell>
        </row>
        <row r="529">
          <cell r="B529" t="str">
            <v>Ineffectively Coated Steel</v>
          </cell>
        </row>
        <row r="530">
          <cell r="B530" t="str">
            <v>Inside Meters</v>
          </cell>
        </row>
        <row r="531">
          <cell r="B531" t="str">
            <v>Miscellaneous</v>
          </cell>
        </row>
        <row r="532">
          <cell r="B532" t="str">
            <v>Non-Commerically Available Pipe Size</v>
          </cell>
        </row>
        <row r="533">
          <cell r="B533" t="str">
            <v>Obsolete Equipment</v>
          </cell>
        </row>
        <row r="534">
          <cell r="B534" t="str">
            <v>Odorizers</v>
          </cell>
        </row>
        <row r="535">
          <cell r="B535" t="str">
            <v>Pressure Monitoring / SCADA / RTU</v>
          </cell>
        </row>
        <row r="536">
          <cell r="B536" t="str">
            <v>Pressure Test</v>
          </cell>
        </row>
        <row r="537">
          <cell r="B537" t="str">
            <v>Priority Pipe</v>
          </cell>
        </row>
        <row r="538">
          <cell r="B538" t="str">
            <v>Regulator Station</v>
          </cell>
        </row>
        <row r="539">
          <cell r="B539" t="str">
            <v>Retirements</v>
          </cell>
        </row>
        <row r="540">
          <cell r="B540" t="str">
            <v>Shallow Pipe</v>
          </cell>
        </row>
        <row r="541">
          <cell r="B541" t="str">
            <v>Single Feed Systems</v>
          </cell>
        </row>
        <row r="542">
          <cell r="B542" t="str">
            <v>Station Rehabilitation</v>
          </cell>
        </row>
        <row r="543">
          <cell r="B543" t="str">
            <v>Uprate</v>
          </cell>
        </row>
        <row r="544">
          <cell r="B544" t="str">
            <v>Valves / Operators / Remote Cntrl</v>
          </cell>
        </row>
        <row r="545">
          <cell r="B545" t="str">
            <v>Vintage Plastic (Aldyl-A)</v>
          </cell>
        </row>
        <row r="548">
          <cell r="B548" t="str">
            <v>Transmission</v>
          </cell>
        </row>
        <row r="549">
          <cell r="B549" t="str">
            <v>Distribution</v>
          </cell>
        </row>
        <row r="552">
          <cell r="B552" t="str">
            <v>NE</v>
          </cell>
        </row>
        <row r="553">
          <cell r="B553" t="str">
            <v>NW</v>
          </cell>
        </row>
        <row r="554">
          <cell r="B554" t="str">
            <v>OH</v>
          </cell>
        </row>
        <row r="555">
          <cell r="B555" t="str">
            <v>SE</v>
          </cell>
        </row>
        <row r="556">
          <cell r="B556" t="str">
            <v>SW</v>
          </cell>
        </row>
        <row r="559">
          <cell r="B559" t="str">
            <v>NE/Anderson</v>
          </cell>
        </row>
        <row r="560">
          <cell r="B560" t="str">
            <v>NE/Greenfield</v>
          </cell>
        </row>
        <row r="561">
          <cell r="B561" t="str">
            <v>NE/Huntington</v>
          </cell>
        </row>
        <row r="562">
          <cell r="B562" t="str">
            <v>NE/Muncie</v>
          </cell>
        </row>
        <row r="563">
          <cell r="B563" t="str">
            <v>NE/New Castle</v>
          </cell>
        </row>
        <row r="564">
          <cell r="B564" t="str">
            <v>NE/Noblesville</v>
          </cell>
        </row>
        <row r="565">
          <cell r="B565" t="str">
            <v>NE/Richmond</v>
          </cell>
        </row>
        <row r="566">
          <cell r="B566" t="str">
            <v>NW/Attica</v>
          </cell>
        </row>
        <row r="567">
          <cell r="B567" t="str">
            <v>NW/Crawfordsville</v>
          </cell>
        </row>
        <row r="568">
          <cell r="B568" t="str">
            <v>NW/Danville</v>
          </cell>
        </row>
        <row r="569">
          <cell r="B569" t="str">
            <v>NW/Frankfort</v>
          </cell>
        </row>
        <row r="570">
          <cell r="B570" t="str">
            <v>NW/Greencastle</v>
          </cell>
        </row>
        <row r="571">
          <cell r="B571" t="str">
            <v>NW/Lafayette</v>
          </cell>
        </row>
        <row r="572">
          <cell r="B572" t="str">
            <v>NW/Lebanon</v>
          </cell>
        </row>
        <row r="573">
          <cell r="B573" t="str">
            <v>NW/Rockville</v>
          </cell>
        </row>
        <row r="574">
          <cell r="B574" t="str">
            <v>NW/Terre Haute</v>
          </cell>
        </row>
        <row r="575">
          <cell r="B575" t="str">
            <v>NW/Wolcott</v>
          </cell>
        </row>
        <row r="576">
          <cell r="B576" t="str">
            <v>SE/Bedford</v>
          </cell>
        </row>
        <row r="577">
          <cell r="B577" t="str">
            <v>SE/Bloomington</v>
          </cell>
        </row>
        <row r="578">
          <cell r="B578" t="str">
            <v>SE/Clarksville</v>
          </cell>
        </row>
        <row r="579">
          <cell r="B579" t="str">
            <v>SE/Columbus</v>
          </cell>
        </row>
        <row r="580">
          <cell r="B580" t="str">
            <v>SE/Franklin</v>
          </cell>
        </row>
        <row r="581">
          <cell r="B581" t="str">
            <v>SE/Greensburg</v>
          </cell>
        </row>
        <row r="582">
          <cell r="B582" t="str">
            <v>SE/Madison</v>
          </cell>
        </row>
        <row r="583">
          <cell r="B583" t="str">
            <v>SE/Martinsville</v>
          </cell>
        </row>
        <row r="584">
          <cell r="B584" t="str">
            <v>SE/Shelbyville</v>
          </cell>
        </row>
        <row r="585">
          <cell r="B585" t="str">
            <v>SW/Boonville</v>
          </cell>
        </row>
        <row r="586">
          <cell r="B586" t="str">
            <v>SW/Evansville</v>
          </cell>
        </row>
        <row r="587">
          <cell r="B587" t="str">
            <v>SW/Mt. Vernon</v>
          </cell>
        </row>
        <row r="588">
          <cell r="B588" t="str">
            <v>SW/Rockport</v>
          </cell>
        </row>
        <row r="589">
          <cell r="B589" t="str">
            <v>SW/Vincennes</v>
          </cell>
        </row>
        <row r="590">
          <cell r="B590" t="str">
            <v>OH/Centerville</v>
          </cell>
        </row>
        <row r="591">
          <cell r="B591" t="str">
            <v>OH/Dayton West</v>
          </cell>
        </row>
        <row r="592">
          <cell r="B592" t="str">
            <v>OH/Fairborn</v>
          </cell>
        </row>
        <row r="593">
          <cell r="B593" t="str">
            <v>OH/Troy</v>
          </cell>
        </row>
        <row r="594">
          <cell r="B594" t="str">
            <v>OH/Washington CH</v>
          </cell>
        </row>
        <row r="597">
          <cell r="B597" t="str">
            <v>SB 251</v>
          </cell>
        </row>
        <row r="598">
          <cell r="B598" t="str">
            <v>SB 560</v>
          </cell>
        </row>
        <row r="599">
          <cell r="B599" t="str">
            <v>SB 560 PI</v>
          </cell>
        </row>
        <row r="600">
          <cell r="B600" t="str">
            <v>SB 560 SI</v>
          </cell>
        </row>
        <row r="601">
          <cell r="B601" t="str">
            <v>SB 560 SR</v>
          </cell>
        </row>
        <row r="602">
          <cell r="B602" t="str">
            <v>SB 560 C</v>
          </cell>
        </row>
        <row r="603">
          <cell r="B603" t="str">
            <v>SB 560 LPS</v>
          </cell>
        </row>
        <row r="604">
          <cell r="B604" t="str">
            <v>PSA Tracker</v>
          </cell>
        </row>
        <row r="605">
          <cell r="B605" t="str">
            <v>Other</v>
          </cell>
        </row>
        <row r="608">
          <cell r="B608" t="str">
            <v>Yes</v>
          </cell>
        </row>
        <row r="609">
          <cell r="B609" t="str">
            <v>No</v>
          </cell>
        </row>
        <row r="612">
          <cell r="B612" t="str">
            <v>Budgeted</v>
          </cell>
        </row>
        <row r="613">
          <cell r="B613" t="str">
            <v>Scheduled</v>
          </cell>
        </row>
        <row r="614">
          <cell r="B614" t="str">
            <v>In Progress</v>
          </cell>
        </row>
        <row r="615">
          <cell r="B615" t="str">
            <v>Resolved</v>
          </cell>
        </row>
        <row r="616">
          <cell r="B616" t="str">
            <v>Completed</v>
          </cell>
        </row>
        <row r="617">
          <cell r="B617" t="str">
            <v>Rollover</v>
          </cell>
        </row>
        <row r="639">
          <cell r="B639" t="str">
            <v>External Corrosion</v>
          </cell>
          <cell r="C639">
            <v>5</v>
          </cell>
        </row>
        <row r="640">
          <cell r="B640" t="str">
            <v>Internal Corrosion</v>
          </cell>
          <cell r="C640">
            <v>5</v>
          </cell>
        </row>
        <row r="641">
          <cell r="B641" t="str">
            <v>Atmospheric Corrosion</v>
          </cell>
          <cell r="C641">
            <v>3</v>
          </cell>
        </row>
        <row r="642">
          <cell r="B642" t="str">
            <v>Indirect Corrosion</v>
          </cell>
          <cell r="C642">
            <v>2</v>
          </cell>
        </row>
        <row r="643">
          <cell r="B643" t="str">
            <v>Natural Forces</v>
          </cell>
          <cell r="C643">
            <v>5</v>
          </cell>
        </row>
        <row r="644">
          <cell r="B644" t="str">
            <v>Excavation Damage</v>
          </cell>
          <cell r="C644">
            <v>5</v>
          </cell>
        </row>
        <row r="645">
          <cell r="B645" t="str">
            <v>Other Outside Force</v>
          </cell>
          <cell r="C645">
            <v>5</v>
          </cell>
        </row>
        <row r="646">
          <cell r="B646" t="str">
            <v>Material Weld / Joint</v>
          </cell>
          <cell r="C646">
            <v>5</v>
          </cell>
        </row>
        <row r="647">
          <cell r="B647" t="str">
            <v>Equipment Malfunction</v>
          </cell>
          <cell r="C647">
            <v>3</v>
          </cell>
        </row>
        <row r="648">
          <cell r="B648" t="str">
            <v>Inappropriate Operation</v>
          </cell>
          <cell r="C648">
            <v>4</v>
          </cell>
        </row>
        <row r="649">
          <cell r="B649" t="str">
            <v>Sewer Transection</v>
          </cell>
          <cell r="C649">
            <v>4</v>
          </cell>
        </row>
        <row r="650">
          <cell r="B650" t="str">
            <v>Overbuilds / Encroachment</v>
          </cell>
          <cell r="C650">
            <v>3</v>
          </cell>
        </row>
        <row r="651">
          <cell r="B651" t="str">
            <v>Stress Corrosion cracking</v>
          </cell>
          <cell r="C651">
            <v>5</v>
          </cell>
        </row>
        <row r="652">
          <cell r="B652" t="str">
            <v>Seam / Weld / Fab / Girth Def</v>
          </cell>
          <cell r="C652">
            <v>5</v>
          </cell>
        </row>
        <row r="653">
          <cell r="B653" t="str">
            <v>Pipe Body defect</v>
          </cell>
          <cell r="C653">
            <v>3</v>
          </cell>
        </row>
        <row r="654">
          <cell r="B654" t="str">
            <v>Wrinkle Bend</v>
          </cell>
          <cell r="C654">
            <v>2</v>
          </cell>
        </row>
        <row r="655">
          <cell r="B655" t="str">
            <v>Broken thread or coupling</v>
          </cell>
          <cell r="C655">
            <v>1</v>
          </cell>
        </row>
        <row r="656">
          <cell r="B656" t="str">
            <v>Gasket or o-ring failure</v>
          </cell>
          <cell r="C656">
            <v>1</v>
          </cell>
        </row>
        <row r="657">
          <cell r="B657" t="str">
            <v>Pressure control equipment</v>
          </cell>
          <cell r="C657">
            <v>4</v>
          </cell>
        </row>
        <row r="658">
          <cell r="B658" t="str">
            <v>Seal or Packing failure</v>
          </cell>
          <cell r="C658">
            <v>1</v>
          </cell>
        </row>
        <row r="659">
          <cell r="B659" t="str">
            <v>Misc Equipment</v>
          </cell>
          <cell r="C659">
            <v>2</v>
          </cell>
        </row>
        <row r="660">
          <cell r="B660" t="str">
            <v>Risk of Damage</v>
          </cell>
          <cell r="C660">
            <v>3</v>
          </cell>
        </row>
        <row r="661">
          <cell r="B661" t="str">
            <v>Vandalism</v>
          </cell>
          <cell r="C661">
            <v>3</v>
          </cell>
        </row>
        <row r="662">
          <cell r="B662" t="str">
            <v>Incorrect operation</v>
          </cell>
          <cell r="C662">
            <v>3</v>
          </cell>
        </row>
        <row r="663">
          <cell r="B663" t="str">
            <v>Cold Weather</v>
          </cell>
          <cell r="C663">
            <v>1</v>
          </cell>
        </row>
        <row r="664">
          <cell r="B664" t="str">
            <v>Lightning</v>
          </cell>
          <cell r="C664">
            <v>1</v>
          </cell>
        </row>
        <row r="665">
          <cell r="B665" t="str">
            <v>Flooding or heavy rain</v>
          </cell>
          <cell r="C665">
            <v>3</v>
          </cell>
        </row>
        <row r="666">
          <cell r="B666" t="str">
            <v>Soil Movement</v>
          </cell>
          <cell r="C666">
            <v>1</v>
          </cell>
        </row>
        <row r="669">
          <cell r="B669" t="str">
            <v>Pipeline - Steel</v>
          </cell>
          <cell r="C669">
            <v>5</v>
          </cell>
        </row>
        <row r="670">
          <cell r="B670" t="str">
            <v>Pipeline - Plastic</v>
          </cell>
          <cell r="C670">
            <v>4</v>
          </cell>
        </row>
        <row r="671">
          <cell r="B671" t="str">
            <v>Pipeline - Cast Iron</v>
          </cell>
          <cell r="C671">
            <v>5</v>
          </cell>
        </row>
        <row r="672">
          <cell r="B672" t="str">
            <v>Valve</v>
          </cell>
          <cell r="C672">
            <v>3</v>
          </cell>
        </row>
        <row r="673">
          <cell r="B673" t="str">
            <v>Pipeline Heater</v>
          </cell>
          <cell r="C673">
            <v>3</v>
          </cell>
        </row>
        <row r="674">
          <cell r="B674" t="str">
            <v>Odorizer</v>
          </cell>
          <cell r="C674">
            <v>3</v>
          </cell>
        </row>
        <row r="675">
          <cell r="B675" t="str">
            <v>Filter</v>
          </cell>
          <cell r="C675">
            <v>2</v>
          </cell>
        </row>
        <row r="676">
          <cell r="B676" t="str">
            <v>Pressure Control</v>
          </cell>
          <cell r="C676">
            <v>4</v>
          </cell>
        </row>
        <row r="677">
          <cell r="B677" t="str">
            <v>Meter</v>
          </cell>
          <cell r="C677">
            <v>4</v>
          </cell>
        </row>
        <row r="678">
          <cell r="B678" t="str">
            <v>Service Line - Steel</v>
          </cell>
          <cell r="C678">
            <v>5</v>
          </cell>
        </row>
        <row r="679">
          <cell r="B679" t="str">
            <v>Service Line - Plastic</v>
          </cell>
          <cell r="C679">
            <v>4</v>
          </cell>
        </row>
        <row r="680">
          <cell r="B680" t="str">
            <v>Service Line - Other</v>
          </cell>
          <cell r="C680">
            <v>5</v>
          </cell>
        </row>
        <row r="681">
          <cell r="B681" t="str">
            <v>Gas Quality Equip</v>
          </cell>
          <cell r="C681">
            <v>2</v>
          </cell>
        </row>
        <row r="684">
          <cell r="B684" t="str">
            <v>Unknown</v>
          </cell>
          <cell r="C684">
            <v>3</v>
          </cell>
        </row>
        <row r="685">
          <cell r="B685" t="str">
            <v>2000-current</v>
          </cell>
          <cell r="C685">
            <v>1</v>
          </cell>
        </row>
        <row r="686">
          <cell r="B686" t="str">
            <v>1985 - 1999</v>
          </cell>
          <cell r="C686">
            <v>2</v>
          </cell>
        </row>
        <row r="687">
          <cell r="B687" t="str">
            <v>1971 - 1985</v>
          </cell>
          <cell r="C687">
            <v>4</v>
          </cell>
        </row>
        <row r="688">
          <cell r="B688" t="str">
            <v>1955 -1970</v>
          </cell>
          <cell r="C688">
            <v>4</v>
          </cell>
        </row>
        <row r="689">
          <cell r="B689" t="str">
            <v>Prior to 1955</v>
          </cell>
          <cell r="C689">
            <v>5</v>
          </cell>
        </row>
        <row r="690">
          <cell r="B690" t="str">
            <v>N/A</v>
          </cell>
          <cell r="C690">
            <v>3</v>
          </cell>
        </row>
        <row r="693">
          <cell r="B693" t="str">
            <v>Unknown</v>
          </cell>
          <cell r="C693">
            <v>5</v>
          </cell>
        </row>
        <row r="694">
          <cell r="B694" t="str">
            <v>HP Dist: &gt; 60 psig &amp; &lt;20%</v>
          </cell>
          <cell r="C694">
            <v>2</v>
          </cell>
        </row>
        <row r="695">
          <cell r="B695" t="str">
            <v>Distribution &lt;60psig</v>
          </cell>
          <cell r="C695">
            <v>1</v>
          </cell>
        </row>
        <row r="696">
          <cell r="B696" t="str">
            <v>Transmission: 20% - 30%</v>
          </cell>
          <cell r="C696">
            <v>3</v>
          </cell>
        </row>
        <row r="697">
          <cell r="B697" t="str">
            <v>Transmission: 30% - 50%</v>
          </cell>
          <cell r="C697">
            <v>4</v>
          </cell>
        </row>
        <row r="698">
          <cell r="B698" t="str">
            <v>Transmission: &gt; 50%</v>
          </cell>
          <cell r="C698">
            <v>5</v>
          </cell>
        </row>
        <row r="701">
          <cell r="B701" t="str">
            <v>Yes</v>
          </cell>
          <cell r="C701">
            <v>4</v>
          </cell>
        </row>
        <row r="702">
          <cell r="B702" t="str">
            <v>No</v>
          </cell>
          <cell r="C702">
            <v>1</v>
          </cell>
        </row>
        <row r="703">
          <cell r="B703" t="str">
            <v>N/A</v>
          </cell>
          <cell r="C703">
            <v>1</v>
          </cell>
        </row>
        <row r="706">
          <cell r="B706" t="str">
            <v>Residential</v>
          </cell>
          <cell r="C706">
            <v>4</v>
          </cell>
        </row>
        <row r="707">
          <cell r="B707" t="str">
            <v>Business District</v>
          </cell>
          <cell r="C707">
            <v>5</v>
          </cell>
        </row>
        <row r="708">
          <cell r="B708" t="str">
            <v>Rural</v>
          </cell>
          <cell r="C708">
            <v>2</v>
          </cell>
        </row>
        <row r="709">
          <cell r="B709" t="str">
            <v>Class 1  (1-10)</v>
          </cell>
          <cell r="C709">
            <v>1</v>
          </cell>
        </row>
        <row r="710">
          <cell r="B710" t="str">
            <v>Class 2 (11-46)</v>
          </cell>
          <cell r="C710">
            <v>2</v>
          </cell>
        </row>
        <row r="711">
          <cell r="B711" t="str">
            <v>Class 3 (&gt;  46)</v>
          </cell>
          <cell r="C711">
            <v>4</v>
          </cell>
        </row>
        <row r="712">
          <cell r="B712" t="str">
            <v>Class 4 (4+stories bldgs)</v>
          </cell>
          <cell r="C712">
            <v>5</v>
          </cell>
        </row>
        <row r="715">
          <cell r="B715" t="str">
            <v>&lt; 1yr</v>
          </cell>
          <cell r="C715">
            <v>5</v>
          </cell>
        </row>
        <row r="716">
          <cell r="B716" t="str">
            <v>&gt; 1 yr / &lt; 2 yr</v>
          </cell>
          <cell r="C716">
            <v>4</v>
          </cell>
        </row>
        <row r="717">
          <cell r="B717" t="str">
            <v>&gt; 2 yr / &lt; 3 yr</v>
          </cell>
          <cell r="C717">
            <v>3</v>
          </cell>
        </row>
        <row r="718">
          <cell r="B718" t="str">
            <v>&gt; 3 yr / &lt; 4 yr</v>
          </cell>
          <cell r="C718">
            <v>2</v>
          </cell>
        </row>
        <row r="719">
          <cell r="B719" t="str">
            <v>&gt; 4 yr / &lt; 5 yr</v>
          </cell>
          <cell r="C719">
            <v>1</v>
          </cell>
        </row>
        <row r="720">
          <cell r="B720" t="str">
            <v>N/A</v>
          </cell>
          <cell r="C720">
            <v>0</v>
          </cell>
        </row>
        <row r="723">
          <cell r="B723" t="str">
            <v>Ready to inspect</v>
          </cell>
          <cell r="C723">
            <v>1</v>
          </cell>
        </row>
        <row r="724">
          <cell r="B724" t="str">
            <v>Traps in place + Minor modifications needed</v>
          </cell>
          <cell r="C724">
            <v>2</v>
          </cell>
        </row>
        <row r="725">
          <cell r="B725" t="str">
            <v>Traps required + Minor modifications needed</v>
          </cell>
          <cell r="C725">
            <v>3</v>
          </cell>
        </row>
        <row r="726">
          <cell r="B726" t="str">
            <v>Traps required + Major modifications needed</v>
          </cell>
          <cell r="C726">
            <v>4</v>
          </cell>
        </row>
        <row r="727">
          <cell r="B727" t="str">
            <v>Not feasible for modification to all smart pigging</v>
          </cell>
          <cell r="C727">
            <v>5</v>
          </cell>
        </row>
        <row r="728">
          <cell r="B728" t="str">
            <v>N/A</v>
          </cell>
          <cell r="C728">
            <v>1</v>
          </cell>
        </row>
        <row r="731">
          <cell r="B731" t="str">
            <v>Wall/Wall Pavement</v>
          </cell>
          <cell r="C731">
            <v>5</v>
          </cell>
        </row>
        <row r="732">
          <cell r="B732" t="str">
            <v>Cased Crossing</v>
          </cell>
          <cell r="C732">
            <v>2</v>
          </cell>
        </row>
        <row r="733">
          <cell r="B733" t="str">
            <v>Non- Cased Crossing</v>
          </cell>
          <cell r="C733">
            <v>4</v>
          </cell>
        </row>
        <row r="734">
          <cell r="B734" t="str">
            <v>Extra Depth</v>
          </cell>
          <cell r="C734">
            <v>4</v>
          </cell>
        </row>
        <row r="735">
          <cell r="B735" t="str">
            <v>Water Crossing</v>
          </cell>
          <cell r="C735">
            <v>5</v>
          </cell>
        </row>
        <row r="736">
          <cell r="B736" t="str">
            <v>Farm / Native Soil</v>
          </cell>
          <cell r="C736">
            <v>2</v>
          </cell>
        </row>
        <row r="737">
          <cell r="B737" t="str">
            <v>Above-Ground</v>
          </cell>
          <cell r="C737">
            <v>2</v>
          </cell>
        </row>
        <row r="738">
          <cell r="B738" t="str">
            <v>Below-Ground - Pit / Vault</v>
          </cell>
          <cell r="C738">
            <v>3</v>
          </cell>
        </row>
        <row r="739">
          <cell r="B739" t="str">
            <v>Street / Public ROW</v>
          </cell>
          <cell r="C739">
            <v>4</v>
          </cell>
        </row>
        <row r="742">
          <cell r="B742" t="str">
            <v>Time Sensitive (Current Year)</v>
          </cell>
          <cell r="C742">
            <v>5</v>
          </cell>
        </row>
        <row r="743">
          <cell r="B743" t="str">
            <v>Time Sensitive (1-2 years)</v>
          </cell>
          <cell r="C743">
            <v>3</v>
          </cell>
        </row>
        <row r="744">
          <cell r="B744" t="str">
            <v>Time Sensitive (3-5 years)</v>
          </cell>
          <cell r="C744">
            <v>2</v>
          </cell>
        </row>
        <row r="745">
          <cell r="B745" t="str">
            <v>Operations &amp; Maintenance</v>
          </cell>
          <cell r="C745">
            <v>1</v>
          </cell>
        </row>
        <row r="746">
          <cell r="B746" t="str">
            <v xml:space="preserve">High Impact </v>
          </cell>
          <cell r="C746">
            <v>5</v>
          </cell>
        </row>
        <row r="749">
          <cell r="B749" t="str">
            <v>Local</v>
          </cell>
          <cell r="C749">
            <v>3</v>
          </cell>
        </row>
        <row r="750">
          <cell r="B750" t="str">
            <v>State Permit</v>
          </cell>
          <cell r="C750">
            <v>4</v>
          </cell>
        </row>
        <row r="751">
          <cell r="B751" t="str">
            <v>Federal Permit</v>
          </cell>
          <cell r="C751">
            <v>5</v>
          </cell>
        </row>
        <row r="752">
          <cell r="B752" t="str">
            <v>Environmental</v>
          </cell>
          <cell r="C752">
            <v>5</v>
          </cell>
        </row>
        <row r="753">
          <cell r="B753" t="str">
            <v>No Long Lead Permits</v>
          </cell>
          <cell r="C753">
            <v>1</v>
          </cell>
        </row>
        <row r="756">
          <cell r="B756" t="str">
            <v>Low PSI / Capacity</v>
          </cell>
          <cell r="C756">
            <v>4</v>
          </cell>
        </row>
        <row r="757">
          <cell r="B757" t="str">
            <v>Water</v>
          </cell>
          <cell r="C757">
            <v>5</v>
          </cell>
        </row>
        <row r="758">
          <cell r="B758" t="str">
            <v>Unlocatable Pipe</v>
          </cell>
          <cell r="C758">
            <v>5</v>
          </cell>
        </row>
        <row r="759">
          <cell r="B759" t="str">
            <v>None Identified</v>
          </cell>
          <cell r="C759">
            <v>0</v>
          </cell>
        </row>
        <row r="762">
          <cell r="B762" t="str">
            <v>Long Lead Time</v>
          </cell>
          <cell r="C762">
            <v>4</v>
          </cell>
        </row>
        <row r="763">
          <cell r="B763" t="str">
            <v xml:space="preserve">Obsolete Material </v>
          </cell>
          <cell r="C763">
            <v>5</v>
          </cell>
        </row>
        <row r="764">
          <cell r="B764" t="str">
            <v>Material Available</v>
          </cell>
          <cell r="C764">
            <v>1</v>
          </cell>
        </row>
      </sheetData>
      <sheetData sheetId="9" refreshError="1">
        <row r="2">
          <cell r="A2" t="str">
            <v>NE4001</v>
          </cell>
          <cell r="B2">
            <v>25.5854</v>
          </cell>
        </row>
        <row r="3">
          <cell r="A3" t="str">
            <v>NE4001</v>
          </cell>
          <cell r="B3">
            <v>5.8658663214730797</v>
          </cell>
        </row>
        <row r="4">
          <cell r="A4" t="str">
            <v>NE4002</v>
          </cell>
          <cell r="B4">
            <v>5.9173999999999998</v>
          </cell>
        </row>
        <row r="5">
          <cell r="A5" t="str">
            <v>NE4002</v>
          </cell>
          <cell r="B5">
            <v>5.8531805250536504</v>
          </cell>
        </row>
        <row r="6">
          <cell r="A6" t="str">
            <v>NE4003</v>
          </cell>
          <cell r="B6">
            <v>22.232199999999999</v>
          </cell>
        </row>
        <row r="7">
          <cell r="A7" t="str">
            <v>NE4003</v>
          </cell>
          <cell r="B7">
            <v>5.8404947286342299</v>
          </cell>
        </row>
        <row r="8">
          <cell r="A8" t="str">
            <v>NE4004</v>
          </cell>
          <cell r="B8">
            <v>19.491099999999999</v>
          </cell>
        </row>
        <row r="9">
          <cell r="A9" t="str">
            <v>NE4004</v>
          </cell>
          <cell r="B9">
            <v>5.8278089322148103</v>
          </cell>
        </row>
        <row r="10">
          <cell r="A10" t="str">
            <v>NE4005</v>
          </cell>
          <cell r="B10">
            <v>14.8757</v>
          </cell>
        </row>
        <row r="11">
          <cell r="A11" t="str">
            <v>NE4005</v>
          </cell>
          <cell r="B11">
            <v>5.8151231357953899</v>
          </cell>
        </row>
        <row r="12">
          <cell r="A12" t="str">
            <v>NE4006</v>
          </cell>
          <cell r="B12">
            <v>16.962199999999999</v>
          </cell>
        </row>
        <row r="13">
          <cell r="A13" t="str">
            <v>NE4006</v>
          </cell>
          <cell r="B13">
            <v>5.8024373393759703</v>
          </cell>
        </row>
        <row r="14">
          <cell r="A14" t="str">
            <v>NE4007</v>
          </cell>
          <cell r="B14">
            <v>7.7610999999999999</v>
          </cell>
        </row>
        <row r="15">
          <cell r="A15" t="str">
            <v>NE4007</v>
          </cell>
          <cell r="B15">
            <v>5.7897515429565498</v>
          </cell>
        </row>
        <row r="16">
          <cell r="A16" t="str">
            <v>NE4008</v>
          </cell>
          <cell r="B16">
            <v>9.7829999999999995</v>
          </cell>
        </row>
        <row r="17">
          <cell r="A17" t="str">
            <v>NE4008</v>
          </cell>
          <cell r="B17">
            <v>5.7770657465371302</v>
          </cell>
        </row>
        <row r="18">
          <cell r="A18" t="str">
            <v>NE4009</v>
          </cell>
          <cell r="B18">
            <v>15.1386</v>
          </cell>
        </row>
        <row r="19">
          <cell r="A19" t="str">
            <v>NE4009</v>
          </cell>
          <cell r="B19">
            <v>5.7643799501177098</v>
          </cell>
        </row>
        <row r="20">
          <cell r="A20" t="str">
            <v>NE4010</v>
          </cell>
          <cell r="B20">
            <v>11.228899999999999</v>
          </cell>
        </row>
        <row r="21">
          <cell r="A21" t="str">
            <v>NE4010</v>
          </cell>
          <cell r="B21">
            <v>5.7516941536982902</v>
          </cell>
        </row>
        <row r="22">
          <cell r="A22" t="str">
            <v>NE4012</v>
          </cell>
          <cell r="B22">
            <v>19.5243</v>
          </cell>
        </row>
        <row r="23">
          <cell r="A23" t="str">
            <v>NE4012</v>
          </cell>
          <cell r="B23">
            <v>5.7390083572788697</v>
          </cell>
        </row>
        <row r="24">
          <cell r="A24" t="str">
            <v>NE4013</v>
          </cell>
          <cell r="B24">
            <v>9.1304999999999996</v>
          </cell>
        </row>
        <row r="25">
          <cell r="A25" t="str">
            <v>NE4013</v>
          </cell>
          <cell r="B25">
            <v>5.7263225608594501</v>
          </cell>
        </row>
        <row r="26">
          <cell r="A26" t="str">
            <v>NE4014</v>
          </cell>
          <cell r="B26">
            <v>8.7512000000000008</v>
          </cell>
        </row>
        <row r="27">
          <cell r="A27" t="str">
            <v>NE4014</v>
          </cell>
          <cell r="B27">
            <v>5.7136367644400297</v>
          </cell>
        </row>
        <row r="28">
          <cell r="A28" t="str">
            <v>NE4015</v>
          </cell>
          <cell r="B28">
            <v>20.802199999999999</v>
          </cell>
        </row>
        <row r="29">
          <cell r="A29" t="str">
            <v>NE4015</v>
          </cell>
          <cell r="B29">
            <v>5.7009509680206101</v>
          </cell>
        </row>
        <row r="30">
          <cell r="A30" t="str">
            <v>NE4016</v>
          </cell>
          <cell r="B30">
            <v>9.4640000000000004</v>
          </cell>
        </row>
        <row r="31">
          <cell r="A31" t="str">
            <v>NE4016</v>
          </cell>
          <cell r="B31">
            <v>5.6882651716011896</v>
          </cell>
        </row>
        <row r="32">
          <cell r="A32" t="str">
            <v>NE4017</v>
          </cell>
          <cell r="B32">
            <v>11.6906</v>
          </cell>
        </row>
        <row r="33">
          <cell r="A33" t="str">
            <v>NE4017</v>
          </cell>
          <cell r="B33">
            <v>5.67557937518177</v>
          </cell>
        </row>
        <row r="34">
          <cell r="A34" t="str">
            <v>NE4018</v>
          </cell>
          <cell r="B34">
            <v>14.6402</v>
          </cell>
        </row>
        <row r="35">
          <cell r="A35" t="str">
            <v>NE4018</v>
          </cell>
          <cell r="B35">
            <v>5.6628935787623504</v>
          </cell>
        </row>
        <row r="36">
          <cell r="A36" t="str">
            <v>NE4019</v>
          </cell>
          <cell r="B36">
            <v>16.918600000000001</v>
          </cell>
        </row>
        <row r="37">
          <cell r="A37" t="str">
            <v>NE4019</v>
          </cell>
          <cell r="B37">
            <v>5.65020778234293</v>
          </cell>
        </row>
        <row r="38">
          <cell r="A38" t="str">
            <v>NE4019.S001</v>
          </cell>
          <cell r="B38">
            <v>7.9560000000000004</v>
          </cell>
        </row>
        <row r="39">
          <cell r="A39" t="str">
            <v>NE4019.S002</v>
          </cell>
          <cell r="B39">
            <v>7.5612000000000004</v>
          </cell>
        </row>
        <row r="40">
          <cell r="A40" t="str">
            <v>NE4019.S003</v>
          </cell>
          <cell r="B40">
            <v>7.3944999999999999</v>
          </cell>
        </row>
        <row r="41">
          <cell r="A41" t="str">
            <v>NE4019.S004</v>
          </cell>
          <cell r="B41">
            <v>8.0806000000000004</v>
          </cell>
        </row>
        <row r="42">
          <cell r="A42" t="str">
            <v>NE4019.S005</v>
          </cell>
          <cell r="B42">
            <v>7.2789000000000001</v>
          </cell>
        </row>
        <row r="43">
          <cell r="A43" t="str">
            <v>NE4019.S006</v>
          </cell>
          <cell r="B43">
            <v>5.6375219859235104</v>
          </cell>
        </row>
        <row r="44">
          <cell r="A44" t="str">
            <v>NE4019.S007</v>
          </cell>
          <cell r="B44">
            <v>5.6248361895040899</v>
          </cell>
        </row>
        <row r="45">
          <cell r="A45" t="str">
            <v>NE4019.S008</v>
          </cell>
          <cell r="B45">
            <v>5.6121503930846703</v>
          </cell>
        </row>
        <row r="46">
          <cell r="A46" t="str">
            <v>NE4019.S009</v>
          </cell>
          <cell r="B46">
            <v>5.5994645966652499</v>
          </cell>
        </row>
        <row r="47">
          <cell r="A47" t="str">
            <v>NE4019.S010</v>
          </cell>
          <cell r="B47">
            <v>5.5867788002458303</v>
          </cell>
        </row>
        <row r="48">
          <cell r="A48" t="str">
            <v>NE4020</v>
          </cell>
          <cell r="B48">
            <v>9.7838999999999992</v>
          </cell>
        </row>
        <row r="49">
          <cell r="A49" t="str">
            <v>NE4020</v>
          </cell>
          <cell r="B49">
            <v>5.5740930038264098</v>
          </cell>
        </row>
        <row r="50">
          <cell r="A50" t="str">
            <v>NE4021</v>
          </cell>
          <cell r="B50">
            <v>9.0787999999999993</v>
          </cell>
        </row>
        <row r="51">
          <cell r="A51" t="str">
            <v>NE4022</v>
          </cell>
          <cell r="B51">
            <v>15.7196</v>
          </cell>
        </row>
        <row r="52">
          <cell r="A52" t="str">
            <v>NE4023</v>
          </cell>
          <cell r="B52">
            <v>18.476299999999998</v>
          </cell>
        </row>
        <row r="53">
          <cell r="A53" t="str">
            <v>NE4024</v>
          </cell>
          <cell r="B53">
            <v>14.3795</v>
          </cell>
        </row>
        <row r="54">
          <cell r="A54" t="str">
            <v>NE4025</v>
          </cell>
          <cell r="B54">
            <v>8.8272999999999993</v>
          </cell>
        </row>
        <row r="55">
          <cell r="A55" t="str">
            <v>NE4027</v>
          </cell>
          <cell r="B55">
            <v>8.1514000000000006</v>
          </cell>
        </row>
        <row r="56">
          <cell r="A56" t="str">
            <v>NE4028</v>
          </cell>
          <cell r="B56">
            <v>6.8855000000000004</v>
          </cell>
        </row>
        <row r="57">
          <cell r="A57" t="str">
            <v>NE4029</v>
          </cell>
          <cell r="B57">
            <v>17.158999999999999</v>
          </cell>
        </row>
        <row r="58">
          <cell r="A58" t="str">
            <v>NE4030</v>
          </cell>
          <cell r="B58">
            <v>8.3254000000000001</v>
          </cell>
        </row>
        <row r="59">
          <cell r="A59" t="str">
            <v>NE4031</v>
          </cell>
          <cell r="B59">
            <v>11.6645</v>
          </cell>
        </row>
        <row r="60">
          <cell r="A60" t="str">
            <v>NE4031.S001</v>
          </cell>
          <cell r="B60">
            <v>5.9587000000000003</v>
          </cell>
        </row>
        <row r="61">
          <cell r="A61" t="str">
            <v>NE4032</v>
          </cell>
          <cell r="B61">
            <v>7.4653999999999998</v>
          </cell>
        </row>
        <row r="62">
          <cell r="A62" t="str">
            <v>NE4033</v>
          </cell>
          <cell r="B62">
            <v>6.5876000000000001</v>
          </cell>
        </row>
        <row r="63">
          <cell r="A63" t="str">
            <v>NS5001</v>
          </cell>
          <cell r="B63">
            <v>16.450099999999999</v>
          </cell>
        </row>
        <row r="64">
          <cell r="A64" t="str">
            <v>NS5002</v>
          </cell>
          <cell r="B64">
            <v>21.3827</v>
          </cell>
        </row>
        <row r="65">
          <cell r="A65" t="str">
            <v>NS5003</v>
          </cell>
          <cell r="B65">
            <v>22.5594</v>
          </cell>
        </row>
        <row r="66">
          <cell r="A66" t="str">
            <v>NS5004</v>
          </cell>
          <cell r="B66">
            <v>16.045100000000001</v>
          </cell>
        </row>
        <row r="67">
          <cell r="A67" t="str">
            <v>NS5005</v>
          </cell>
          <cell r="B67">
            <v>19.691299999999998</v>
          </cell>
        </row>
        <row r="68">
          <cell r="A68" t="str">
            <v>NS5006</v>
          </cell>
          <cell r="B68">
            <v>25.665400000000002</v>
          </cell>
        </row>
        <row r="69">
          <cell r="A69" t="str">
            <v>NS5007</v>
          </cell>
          <cell r="B69">
            <v>9.3331</v>
          </cell>
        </row>
        <row r="70">
          <cell r="A70" t="str">
            <v>NS5008</v>
          </cell>
          <cell r="B70">
            <v>17.103999999999999</v>
          </cell>
        </row>
        <row r="71">
          <cell r="A71" t="str">
            <v>NS5009</v>
          </cell>
          <cell r="B71">
            <v>13.572100000000001</v>
          </cell>
        </row>
        <row r="72">
          <cell r="A72" t="str">
            <v>NS5010</v>
          </cell>
          <cell r="B72">
            <v>13.195</v>
          </cell>
        </row>
        <row r="73">
          <cell r="A73" t="str">
            <v>NS5011</v>
          </cell>
          <cell r="B73">
            <v>14.6777</v>
          </cell>
        </row>
        <row r="74">
          <cell r="A74" t="str">
            <v>NS5012</v>
          </cell>
          <cell r="B74">
            <v>14.6777</v>
          </cell>
        </row>
        <row r="75">
          <cell r="A75" t="str">
            <v>NS5013</v>
          </cell>
          <cell r="B75">
            <v>16.872399999999999</v>
          </cell>
        </row>
        <row r="76">
          <cell r="A76" t="str">
            <v>NS5014</v>
          </cell>
          <cell r="B76">
            <v>21.509599999999999</v>
          </cell>
        </row>
        <row r="77">
          <cell r="A77" t="str">
            <v>NS5015</v>
          </cell>
          <cell r="B77">
            <v>15.69</v>
          </cell>
        </row>
        <row r="78">
          <cell r="A78" t="str">
            <v>NS5015.S001</v>
          </cell>
          <cell r="B78">
            <v>10.0623</v>
          </cell>
        </row>
        <row r="79">
          <cell r="A79" t="str">
            <v>NS5015.S002</v>
          </cell>
          <cell r="B79">
            <v>10.6073</v>
          </cell>
        </row>
        <row r="80">
          <cell r="A80" t="str">
            <v>NS5015.S003</v>
          </cell>
          <cell r="B80">
            <v>9.9100999999999999</v>
          </cell>
        </row>
        <row r="81">
          <cell r="A81" t="str">
            <v>NS5015.S004</v>
          </cell>
          <cell r="B81">
            <v>6.9173999999999998</v>
          </cell>
        </row>
        <row r="82">
          <cell r="A82" t="str">
            <v>NS5015.S005</v>
          </cell>
          <cell r="B82">
            <v>9.8962000000000003</v>
          </cell>
        </row>
        <row r="83">
          <cell r="A83" t="str">
            <v>NS5015.S006</v>
          </cell>
          <cell r="B83">
            <v>9.8962000000000003</v>
          </cell>
        </row>
        <row r="84">
          <cell r="A84" t="str">
            <v>NS5016</v>
          </cell>
          <cell r="B84">
            <v>24.632400000000001</v>
          </cell>
        </row>
        <row r="85">
          <cell r="A85" t="str">
            <v>NS5017</v>
          </cell>
          <cell r="B85">
            <v>20.200800000000001</v>
          </cell>
        </row>
        <row r="86">
          <cell r="A86" t="str">
            <v>NS5050</v>
          </cell>
          <cell r="B86">
            <v>10.5313</v>
          </cell>
        </row>
        <row r="87">
          <cell r="A87" t="str">
            <v>NS5051</v>
          </cell>
          <cell r="B87">
            <v>12.170199999999999</v>
          </cell>
        </row>
        <row r="88">
          <cell r="A88" t="str">
            <v>NS5052</v>
          </cell>
          <cell r="B88">
            <v>14.451499999999999</v>
          </cell>
        </row>
        <row r="89">
          <cell r="A89" t="str">
            <v>NS5053</v>
          </cell>
          <cell r="B89">
            <v>11.0344</v>
          </cell>
        </row>
        <row r="90">
          <cell r="A90" t="str">
            <v>NS5054</v>
          </cell>
          <cell r="B90">
            <v>4.9283999999999999</v>
          </cell>
        </row>
        <row r="91">
          <cell r="A91" t="str">
            <v>NS5055</v>
          </cell>
          <cell r="B91">
            <v>13.318899999999999</v>
          </cell>
        </row>
        <row r="92">
          <cell r="A92" t="str">
            <v>NS5056</v>
          </cell>
          <cell r="B92">
            <v>15.259600000000001</v>
          </cell>
        </row>
        <row r="93">
          <cell r="A93" t="str">
            <v>NS5057</v>
          </cell>
          <cell r="B93">
            <v>19.988900000000001</v>
          </cell>
        </row>
        <row r="94">
          <cell r="A94" t="str">
            <v>NS5058</v>
          </cell>
          <cell r="B94">
            <v>19.9072</v>
          </cell>
        </row>
        <row r="95">
          <cell r="A95" t="str">
            <v>NS5059</v>
          </cell>
          <cell r="B95">
            <v>16.035699999999999</v>
          </cell>
        </row>
        <row r="96">
          <cell r="A96" t="str">
            <v>NS5060</v>
          </cell>
          <cell r="B96">
            <v>13.531499999999999</v>
          </cell>
        </row>
        <row r="97">
          <cell r="A97" t="str">
            <v>NS5061</v>
          </cell>
          <cell r="B97">
            <v>18.7348</v>
          </cell>
        </row>
        <row r="98">
          <cell r="A98" t="str">
            <v>NS5120</v>
          </cell>
          <cell r="B98">
            <v>22.799700000000001</v>
          </cell>
        </row>
        <row r="99">
          <cell r="A99" t="str">
            <v>NS5140</v>
          </cell>
          <cell r="B99">
            <v>20.581199999999999</v>
          </cell>
        </row>
        <row r="100">
          <cell r="A100" t="str">
            <v>NS5141</v>
          </cell>
          <cell r="B100">
            <v>13.4992</v>
          </cell>
        </row>
        <row r="101">
          <cell r="A101" t="str">
            <v>NS5142</v>
          </cell>
          <cell r="B101">
            <v>23.835100000000001</v>
          </cell>
        </row>
        <row r="102">
          <cell r="A102" t="str">
            <v>NS5143</v>
          </cell>
          <cell r="B102">
            <v>25.8094</v>
          </cell>
        </row>
        <row r="103">
          <cell r="A103" t="str">
            <v>NS5144</v>
          </cell>
          <cell r="B103">
            <v>15.3095</v>
          </cell>
        </row>
        <row r="104">
          <cell r="A104" t="str">
            <v>NS5145</v>
          </cell>
          <cell r="B104">
            <v>19.7727</v>
          </cell>
        </row>
        <row r="105">
          <cell r="A105" t="str">
            <v>NS5146</v>
          </cell>
          <cell r="B105">
            <v>12.562799999999999</v>
          </cell>
        </row>
        <row r="106">
          <cell r="A106" t="str">
            <v>NS5147</v>
          </cell>
          <cell r="B106">
            <v>13.1195</v>
          </cell>
        </row>
        <row r="107">
          <cell r="A107" t="str">
            <v>NS5148</v>
          </cell>
          <cell r="B107">
            <v>8.0152999999999999</v>
          </cell>
        </row>
        <row r="108">
          <cell r="A108" t="str">
            <v>NS5149</v>
          </cell>
          <cell r="B108">
            <v>7.1919000000000004</v>
          </cell>
        </row>
        <row r="109">
          <cell r="A109" t="str">
            <v>NS5150</v>
          </cell>
          <cell r="B109">
            <v>10.012700000000001</v>
          </cell>
        </row>
        <row r="110">
          <cell r="A110" t="str">
            <v>NS5700</v>
          </cell>
          <cell r="B110">
            <v>5.4846000000000004</v>
          </cell>
        </row>
        <row r="111">
          <cell r="A111" t="str">
            <v>NS5701</v>
          </cell>
          <cell r="B111">
            <v>5.3495999999999997</v>
          </cell>
        </row>
        <row r="112">
          <cell r="A112" t="str">
            <v>NS5702</v>
          </cell>
          <cell r="B112">
            <v>5.2632000000000003</v>
          </cell>
        </row>
        <row r="113">
          <cell r="A113" t="str">
            <v>NS5703</v>
          </cell>
          <cell r="B113">
            <v>5.3872</v>
          </cell>
        </row>
        <row r="114">
          <cell r="A114" t="str">
            <v>NS5704</v>
          </cell>
          <cell r="B114">
            <v>5.2365000000000004</v>
          </cell>
        </row>
        <row r="115">
          <cell r="A115" t="str">
            <v>NS5705</v>
          </cell>
          <cell r="B115">
            <v>5.2632000000000003</v>
          </cell>
        </row>
        <row r="116">
          <cell r="A116" t="str">
            <v>NS5706</v>
          </cell>
          <cell r="B116">
            <v>4.9194000000000004</v>
          </cell>
        </row>
        <row r="117">
          <cell r="A117" t="str">
            <v>NS5707</v>
          </cell>
          <cell r="B117">
            <v>5.3045</v>
          </cell>
        </row>
        <row r="118">
          <cell r="A118" t="str">
            <v>NS5708</v>
          </cell>
          <cell r="B118">
            <v>5.4020000000000001</v>
          </cell>
        </row>
        <row r="119">
          <cell r="A119" t="str">
            <v>NS5709</v>
          </cell>
          <cell r="B119">
            <v>4.9127999999999998</v>
          </cell>
        </row>
        <row r="120">
          <cell r="A120" t="str">
            <v>NS5710</v>
          </cell>
          <cell r="B120">
            <v>5.5403000000000002</v>
          </cell>
        </row>
        <row r="121">
          <cell r="A121" t="str">
            <v>NS5711</v>
          </cell>
          <cell r="B121">
            <v>5.2778</v>
          </cell>
        </row>
        <row r="122">
          <cell r="A122" t="str">
            <v>NS5712</v>
          </cell>
          <cell r="B122">
            <v>5.1329000000000002</v>
          </cell>
        </row>
        <row r="123">
          <cell r="A123" t="str">
            <v>NS5713</v>
          </cell>
          <cell r="B123">
            <v>4.9177999999999997</v>
          </cell>
        </row>
        <row r="124">
          <cell r="A124" t="str">
            <v>NS5714</v>
          </cell>
          <cell r="B124">
            <v>5.2365000000000004</v>
          </cell>
        </row>
        <row r="125">
          <cell r="A125" t="str">
            <v>NS5715</v>
          </cell>
          <cell r="B125">
            <v>5.1489000000000003</v>
          </cell>
        </row>
        <row r="126">
          <cell r="A126" t="str">
            <v>NS5716</v>
          </cell>
          <cell r="B126">
            <v>5.2728999999999999</v>
          </cell>
        </row>
        <row r="127">
          <cell r="A127" t="str">
            <v>NS5717</v>
          </cell>
          <cell r="B127">
            <v>8.16</v>
          </cell>
        </row>
        <row r="128">
          <cell r="A128" t="str">
            <v>NS5718</v>
          </cell>
          <cell r="B128">
            <v>5.3956</v>
          </cell>
        </row>
        <row r="129">
          <cell r="A129" t="str">
            <v>NS5719</v>
          </cell>
          <cell r="B129">
            <v>5.2632000000000003</v>
          </cell>
        </row>
        <row r="130">
          <cell r="A130" t="str">
            <v>NS5720</v>
          </cell>
          <cell r="B130">
            <v>6.6661000000000001</v>
          </cell>
        </row>
        <row r="131">
          <cell r="A131" t="str">
            <v>NS5721</v>
          </cell>
          <cell r="B131">
            <v>5.4162999999999997</v>
          </cell>
        </row>
        <row r="132">
          <cell r="A132" t="str">
            <v>NS5750</v>
          </cell>
          <cell r="B132">
            <v>9.7805999999999997</v>
          </cell>
        </row>
        <row r="133">
          <cell r="A133" t="str">
            <v>NS5751</v>
          </cell>
          <cell r="B133">
            <v>7.4444999999999997</v>
          </cell>
        </row>
        <row r="134">
          <cell r="A134" t="str">
            <v>NS5752</v>
          </cell>
          <cell r="B134">
            <v>5.5195999999999996</v>
          </cell>
        </row>
        <row r="135">
          <cell r="A135" t="str">
            <v>NS5753</v>
          </cell>
          <cell r="B135">
            <v>5.5023</v>
          </cell>
        </row>
        <row r="136">
          <cell r="A136" t="str">
            <v>NS5754</v>
          </cell>
          <cell r="B136">
            <v>5.8654000000000002</v>
          </cell>
        </row>
        <row r="137">
          <cell r="A137" t="str">
            <v>NS5755</v>
          </cell>
          <cell r="B137">
            <v>5.3992000000000004</v>
          </cell>
        </row>
        <row r="138">
          <cell r="A138" t="str">
            <v>NS5756</v>
          </cell>
          <cell r="B138">
            <v>5.3388</v>
          </cell>
        </row>
        <row r="139">
          <cell r="A139" t="str">
            <v>NS5757</v>
          </cell>
          <cell r="B139">
            <v>5.4320000000000004</v>
          </cell>
        </row>
        <row r="140">
          <cell r="A140" t="str">
            <v>NS5758</v>
          </cell>
          <cell r="B140">
            <v>5.2598000000000003</v>
          </cell>
        </row>
        <row r="141">
          <cell r="A141" t="str">
            <v>NS5759</v>
          </cell>
          <cell r="B141">
            <v>5.0083000000000002</v>
          </cell>
        </row>
        <row r="142">
          <cell r="A142" t="str">
            <v>NS5760</v>
          </cell>
          <cell r="B142">
            <v>3.8660000000000001</v>
          </cell>
        </row>
        <row r="143">
          <cell r="A143" t="str">
            <v>NS5761</v>
          </cell>
          <cell r="B143">
            <v>4.9382000000000001</v>
          </cell>
        </row>
        <row r="144">
          <cell r="A144" t="str">
            <v>NS5762</v>
          </cell>
          <cell r="B144">
            <v>3.9592000000000001</v>
          </cell>
        </row>
        <row r="145">
          <cell r="A145" t="str">
            <v>NS5763</v>
          </cell>
          <cell r="B145">
            <v>5.0083000000000002</v>
          </cell>
        </row>
        <row r="146">
          <cell r="A146" t="str">
            <v>NS5764</v>
          </cell>
          <cell r="B146">
            <v>7.0011999999999999</v>
          </cell>
        </row>
        <row r="147">
          <cell r="A147" t="str">
            <v>NS5802</v>
          </cell>
          <cell r="B147">
            <v>11.166600000000001</v>
          </cell>
        </row>
        <row r="148">
          <cell r="A148" t="str">
            <v>NS5803</v>
          </cell>
          <cell r="B148">
            <v>15.2615</v>
          </cell>
        </row>
        <row r="149">
          <cell r="A149" t="str">
            <v>NS5805</v>
          </cell>
          <cell r="B149">
            <v>6.3529</v>
          </cell>
        </row>
        <row r="150">
          <cell r="A150" t="str">
            <v>NS5806</v>
          </cell>
          <cell r="B150">
            <v>4.2464000000000004</v>
          </cell>
        </row>
        <row r="151">
          <cell r="A151" t="str">
            <v>NS5807</v>
          </cell>
          <cell r="B151">
            <v>4.6325000000000003</v>
          </cell>
        </row>
        <row r="152">
          <cell r="A152" t="str">
            <v>NS5808</v>
          </cell>
          <cell r="B152">
            <v>5.7117000000000004</v>
          </cell>
        </row>
        <row r="153">
          <cell r="A153" t="str">
            <v>NS5809</v>
          </cell>
          <cell r="B153">
            <v>5.6182999999999996</v>
          </cell>
        </row>
        <row r="154">
          <cell r="A154" t="str">
            <v>NS5810</v>
          </cell>
          <cell r="B154">
            <v>7.1840999999999999</v>
          </cell>
        </row>
        <row r="155">
          <cell r="A155" t="str">
            <v>NS5811</v>
          </cell>
          <cell r="B155">
            <v>5.4781000000000004</v>
          </cell>
        </row>
        <row r="156">
          <cell r="A156" t="str">
            <v>NS5812</v>
          </cell>
          <cell r="B156">
            <v>5.7595000000000001</v>
          </cell>
        </row>
        <row r="157">
          <cell r="A157" t="str">
            <v>NS5813</v>
          </cell>
          <cell r="B157">
            <v>5.3731999999999998</v>
          </cell>
        </row>
        <row r="158">
          <cell r="A158" t="str">
            <v>NS5814</v>
          </cell>
          <cell r="B158">
            <v>4.1859999999999999</v>
          </cell>
        </row>
        <row r="159">
          <cell r="A159" t="str">
            <v>NS5815</v>
          </cell>
          <cell r="B159">
            <v>5.6738</v>
          </cell>
        </row>
        <row r="160">
          <cell r="A160" t="str">
            <v>NS5816</v>
          </cell>
          <cell r="B160">
            <v>10.759</v>
          </cell>
        </row>
        <row r="161">
          <cell r="A161" t="str">
            <v>NS5817</v>
          </cell>
          <cell r="B161">
            <v>8.7584999999999997</v>
          </cell>
        </row>
        <row r="162">
          <cell r="A162" t="str">
            <v>NS5818</v>
          </cell>
          <cell r="B162">
            <v>7.3224</v>
          </cell>
        </row>
        <row r="163">
          <cell r="A163" t="str">
            <v>NS5819</v>
          </cell>
          <cell r="B163">
            <v>5.4992999999999999</v>
          </cell>
        </row>
        <row r="164">
          <cell r="A164" t="str">
            <v>NS5820</v>
          </cell>
          <cell r="B164">
            <v>9.4727999999999994</v>
          </cell>
        </row>
        <row r="165">
          <cell r="A165" t="str">
            <v>NS5821</v>
          </cell>
          <cell r="B165">
            <v>7.0583</v>
          </cell>
        </row>
        <row r="166">
          <cell r="A166" t="str">
            <v>NS5822</v>
          </cell>
          <cell r="B166">
            <v>8.7406000000000006</v>
          </cell>
        </row>
        <row r="167">
          <cell r="A167" t="str">
            <v>NS5823</v>
          </cell>
          <cell r="B167">
            <v>6.8878000000000004</v>
          </cell>
        </row>
        <row r="168">
          <cell r="A168" t="str">
            <v>NS5824</v>
          </cell>
          <cell r="B168">
            <v>6.8878000000000004</v>
          </cell>
        </row>
        <row r="169">
          <cell r="A169" t="str">
            <v>NS5825</v>
          </cell>
          <cell r="B169">
            <v>6.9497</v>
          </cell>
        </row>
        <row r="170">
          <cell r="A170" t="str">
            <v>NS5826</v>
          </cell>
          <cell r="B170">
            <v>3.9506000000000001</v>
          </cell>
        </row>
        <row r="171">
          <cell r="A171" t="str">
            <v>NS5827</v>
          </cell>
          <cell r="B171">
            <v>7.2950999999999997</v>
          </cell>
        </row>
        <row r="172">
          <cell r="A172" t="str">
            <v>NS5828</v>
          </cell>
          <cell r="B172">
            <v>10.528700000000001</v>
          </cell>
        </row>
        <row r="173">
          <cell r="A173" t="str">
            <v>NS5829</v>
          </cell>
          <cell r="B173">
            <v>4.8102</v>
          </cell>
        </row>
        <row r="174">
          <cell r="A174" t="str">
            <v>NS5830</v>
          </cell>
          <cell r="B174">
            <v>4.1859999999999999</v>
          </cell>
        </row>
        <row r="175">
          <cell r="A175" t="str">
            <v>NS5831</v>
          </cell>
          <cell r="B175">
            <v>5.7264999999999997</v>
          </cell>
        </row>
        <row r="176">
          <cell r="A176" t="str">
            <v>NS5832</v>
          </cell>
          <cell r="B176">
            <v>4.3658999999999999</v>
          </cell>
        </row>
        <row r="177">
          <cell r="A177" t="str">
            <v>NS5833</v>
          </cell>
          <cell r="B177">
            <v>6.9389000000000003</v>
          </cell>
        </row>
        <row r="178">
          <cell r="A178" t="str">
            <v>NS5834</v>
          </cell>
          <cell r="B178">
            <v>5.4099000000000004</v>
          </cell>
        </row>
        <row r="179">
          <cell r="A179" t="str">
            <v>NS5835</v>
          </cell>
          <cell r="B179">
            <v>5.3089000000000004</v>
          </cell>
        </row>
        <row r="180">
          <cell r="A180" t="str">
            <v>NS5836</v>
          </cell>
          <cell r="B180">
            <v>5.3178000000000001</v>
          </cell>
        </row>
        <row r="181">
          <cell r="A181" t="str">
            <v>NS5837</v>
          </cell>
          <cell r="B181">
            <v>7.1173000000000002</v>
          </cell>
        </row>
        <row r="182">
          <cell r="A182" t="str">
            <v>NS5838</v>
          </cell>
          <cell r="B182">
            <v>8.8932000000000002</v>
          </cell>
        </row>
        <row r="183">
          <cell r="A183" t="str">
            <v>NS5839</v>
          </cell>
          <cell r="B183">
            <v>4.5578000000000003</v>
          </cell>
        </row>
        <row r="184">
          <cell r="A184" t="str">
            <v>NS5840</v>
          </cell>
          <cell r="B184">
            <v>5.2523</v>
          </cell>
        </row>
        <row r="185">
          <cell r="A185" t="str">
            <v>NS5841</v>
          </cell>
          <cell r="B185">
            <v>4.5444000000000004</v>
          </cell>
        </row>
        <row r="186">
          <cell r="A186" t="str">
            <v>NS5842</v>
          </cell>
          <cell r="B186">
            <v>4.3825000000000003</v>
          </cell>
        </row>
        <row r="187">
          <cell r="A187" t="str">
            <v>NS5843</v>
          </cell>
          <cell r="B187">
            <v>4.5590999999999999</v>
          </cell>
        </row>
        <row r="188">
          <cell r="A188" t="str">
            <v>NS5844</v>
          </cell>
          <cell r="B188">
            <v>5.7590000000000003</v>
          </cell>
        </row>
        <row r="189">
          <cell r="A189" t="str">
            <v>NS5845</v>
          </cell>
          <cell r="B189">
            <v>8.4673999999999996</v>
          </cell>
        </row>
        <row r="190">
          <cell r="A190" t="str">
            <v>NS5846</v>
          </cell>
          <cell r="B190">
            <v>9.1862999999999992</v>
          </cell>
        </row>
        <row r="191">
          <cell r="A191" t="str">
            <v>NS5847</v>
          </cell>
          <cell r="B191">
            <v>8.8327000000000009</v>
          </cell>
        </row>
        <row r="192">
          <cell r="A192" t="str">
            <v>NS5848</v>
          </cell>
          <cell r="B192">
            <v>9.1067999999999998</v>
          </cell>
        </row>
        <row r="193">
          <cell r="A193" t="str">
            <v>NS5849</v>
          </cell>
          <cell r="B193">
            <v>12.950100000000001</v>
          </cell>
        </row>
        <row r="194">
          <cell r="A194" t="str">
            <v>NS5850</v>
          </cell>
          <cell r="B194">
            <v>9.2406000000000006</v>
          </cell>
        </row>
        <row r="195">
          <cell r="A195" t="str">
            <v>NS5851</v>
          </cell>
          <cell r="B195">
            <v>9.0434000000000001</v>
          </cell>
        </row>
        <row r="196">
          <cell r="A196" t="str">
            <v>NS5852</v>
          </cell>
          <cell r="B196">
            <v>5.8471000000000002</v>
          </cell>
        </row>
        <row r="197">
          <cell r="A197" t="str">
            <v>NS5853</v>
          </cell>
          <cell r="B197">
            <v>8.6156000000000006</v>
          </cell>
        </row>
        <row r="198">
          <cell r="A198" t="str">
            <v>NS5854</v>
          </cell>
          <cell r="B198">
            <v>6.9680999999999997</v>
          </cell>
        </row>
        <row r="199">
          <cell r="A199" t="str">
            <v>NS5855</v>
          </cell>
          <cell r="B199">
            <v>5.9</v>
          </cell>
        </row>
        <row r="200">
          <cell r="A200" t="str">
            <v>NS5856</v>
          </cell>
          <cell r="B200">
            <v>4.6300999999999997</v>
          </cell>
        </row>
        <row r="201">
          <cell r="A201" t="str">
            <v>NS5857</v>
          </cell>
          <cell r="B201">
            <v>10.204499999999999</v>
          </cell>
        </row>
        <row r="202">
          <cell r="A202" t="str">
            <v>NS5858</v>
          </cell>
          <cell r="B202">
            <v>9.0326000000000004</v>
          </cell>
        </row>
        <row r="203">
          <cell r="A203" t="str">
            <v>NS5859</v>
          </cell>
          <cell r="B203">
            <v>5.3055000000000003</v>
          </cell>
        </row>
        <row r="204">
          <cell r="A204" t="str">
            <v>NS5860</v>
          </cell>
          <cell r="B204">
            <v>6.8611000000000004</v>
          </cell>
        </row>
        <row r="205">
          <cell r="A205" t="str">
            <v>NS5861</v>
          </cell>
          <cell r="B205">
            <v>7.0317999999999996</v>
          </cell>
        </row>
        <row r="206">
          <cell r="A206" t="str">
            <v>NS5862</v>
          </cell>
          <cell r="B206">
            <v>5.7515000000000001</v>
          </cell>
        </row>
        <row r="207">
          <cell r="A207" t="str">
            <v>NS5863</v>
          </cell>
          <cell r="B207">
            <v>7.1745999999999999</v>
          </cell>
        </row>
        <row r="208">
          <cell r="A208" t="str">
            <v>NS5864</v>
          </cell>
          <cell r="B208">
            <v>9.7005999999999997</v>
          </cell>
        </row>
        <row r="209">
          <cell r="A209" t="str">
            <v>NS5865</v>
          </cell>
          <cell r="B209">
            <v>7.3098999999999998</v>
          </cell>
        </row>
        <row r="210">
          <cell r="A210" t="str">
            <v>NS5866</v>
          </cell>
          <cell r="B210">
            <v>4.8091999999999997</v>
          </cell>
        </row>
        <row r="211">
          <cell r="A211" t="str">
            <v>NS5867</v>
          </cell>
          <cell r="B211">
            <v>4.9124999999999996</v>
          </cell>
        </row>
        <row r="212">
          <cell r="A212" t="str">
            <v>NS5868</v>
          </cell>
          <cell r="B212">
            <v>9.0813000000000006</v>
          </cell>
        </row>
        <row r="213">
          <cell r="A213" t="str">
            <v>NS5869</v>
          </cell>
          <cell r="B213">
            <v>6.2249999999999996</v>
          </cell>
        </row>
        <row r="214">
          <cell r="A214" t="str">
            <v>NS5870</v>
          </cell>
          <cell r="B214">
            <v>5.8654000000000002</v>
          </cell>
        </row>
        <row r="215">
          <cell r="A215" t="str">
            <v>NS5871</v>
          </cell>
          <cell r="B215">
            <v>5.9191000000000003</v>
          </cell>
        </row>
        <row r="216">
          <cell r="A216" t="str">
            <v>NS5872</v>
          </cell>
          <cell r="B216">
            <v>4.6858000000000004</v>
          </cell>
        </row>
        <row r="217">
          <cell r="A217" t="str">
            <v>NS5873</v>
          </cell>
          <cell r="B217">
            <v>5.4527000000000001</v>
          </cell>
        </row>
        <row r="218">
          <cell r="A218" t="str">
            <v>NW3001</v>
          </cell>
          <cell r="B218">
            <v>14.547800000000001</v>
          </cell>
        </row>
        <row r="219">
          <cell r="A219" t="str">
            <v>NW3002</v>
          </cell>
          <cell r="B219">
            <v>11.035</v>
          </cell>
        </row>
        <row r="220">
          <cell r="A220" t="str">
            <v>NW3003</v>
          </cell>
          <cell r="B220">
            <v>8.7798999999999996</v>
          </cell>
        </row>
        <row r="221">
          <cell r="A221" t="str">
            <v>NW3004</v>
          </cell>
          <cell r="B221">
            <v>18.971</v>
          </cell>
        </row>
        <row r="222">
          <cell r="A222" t="str">
            <v>NW3005</v>
          </cell>
          <cell r="B222">
            <v>3.8582999999999998</v>
          </cell>
        </row>
        <row r="223">
          <cell r="A223" t="str">
            <v>NW3100</v>
          </cell>
          <cell r="B223">
            <v>17.7653</v>
          </cell>
        </row>
        <row r="224">
          <cell r="A224" t="str">
            <v>NW3101</v>
          </cell>
          <cell r="B224">
            <v>12.2659</v>
          </cell>
        </row>
        <row r="225">
          <cell r="A225" t="str">
            <v>NW3102</v>
          </cell>
          <cell r="B225">
            <v>11.0886</v>
          </cell>
        </row>
        <row r="226">
          <cell r="A226" t="str">
            <v>NW3103</v>
          </cell>
          <cell r="B226">
            <v>15.3969</v>
          </cell>
        </row>
        <row r="227">
          <cell r="A227" t="str">
            <v>NW3104</v>
          </cell>
          <cell r="B227">
            <v>9.1157000000000004</v>
          </cell>
        </row>
        <row r="228">
          <cell r="A228" t="str">
            <v>NW3105</v>
          </cell>
          <cell r="B228">
            <v>15.421799999999999</v>
          </cell>
        </row>
        <row r="229">
          <cell r="A229" t="str">
            <v>NW3105.S001</v>
          </cell>
          <cell r="B229">
            <v>8.7994000000000003</v>
          </cell>
        </row>
        <row r="230">
          <cell r="A230" t="str">
            <v>NW3105.S002</v>
          </cell>
          <cell r="B230">
            <v>8.7994000000000003</v>
          </cell>
        </row>
        <row r="231">
          <cell r="A231" t="str">
            <v>NW3106</v>
          </cell>
          <cell r="B231">
            <v>6.9969999999999999</v>
          </cell>
        </row>
        <row r="232">
          <cell r="A232" t="str">
            <v>NW3106.S001</v>
          </cell>
          <cell r="B232">
            <v>7.5650000000000004</v>
          </cell>
        </row>
        <row r="233">
          <cell r="A233" t="str">
            <v>NW3107</v>
          </cell>
          <cell r="B233">
            <v>21.508700000000001</v>
          </cell>
        </row>
        <row r="234">
          <cell r="A234" t="str">
            <v>NW3108</v>
          </cell>
          <cell r="B234">
            <v>20.632899999999999</v>
          </cell>
        </row>
        <row r="235">
          <cell r="A235" t="str">
            <v>NW3108.S001</v>
          </cell>
          <cell r="B235">
            <v>10.155900000000001</v>
          </cell>
        </row>
        <row r="236">
          <cell r="A236" t="str">
            <v>NW3109</v>
          </cell>
          <cell r="B236">
            <v>11.8589</v>
          </cell>
        </row>
        <row r="237">
          <cell r="A237" t="str">
            <v>NW3109.S001</v>
          </cell>
          <cell r="B237">
            <v>6.0651999999999999</v>
          </cell>
        </row>
        <row r="238">
          <cell r="A238" t="str">
            <v>NW3110</v>
          </cell>
          <cell r="B238">
            <v>10.974600000000001</v>
          </cell>
        </row>
        <row r="239">
          <cell r="A239" t="str">
            <v>NW3110.S001</v>
          </cell>
          <cell r="B239">
            <v>5.4824000000000002</v>
          </cell>
        </row>
        <row r="240">
          <cell r="A240" t="str">
            <v>NW3110.S002</v>
          </cell>
          <cell r="B240">
            <v>5.5476000000000001</v>
          </cell>
        </row>
        <row r="241">
          <cell r="A241" t="str">
            <v>NW3110.S003</v>
          </cell>
          <cell r="B241">
            <v>5.4436999999999998</v>
          </cell>
        </row>
        <row r="242">
          <cell r="A242" t="str">
            <v>NW3111</v>
          </cell>
          <cell r="B242">
            <v>7.5279999999999996</v>
          </cell>
        </row>
        <row r="243">
          <cell r="A243" t="str">
            <v>NW3112</v>
          </cell>
          <cell r="B243">
            <v>10.6258</v>
          </cell>
        </row>
        <row r="244">
          <cell r="A244" t="str">
            <v>NW3113</v>
          </cell>
          <cell r="B244">
            <v>12.5075</v>
          </cell>
        </row>
        <row r="245">
          <cell r="A245" t="str">
            <v>NW3114</v>
          </cell>
          <cell r="B245">
            <v>11.1472</v>
          </cell>
        </row>
        <row r="246">
          <cell r="A246" t="str">
            <v>NW3115</v>
          </cell>
          <cell r="B246">
            <v>13.6967</v>
          </cell>
        </row>
        <row r="247">
          <cell r="A247" t="str">
            <v>NW3116</v>
          </cell>
          <cell r="B247">
            <v>10.402799999999999</v>
          </cell>
        </row>
        <row r="248">
          <cell r="A248" t="str">
            <v>NW3117</v>
          </cell>
          <cell r="B248">
            <v>15.7845</v>
          </cell>
        </row>
        <row r="249">
          <cell r="A249" t="str">
            <v>NW3118</v>
          </cell>
          <cell r="B249">
            <v>11.6717</v>
          </cell>
        </row>
        <row r="250">
          <cell r="A250" t="str">
            <v>NW3119</v>
          </cell>
          <cell r="B250">
            <v>14.138</v>
          </cell>
        </row>
        <row r="251">
          <cell r="A251" t="str">
            <v>NW3120</v>
          </cell>
          <cell r="B251">
            <v>12.513400000000001</v>
          </cell>
        </row>
        <row r="252">
          <cell r="A252" t="str">
            <v>NW3121</v>
          </cell>
          <cell r="B252">
            <v>8.6632999999999996</v>
          </cell>
        </row>
        <row r="253">
          <cell r="A253" t="str">
            <v>NW3122</v>
          </cell>
          <cell r="B253">
            <v>16.211600000000001</v>
          </cell>
        </row>
        <row r="254">
          <cell r="A254" t="str">
            <v>NW3124</v>
          </cell>
          <cell r="B254">
            <v>12.432399999999999</v>
          </cell>
        </row>
        <row r="255">
          <cell r="A255" t="str">
            <v>NW3125</v>
          </cell>
          <cell r="B255">
            <v>16.017900000000001</v>
          </cell>
        </row>
        <row r="256">
          <cell r="A256" t="str">
            <v>NW3126</v>
          </cell>
          <cell r="B256">
            <v>14.775499999999999</v>
          </cell>
        </row>
        <row r="257">
          <cell r="A257" t="str">
            <v>NW3127</v>
          </cell>
          <cell r="B257">
            <v>9.2729999999999997</v>
          </cell>
        </row>
        <row r="258">
          <cell r="A258" t="str">
            <v>NW3128</v>
          </cell>
          <cell r="B258">
            <v>12.557</v>
          </cell>
        </row>
        <row r="259">
          <cell r="A259" t="str">
            <v>NW3128.S001</v>
          </cell>
          <cell r="B259">
            <v>10.1241</v>
          </cell>
        </row>
        <row r="260">
          <cell r="A260" t="str">
            <v>NW3128.S002</v>
          </cell>
          <cell r="B260">
            <v>10.1241</v>
          </cell>
        </row>
        <row r="261">
          <cell r="A261" t="str">
            <v>NW3129</v>
          </cell>
          <cell r="B261">
            <v>12.597300000000001</v>
          </cell>
        </row>
        <row r="262">
          <cell r="A262" t="str">
            <v>NW3800</v>
          </cell>
          <cell r="B262">
            <v>9.3683999999999994</v>
          </cell>
        </row>
        <row r="263">
          <cell r="A263" t="str">
            <v>NW3801</v>
          </cell>
          <cell r="B263">
            <v>5.3760000000000003</v>
          </cell>
        </row>
        <row r="264">
          <cell r="A264" t="str">
            <v>NW3802</v>
          </cell>
          <cell r="B264">
            <v>5.3871000000000002</v>
          </cell>
        </row>
        <row r="265">
          <cell r="A265" t="str">
            <v>NW3803</v>
          </cell>
          <cell r="B265">
            <v>5.6104000000000003</v>
          </cell>
        </row>
        <row r="266">
          <cell r="A266" t="str">
            <v>NW3804</v>
          </cell>
          <cell r="B266">
            <v>4.1060999999999996</v>
          </cell>
        </row>
        <row r="267">
          <cell r="A267" t="str">
            <v>NW3805</v>
          </cell>
          <cell r="B267">
            <v>4.8912000000000004</v>
          </cell>
        </row>
        <row r="268">
          <cell r="A268" t="str">
            <v>NW3806</v>
          </cell>
          <cell r="B268">
            <v>10.4123</v>
          </cell>
        </row>
        <row r="269">
          <cell r="A269" t="str">
            <v>NW3807</v>
          </cell>
          <cell r="B269">
            <v>5.7198000000000002</v>
          </cell>
        </row>
        <row r="270">
          <cell r="A270" t="str">
            <v>NW3808</v>
          </cell>
          <cell r="B270">
            <v>5.5010000000000003</v>
          </cell>
        </row>
        <row r="271">
          <cell r="A271" t="str">
            <v>NW3809</v>
          </cell>
          <cell r="B271">
            <v>5.4851000000000001</v>
          </cell>
        </row>
        <row r="272">
          <cell r="A272" t="str">
            <v>NW3810</v>
          </cell>
          <cell r="B272">
            <v>5.4983000000000004</v>
          </cell>
        </row>
        <row r="273">
          <cell r="A273" t="str">
            <v>NW3811</v>
          </cell>
          <cell r="B273">
            <v>5.1059999999999999</v>
          </cell>
        </row>
        <row r="274">
          <cell r="A274" t="str">
            <v>NW3812</v>
          </cell>
          <cell r="B274">
            <v>5.4358000000000004</v>
          </cell>
        </row>
        <row r="275">
          <cell r="A275" t="str">
            <v>NW3813</v>
          </cell>
          <cell r="B275">
            <v>5.4301000000000004</v>
          </cell>
        </row>
        <row r="276">
          <cell r="A276" t="str">
            <v>NW3814</v>
          </cell>
          <cell r="B276">
            <v>5.6555</v>
          </cell>
        </row>
        <row r="277">
          <cell r="A277" t="str">
            <v>NW3815</v>
          </cell>
          <cell r="B277">
            <v>5.6422999999999996</v>
          </cell>
        </row>
        <row r="278">
          <cell r="A278" t="str">
            <v>NW3816</v>
          </cell>
          <cell r="B278">
            <v>4.8826000000000001</v>
          </cell>
        </row>
        <row r="279">
          <cell r="A279" t="str">
            <v>NW3817</v>
          </cell>
          <cell r="B279">
            <v>6.8868999999999998</v>
          </cell>
        </row>
        <row r="280">
          <cell r="A280" t="str">
            <v>NW3818</v>
          </cell>
          <cell r="B280">
            <v>6.4699</v>
          </cell>
        </row>
        <row r="281">
          <cell r="A281" t="str">
            <v>NW3819</v>
          </cell>
          <cell r="B281">
            <v>6.5110000000000001</v>
          </cell>
        </row>
        <row r="282">
          <cell r="A282" t="str">
            <v>NW3820</v>
          </cell>
          <cell r="B282">
            <v>5.7971000000000004</v>
          </cell>
        </row>
        <row r="283">
          <cell r="A283" t="str">
            <v>NW3821</v>
          </cell>
          <cell r="B283">
            <v>5.1048999999999998</v>
          </cell>
        </row>
        <row r="284">
          <cell r="A284" t="str">
            <v>NW3822</v>
          </cell>
          <cell r="B284">
            <v>5.5738000000000003</v>
          </cell>
        </row>
        <row r="285">
          <cell r="A285" t="str">
            <v>NW3823</v>
          </cell>
          <cell r="B285">
            <v>5.1344000000000003</v>
          </cell>
        </row>
        <row r="286">
          <cell r="A286" t="str">
            <v>NW3824</v>
          </cell>
          <cell r="B286">
            <v>4.6025</v>
          </cell>
        </row>
        <row r="287">
          <cell r="A287" t="str">
            <v>NW3825</v>
          </cell>
          <cell r="B287">
            <v>5.5674999999999999</v>
          </cell>
        </row>
        <row r="288">
          <cell r="A288" t="str">
            <v>NW3826</v>
          </cell>
          <cell r="B288">
            <v>5.8571</v>
          </cell>
        </row>
        <row r="289">
          <cell r="A289" t="str">
            <v>NW3827</v>
          </cell>
          <cell r="B289">
            <v>5.8437999999999999</v>
          </cell>
        </row>
        <row r="290">
          <cell r="A290" t="str">
            <v>NW3828</v>
          </cell>
          <cell r="B290">
            <v>5.4991000000000003</v>
          </cell>
        </row>
        <row r="291">
          <cell r="A291" t="str">
            <v>NW3829</v>
          </cell>
          <cell r="B291">
            <v>5.6104000000000003</v>
          </cell>
        </row>
        <row r="292">
          <cell r="A292" t="str">
            <v>NW3830</v>
          </cell>
          <cell r="B292">
            <v>5.9661999999999997</v>
          </cell>
        </row>
        <row r="293">
          <cell r="A293" t="str">
            <v>NW3831</v>
          </cell>
          <cell r="B293">
            <v>5.6071</v>
          </cell>
        </row>
        <row r="294">
          <cell r="A294" t="str">
            <v>NW3832</v>
          </cell>
          <cell r="B294">
            <v>5.6071</v>
          </cell>
        </row>
        <row r="295">
          <cell r="A295" t="str">
            <v>NW3833</v>
          </cell>
          <cell r="B295">
            <v>5.3760000000000003</v>
          </cell>
        </row>
        <row r="296">
          <cell r="A296" t="str">
            <v>NW3834</v>
          </cell>
          <cell r="B296">
            <v>5.0720000000000001</v>
          </cell>
        </row>
        <row r="297">
          <cell r="A297" t="str">
            <v>NW3835</v>
          </cell>
          <cell r="B297">
            <v>5.3701999999999996</v>
          </cell>
        </row>
        <row r="298">
          <cell r="A298" t="str">
            <v>NW3836</v>
          </cell>
          <cell r="B298">
            <v>5.3701999999999996</v>
          </cell>
        </row>
        <row r="299">
          <cell r="A299" t="str">
            <v>NW3837</v>
          </cell>
          <cell r="B299">
            <v>5.4778000000000002</v>
          </cell>
        </row>
        <row r="300">
          <cell r="A300" t="str">
            <v>NW3838</v>
          </cell>
          <cell r="B300">
            <v>5.7287999999999997</v>
          </cell>
        </row>
        <row r="301">
          <cell r="A301" t="str">
            <v>NW3839</v>
          </cell>
          <cell r="B301">
            <v>5.3760000000000003</v>
          </cell>
        </row>
        <row r="302">
          <cell r="A302" t="str">
            <v>NW3840</v>
          </cell>
          <cell r="B302">
            <v>9.4079999999999995</v>
          </cell>
        </row>
        <row r="303">
          <cell r="A303" t="str">
            <v>NW3841</v>
          </cell>
          <cell r="B303">
            <v>5.5763999999999996</v>
          </cell>
        </row>
        <row r="304">
          <cell r="A304" t="str">
            <v>NW3842</v>
          </cell>
          <cell r="B304">
            <v>5.5885999999999996</v>
          </cell>
        </row>
        <row r="305">
          <cell r="A305" t="str">
            <v>NW3843</v>
          </cell>
          <cell r="B305">
            <v>5.4619</v>
          </cell>
        </row>
        <row r="306">
          <cell r="A306" t="str">
            <v>NW3844</v>
          </cell>
          <cell r="B306">
            <v>5.6250999999999998</v>
          </cell>
        </row>
        <row r="307">
          <cell r="A307" t="str">
            <v>NW3845</v>
          </cell>
          <cell r="B307">
            <v>7.5998999999999999</v>
          </cell>
        </row>
        <row r="308">
          <cell r="A308" t="str">
            <v>NW3846</v>
          </cell>
          <cell r="B308">
            <v>7.7561999999999998</v>
          </cell>
        </row>
        <row r="309">
          <cell r="A309" t="str">
            <v>NW3847</v>
          </cell>
          <cell r="B309">
            <v>5.6120999999999999</v>
          </cell>
        </row>
        <row r="310">
          <cell r="A310" t="str">
            <v>OGA000</v>
          </cell>
          <cell r="B310">
            <v>27.232099999999999</v>
          </cell>
        </row>
        <row r="311">
          <cell r="A311" t="str">
            <v>OGA077</v>
          </cell>
          <cell r="B311">
            <v>18.495200000000001</v>
          </cell>
        </row>
        <row r="312">
          <cell r="A312" t="str">
            <v>OGA080</v>
          </cell>
          <cell r="B312">
            <v>11.2164</v>
          </cell>
        </row>
        <row r="313">
          <cell r="A313" t="str">
            <v>OGA097</v>
          </cell>
          <cell r="B313">
            <v>20.763300000000001</v>
          </cell>
        </row>
        <row r="314">
          <cell r="A314" t="str">
            <v>OGA115</v>
          </cell>
          <cell r="B314">
            <v>12.032999999999999</v>
          </cell>
        </row>
        <row r="315">
          <cell r="A315" t="str">
            <v>OGA116</v>
          </cell>
          <cell r="B315">
            <v>12.007400000000001</v>
          </cell>
        </row>
        <row r="316">
          <cell r="A316" t="str">
            <v>OGA145</v>
          </cell>
          <cell r="B316">
            <v>11.632300000000001</v>
          </cell>
        </row>
        <row r="317">
          <cell r="A317" t="str">
            <v>OGA161</v>
          </cell>
          <cell r="B317">
            <v>22.066099999999999</v>
          </cell>
        </row>
        <row r="318">
          <cell r="A318" t="str">
            <v>OGZ036</v>
          </cell>
          <cell r="B318">
            <v>23.1325</v>
          </cell>
        </row>
        <row r="319">
          <cell r="A319" t="str">
            <v>OGZ036.L001</v>
          </cell>
          <cell r="B319">
            <v>9.1194000000000006</v>
          </cell>
        </row>
        <row r="320">
          <cell r="A320" t="str">
            <v>OGZ038</v>
          </cell>
          <cell r="B320">
            <v>5.6765999999999996</v>
          </cell>
        </row>
        <row r="321">
          <cell r="A321" t="str">
            <v>OGZ050E</v>
          </cell>
          <cell r="B321">
            <v>24.917100000000001</v>
          </cell>
        </row>
        <row r="322">
          <cell r="A322" t="str">
            <v>OGZ050W</v>
          </cell>
          <cell r="B322">
            <v>15.7043</v>
          </cell>
        </row>
        <row r="323">
          <cell r="A323" t="str">
            <v>OGZ051</v>
          </cell>
          <cell r="B323">
            <v>17.319199999999999</v>
          </cell>
        </row>
        <row r="324">
          <cell r="A324" t="str">
            <v>OGZ167M</v>
          </cell>
          <cell r="B324">
            <v>20.229199999999999</v>
          </cell>
        </row>
        <row r="325">
          <cell r="A325" t="str">
            <v>OGZ167N</v>
          </cell>
          <cell r="B325">
            <v>14.0716</v>
          </cell>
        </row>
        <row r="326">
          <cell r="A326" t="str">
            <v>OGZ167S</v>
          </cell>
          <cell r="B326">
            <v>22.5245</v>
          </cell>
        </row>
        <row r="327">
          <cell r="A327" t="str">
            <v>OGZ171</v>
          </cell>
          <cell r="B327">
            <v>11.655200000000001</v>
          </cell>
        </row>
        <row r="328">
          <cell r="A328" t="str">
            <v>OGZ270</v>
          </cell>
          <cell r="B328">
            <v>21.444900000000001</v>
          </cell>
        </row>
        <row r="329">
          <cell r="A329" t="str">
            <v>OGZ550W</v>
          </cell>
          <cell r="B329">
            <v>5.5640000000000001</v>
          </cell>
        </row>
        <row r="330">
          <cell r="A330" t="str">
            <v>SW6001</v>
          </cell>
          <cell r="B330">
            <v>11.5862</v>
          </cell>
        </row>
        <row r="331">
          <cell r="A331" t="str">
            <v>SW6002</v>
          </cell>
          <cell r="B331">
            <v>9.7194000000000003</v>
          </cell>
        </row>
        <row r="332">
          <cell r="A332" t="str">
            <v>SW6003</v>
          </cell>
          <cell r="B332">
            <v>8.0154999999999994</v>
          </cell>
        </row>
        <row r="333">
          <cell r="A333" t="str">
            <v>SW6004</v>
          </cell>
          <cell r="B333">
            <v>15.5855</v>
          </cell>
        </row>
        <row r="334">
          <cell r="A334" t="str">
            <v>SW6005</v>
          </cell>
          <cell r="B334">
            <v>11.3933</v>
          </cell>
        </row>
        <row r="335">
          <cell r="A335" t="str">
            <v>SW6006</v>
          </cell>
          <cell r="B335">
            <v>7.5514000000000001</v>
          </cell>
        </row>
        <row r="336">
          <cell r="A336" t="str">
            <v>SW6007</v>
          </cell>
          <cell r="B336">
            <v>19.547899999999998</v>
          </cell>
        </row>
        <row r="337">
          <cell r="A337" t="str">
            <v>SW6069</v>
          </cell>
          <cell r="B337">
            <v>23.1084</v>
          </cell>
        </row>
        <row r="338">
          <cell r="A338" t="str">
            <v>SW6070</v>
          </cell>
          <cell r="B338">
            <v>19.0838</v>
          </cell>
        </row>
        <row r="339">
          <cell r="A339" t="str">
            <v>SW6071</v>
          </cell>
          <cell r="B339">
            <v>15.4756</v>
          </cell>
        </row>
        <row r="340">
          <cell r="A340" t="str">
            <v>SW6072</v>
          </cell>
          <cell r="B340">
            <v>19.582799999999999</v>
          </cell>
        </row>
        <row r="341">
          <cell r="A341" t="str">
            <v>SW6073</v>
          </cell>
          <cell r="B341">
            <v>7.6700999999999997</v>
          </cell>
        </row>
        <row r="342">
          <cell r="A342" t="str">
            <v>SW6074</v>
          </cell>
          <cell r="B342">
            <v>6.3803000000000001</v>
          </cell>
        </row>
        <row r="343">
          <cell r="A343" t="str">
            <v>SW6075</v>
          </cell>
          <cell r="B343">
            <v>20.893000000000001</v>
          </cell>
        </row>
        <row r="344">
          <cell r="A344" t="str">
            <v>SW6076</v>
          </cell>
          <cell r="B344">
            <v>23.6724</v>
          </cell>
        </row>
        <row r="345">
          <cell r="A345" t="str">
            <v>SW6077</v>
          </cell>
          <cell r="B345">
            <v>9.4253999999999998</v>
          </cell>
        </row>
        <row r="346">
          <cell r="A346" t="str">
            <v>SW6078</v>
          </cell>
          <cell r="B346">
            <v>15.4138</v>
          </cell>
        </row>
        <row r="347">
          <cell r="A347" t="str">
            <v>SW6079</v>
          </cell>
          <cell r="B347">
            <v>11.318300000000001</v>
          </cell>
        </row>
        <row r="348">
          <cell r="A348" t="str">
            <v>SW6121</v>
          </cell>
          <cell r="B348">
            <v>12.4819</v>
          </cell>
        </row>
        <row r="349">
          <cell r="A349" t="str">
            <v>SW6122</v>
          </cell>
          <cell r="B349">
            <v>8.4036000000000008</v>
          </cell>
        </row>
        <row r="350">
          <cell r="A350" t="str">
            <v>SW6123</v>
          </cell>
          <cell r="B350">
            <v>6.7575000000000003</v>
          </cell>
        </row>
        <row r="351">
          <cell r="A351" t="str">
            <v>SW6124</v>
          </cell>
          <cell r="B351">
            <v>7.3970000000000002</v>
          </cell>
        </row>
        <row r="352">
          <cell r="A352" t="str">
            <v>SW6155</v>
          </cell>
          <cell r="B352">
            <v>19.085599999999999</v>
          </cell>
        </row>
        <row r="353">
          <cell r="A353" t="str">
            <v>SW6156</v>
          </cell>
          <cell r="B353">
            <v>7.9036999999999997</v>
          </cell>
        </row>
        <row r="354">
          <cell r="A354" t="str">
            <v>SW6157</v>
          </cell>
          <cell r="B354">
            <v>14.1076</v>
          </cell>
        </row>
        <row r="355">
          <cell r="A355" t="str">
            <v>SW6158</v>
          </cell>
          <cell r="B355">
            <v>8.8500999999999994</v>
          </cell>
        </row>
        <row r="356">
          <cell r="A356" t="str">
            <v>SW6700</v>
          </cell>
          <cell r="B356">
            <v>6.9283000000000001</v>
          </cell>
        </row>
        <row r="357">
          <cell r="A357" t="str">
            <v>SW6701</v>
          </cell>
          <cell r="B357">
            <v>5.5411000000000001</v>
          </cell>
        </row>
        <row r="358">
          <cell r="A358" t="str">
            <v>SW6702</v>
          </cell>
          <cell r="B358">
            <v>5.2184999999999997</v>
          </cell>
        </row>
        <row r="359">
          <cell r="A359" t="str">
            <v>SW6703</v>
          </cell>
          <cell r="B359">
            <v>5.1750999999999996</v>
          </cell>
        </row>
        <row r="360">
          <cell r="A360" t="str">
            <v>SW6704</v>
          </cell>
          <cell r="B360">
            <v>4.0724999999999998</v>
          </cell>
        </row>
        <row r="361">
          <cell r="A361" t="str">
            <v>SW6705</v>
          </cell>
          <cell r="B361">
            <v>3.9765000000000001</v>
          </cell>
        </row>
        <row r="362">
          <cell r="A362" t="str">
            <v>SW6706</v>
          </cell>
          <cell r="B362">
            <v>5.548</v>
          </cell>
        </row>
        <row r="363">
          <cell r="A363" t="str">
            <v>SW6707</v>
          </cell>
          <cell r="B363">
            <v>4.2466999999999997</v>
          </cell>
        </row>
        <row r="364">
          <cell r="A364" t="str">
            <v>SW6708</v>
          </cell>
          <cell r="B364">
            <v>3.9971999999999999</v>
          </cell>
        </row>
        <row r="365">
          <cell r="A365" t="str">
            <v>SW6709</v>
          </cell>
          <cell r="B365">
            <v>5.8174999999999999</v>
          </cell>
        </row>
        <row r="366">
          <cell r="A366" t="str">
            <v>SW6710</v>
          </cell>
          <cell r="B366">
            <v>5.3712999999999997</v>
          </cell>
        </row>
        <row r="367">
          <cell r="A367" t="str">
            <v>SW6711</v>
          </cell>
          <cell r="B367">
            <v>4.4889999999999999</v>
          </cell>
        </row>
        <row r="368">
          <cell r="A368" t="str">
            <v>SW6712</v>
          </cell>
          <cell r="B368">
            <v>4.5654000000000003</v>
          </cell>
        </row>
        <row r="369">
          <cell r="A369" t="str">
            <v>SW6713</v>
          </cell>
          <cell r="B369">
            <v>4.5654000000000003</v>
          </cell>
        </row>
        <row r="370">
          <cell r="A370" t="str">
            <v>SW6714</v>
          </cell>
          <cell r="B370">
            <v>5.758</v>
          </cell>
        </row>
        <row r="371">
          <cell r="A371" t="str">
            <v>SW6715</v>
          </cell>
          <cell r="B371">
            <v>5.758</v>
          </cell>
        </row>
        <row r="372">
          <cell r="A372" t="str">
            <v>SW6716</v>
          </cell>
          <cell r="B372">
            <v>5.4322999999999997</v>
          </cell>
        </row>
        <row r="373">
          <cell r="A373" t="str">
            <v>SW6717</v>
          </cell>
          <cell r="B373">
            <v>3.7713000000000001</v>
          </cell>
        </row>
        <row r="374">
          <cell r="A374" t="str">
            <v>SW6718</v>
          </cell>
          <cell r="B374">
            <v>5.3760000000000003</v>
          </cell>
        </row>
        <row r="375">
          <cell r="A375" t="str">
            <v>SW6719</v>
          </cell>
          <cell r="B375">
            <v>5.1352000000000002</v>
          </cell>
        </row>
        <row r="376">
          <cell r="A376" t="str">
            <v>SW6720</v>
          </cell>
          <cell r="B376">
            <v>4.6463999999999999</v>
          </cell>
        </row>
        <row r="377">
          <cell r="A377" t="str">
            <v>SW6721</v>
          </cell>
          <cell r="B377">
            <v>4.3297999999999996</v>
          </cell>
        </row>
        <row r="378">
          <cell r="A378" t="str">
            <v>SW6722</v>
          </cell>
          <cell r="B378">
            <v>4.3297999999999996</v>
          </cell>
        </row>
        <row r="379">
          <cell r="A379" t="str">
            <v>SW6723</v>
          </cell>
          <cell r="B379">
            <v>5.6219000000000001</v>
          </cell>
        </row>
        <row r="380">
          <cell r="A380" t="str">
            <v>SW6725</v>
          </cell>
          <cell r="B380">
            <v>5.5651999999999999</v>
          </cell>
        </row>
        <row r="381">
          <cell r="A381" t="str">
            <v>SW6726</v>
          </cell>
          <cell r="B381">
            <v>5.5110999999999999</v>
          </cell>
        </row>
        <row r="382">
          <cell r="A382" t="str">
            <v>SW6727</v>
          </cell>
          <cell r="B382">
            <v>5.2652000000000001</v>
          </cell>
        </row>
        <row r="383">
          <cell r="A383" t="str">
            <v>SW6728</v>
          </cell>
          <cell r="B383">
            <v>4.4200999999999997</v>
          </cell>
        </row>
        <row r="384">
          <cell r="A384" t="str">
            <v>SW6729</v>
          </cell>
          <cell r="B384">
            <v>5.4772999999999996</v>
          </cell>
        </row>
        <row r="385">
          <cell r="A385" t="str">
            <v>SW6730</v>
          </cell>
          <cell r="B385">
            <v>5.4772999999999996</v>
          </cell>
        </row>
        <row r="386">
          <cell r="A386" t="str">
            <v>SW6731</v>
          </cell>
          <cell r="B386">
            <v>5.4772999999999996</v>
          </cell>
        </row>
        <row r="387">
          <cell r="A387" t="str">
            <v>SW6732</v>
          </cell>
          <cell r="B387">
            <v>5.4772999999999996</v>
          </cell>
        </row>
        <row r="388">
          <cell r="A388" t="str">
            <v>SW6733</v>
          </cell>
          <cell r="B388">
            <v>5.4772999999999996</v>
          </cell>
        </row>
        <row r="389">
          <cell r="A389" t="str">
            <v>SW6800</v>
          </cell>
          <cell r="B389">
            <v>9.8048000000000002</v>
          </cell>
        </row>
        <row r="390">
          <cell r="A390" t="str">
            <v>SW6801</v>
          </cell>
          <cell r="B390">
            <v>6.0118</v>
          </cell>
        </row>
        <row r="391">
          <cell r="A391" t="str">
            <v>SW6802</v>
          </cell>
          <cell r="B391">
            <v>6.2137000000000002</v>
          </cell>
        </row>
        <row r="392">
          <cell r="A392" t="str">
            <v>SW6803</v>
          </cell>
          <cell r="B392">
            <v>5.9503000000000004</v>
          </cell>
        </row>
        <row r="393">
          <cell r="A393" t="str">
            <v>SW6804</v>
          </cell>
          <cell r="B393">
            <v>5.9542999999999999</v>
          </cell>
        </row>
        <row r="394">
          <cell r="A394" t="str">
            <v>SW6805</v>
          </cell>
          <cell r="B394">
            <v>5.9503000000000004</v>
          </cell>
        </row>
        <row r="395">
          <cell r="A395" t="str">
            <v>SW6806</v>
          </cell>
          <cell r="B395">
            <v>5.8135000000000003</v>
          </cell>
        </row>
        <row r="396">
          <cell r="A396" t="str">
            <v>SW6807</v>
          </cell>
          <cell r="B396">
            <v>5.9489999999999998</v>
          </cell>
        </row>
        <row r="397">
          <cell r="A397" t="str">
            <v>SW6808</v>
          </cell>
          <cell r="B397">
            <v>6.1920000000000002</v>
          </cell>
        </row>
        <row r="398">
          <cell r="A398" t="str">
            <v>SW6809</v>
          </cell>
          <cell r="B398">
            <v>5.9337</v>
          </cell>
        </row>
        <row r="399">
          <cell r="A399" t="str">
            <v>SW6810</v>
          </cell>
          <cell r="B399">
            <v>9.7894000000000005</v>
          </cell>
        </row>
        <row r="400">
          <cell r="A400" t="str">
            <v>SW6811</v>
          </cell>
          <cell r="B400">
            <v>6.0533999999999999</v>
          </cell>
        </row>
        <row r="401">
          <cell r="A401" t="str">
            <v>SW6812</v>
          </cell>
          <cell r="B401">
            <v>5.9337</v>
          </cell>
        </row>
        <row r="402">
          <cell r="A402" t="str">
            <v>SW6813</v>
          </cell>
          <cell r="B402">
            <v>5.9348999999999998</v>
          </cell>
        </row>
        <row r="403">
          <cell r="A403" t="str">
            <v>SW6814</v>
          </cell>
          <cell r="B403">
            <v>6.0312000000000001</v>
          </cell>
        </row>
        <row r="404">
          <cell r="A404" t="str">
            <v>SW6815</v>
          </cell>
          <cell r="B404">
            <v>6.0533999999999999</v>
          </cell>
        </row>
        <row r="405">
          <cell r="A405" t="str">
            <v>SW6816</v>
          </cell>
          <cell r="B405">
            <v>5.8219000000000003</v>
          </cell>
        </row>
        <row r="406">
          <cell r="A406" t="str">
            <v>SW6817</v>
          </cell>
          <cell r="B406">
            <v>6.0956000000000001</v>
          </cell>
        </row>
        <row r="407">
          <cell r="A407" t="str">
            <v>SW6818</v>
          </cell>
          <cell r="B407">
            <v>5.7409999999999997</v>
          </cell>
        </row>
        <row r="408">
          <cell r="A408" t="str">
            <v>SW6819</v>
          </cell>
          <cell r="B408">
            <v>6.2230999999999996</v>
          </cell>
        </row>
        <row r="409">
          <cell r="A409" t="str">
            <v>SW6820</v>
          </cell>
          <cell r="B409">
            <v>6.2461000000000002</v>
          </cell>
        </row>
        <row r="410">
          <cell r="A410" t="str">
            <v>SW6821</v>
          </cell>
          <cell r="B410">
            <v>5.9337</v>
          </cell>
        </row>
        <row r="411">
          <cell r="A411" t="str">
            <v>SW6822</v>
          </cell>
          <cell r="B411">
            <v>5.9337</v>
          </cell>
        </row>
        <row r="412">
          <cell r="A412" t="str">
            <v>SW6823</v>
          </cell>
          <cell r="B412">
            <v>5.7564000000000002</v>
          </cell>
        </row>
        <row r="413">
          <cell r="A413" t="str">
            <v>SW6824</v>
          </cell>
          <cell r="B413">
            <v>6.0728</v>
          </cell>
        </row>
        <row r="414">
          <cell r="A414" t="str">
            <v>SW6825</v>
          </cell>
          <cell r="B414">
            <v>6.2188999999999997</v>
          </cell>
        </row>
        <row r="415">
          <cell r="A415" t="str">
            <v>SW6826</v>
          </cell>
          <cell r="B415">
            <v>5.9337</v>
          </cell>
        </row>
        <row r="416">
          <cell r="A416" t="str">
            <v>SW6827</v>
          </cell>
          <cell r="B416">
            <v>5.9377000000000004</v>
          </cell>
        </row>
        <row r="417">
          <cell r="A417" t="str">
            <v>SW6828</v>
          </cell>
          <cell r="B417">
            <v>6.8619000000000003</v>
          </cell>
        </row>
        <row r="418">
          <cell r="A418" t="str">
            <v>SW6828.L001</v>
          </cell>
          <cell r="B418">
            <v>7.0186999999999999</v>
          </cell>
        </row>
        <row r="419">
          <cell r="A419" t="str">
            <v>SW6829</v>
          </cell>
          <cell r="B419">
            <v>9.202</v>
          </cell>
        </row>
        <row r="420">
          <cell r="A420" t="str">
            <v>SW6830</v>
          </cell>
          <cell r="B420">
            <v>5.9877000000000002</v>
          </cell>
        </row>
        <row r="421">
          <cell r="A421" t="str">
            <v>SW6831</v>
          </cell>
          <cell r="B421">
            <v>5.9222999999999999</v>
          </cell>
        </row>
        <row r="422">
          <cell r="A422" t="str">
            <v>SW6832</v>
          </cell>
          <cell r="B422">
            <v>6.1124000000000001</v>
          </cell>
        </row>
        <row r="423">
          <cell r="A423" t="str">
            <v>SW6833</v>
          </cell>
          <cell r="B423">
            <v>6.1424000000000003</v>
          </cell>
        </row>
        <row r="424">
          <cell r="A424" t="str">
            <v>SW6834</v>
          </cell>
          <cell r="B424">
            <v>5.9542999999999999</v>
          </cell>
        </row>
        <row r="425">
          <cell r="A425" t="str">
            <v>SW6835</v>
          </cell>
          <cell r="B425">
            <v>6.2233999999999998</v>
          </cell>
        </row>
        <row r="426">
          <cell r="A426" t="str">
            <v>SW6900</v>
          </cell>
          <cell r="B426">
            <v>7.3127000000000004</v>
          </cell>
        </row>
        <row r="427">
          <cell r="A427" t="str">
            <v>SW6901</v>
          </cell>
          <cell r="B427">
            <v>5.3213999999999997</v>
          </cell>
        </row>
        <row r="428">
          <cell r="A428" t="str">
            <v>SW6902</v>
          </cell>
          <cell r="B428">
            <v>4.4433999999999996</v>
          </cell>
        </row>
        <row r="429">
          <cell r="A429" t="str">
            <v>SW6903</v>
          </cell>
          <cell r="B429">
            <v>4.2343000000000002</v>
          </cell>
        </row>
        <row r="430">
          <cell r="A430" t="str">
            <v>SW6904</v>
          </cell>
          <cell r="B430">
            <v>4.1877000000000004</v>
          </cell>
        </row>
        <row r="431">
          <cell r="A431" t="str">
            <v>SW6905</v>
          </cell>
          <cell r="B431">
            <v>4.2343000000000002</v>
          </cell>
        </row>
        <row r="432">
          <cell r="A432" t="str">
            <v>SW6906</v>
          </cell>
          <cell r="B432">
            <v>4.0548999999999999</v>
          </cell>
        </row>
        <row r="433">
          <cell r="A433" t="str">
            <v>SW6907</v>
          </cell>
          <cell r="B433">
            <v>5.1025</v>
          </cell>
        </row>
        <row r="434">
          <cell r="A434" t="str">
            <v>SW6908</v>
          </cell>
          <cell r="B434">
            <v>4.4398999999999997</v>
          </cell>
        </row>
        <row r="435">
          <cell r="A435" t="str">
            <v>SW6910</v>
          </cell>
          <cell r="B435">
            <v>5.1516000000000002</v>
          </cell>
        </row>
        <row r="436">
          <cell r="A436" t="str">
            <v>SW6911</v>
          </cell>
          <cell r="B436">
            <v>5.0187999999999997</v>
          </cell>
        </row>
        <row r="437">
          <cell r="A437" t="str">
            <v>SW6912</v>
          </cell>
          <cell r="B437">
            <v>5.3136000000000001</v>
          </cell>
        </row>
        <row r="438">
          <cell r="A438" t="str">
            <v>SW6913</v>
          </cell>
          <cell r="B438">
            <v>5.2304000000000004</v>
          </cell>
        </row>
        <row r="439">
          <cell r="A439" t="str">
            <v>SW6914</v>
          </cell>
          <cell r="B439">
            <v>5.1097000000000001</v>
          </cell>
        </row>
        <row r="440">
          <cell r="A440" t="str">
            <v>SW6915</v>
          </cell>
          <cell r="B440">
            <v>5.0237999999999996</v>
          </cell>
        </row>
        <row r="441">
          <cell r="A441" t="str">
            <v>SW6916</v>
          </cell>
          <cell r="B441">
            <v>5.2502000000000004</v>
          </cell>
        </row>
        <row r="442">
          <cell r="A442" t="str">
            <v>SW6917</v>
          </cell>
          <cell r="B442">
            <v>7.0410000000000004</v>
          </cell>
        </row>
        <row r="443">
          <cell r="A443" t="str">
            <v>SW6918</v>
          </cell>
          <cell r="B443">
            <v>5.5693999999999999</v>
          </cell>
        </row>
        <row r="444">
          <cell r="A444" t="str">
            <v>SW6919</v>
          </cell>
          <cell r="B444">
            <v>5.1097000000000001</v>
          </cell>
        </row>
        <row r="445">
          <cell r="A445" t="str">
            <v>SW6920</v>
          </cell>
          <cell r="B445">
            <v>5.1097000000000001</v>
          </cell>
        </row>
        <row r="446">
          <cell r="A446" t="str">
            <v>SW6921</v>
          </cell>
          <cell r="B446">
            <v>5.0187999999999997</v>
          </cell>
        </row>
        <row r="447">
          <cell r="A447" t="str">
            <v>SW6922</v>
          </cell>
          <cell r="B447">
            <v>5.1516000000000002</v>
          </cell>
        </row>
        <row r="448">
          <cell r="A448" t="str">
            <v>SW6923</v>
          </cell>
          <cell r="B448">
            <v>5.6135999999999999</v>
          </cell>
        </row>
        <row r="449">
          <cell r="A449" t="str">
            <v>SW6924</v>
          </cell>
          <cell r="B449">
            <v>5.2746000000000004</v>
          </cell>
        </row>
        <row r="450">
          <cell r="A450" t="str">
            <v>SW6925</v>
          </cell>
          <cell r="B450">
            <v>5.0237999999999996</v>
          </cell>
        </row>
        <row r="451">
          <cell r="A451" t="str">
            <v>SW6926</v>
          </cell>
          <cell r="B451">
            <v>5.1174999999999997</v>
          </cell>
        </row>
        <row r="452">
          <cell r="A452" t="str">
            <v>SW6927</v>
          </cell>
          <cell r="B452">
            <v>7.1193999999999997</v>
          </cell>
        </row>
        <row r="453">
          <cell r="A453" t="str">
            <v>SW6928</v>
          </cell>
          <cell r="B453">
            <v>5.0187999999999997</v>
          </cell>
        </row>
        <row r="454">
          <cell r="A454" t="str">
            <v>SW6929</v>
          </cell>
          <cell r="B454">
            <v>5.0187999999999997</v>
          </cell>
        </row>
        <row r="455">
          <cell r="A455" t="str">
            <v>SW6930</v>
          </cell>
          <cell r="B455">
            <v>5.0713999999999997</v>
          </cell>
        </row>
        <row r="456">
          <cell r="A456" t="str">
            <v>SW6931</v>
          </cell>
          <cell r="B456">
            <v>3.9584999999999999</v>
          </cell>
        </row>
        <row r="457">
          <cell r="A457" t="str">
            <v>SW6932</v>
          </cell>
          <cell r="B457">
            <v>5.1174999999999997</v>
          </cell>
        </row>
        <row r="458">
          <cell r="A458" t="str">
            <v>SW6933</v>
          </cell>
          <cell r="B458">
            <v>7.0342000000000002</v>
          </cell>
        </row>
        <row r="459">
          <cell r="A459" t="str">
            <v>SW6934</v>
          </cell>
          <cell r="B459">
            <v>5.3537999999999997</v>
          </cell>
        </row>
        <row r="460">
          <cell r="A460" t="str">
            <v>SW6935</v>
          </cell>
          <cell r="B460">
            <v>5.0237999999999996</v>
          </cell>
        </row>
        <row r="461">
          <cell r="A461" t="str">
            <v>SW6936</v>
          </cell>
          <cell r="B461">
            <v>5.4463999999999997</v>
          </cell>
        </row>
        <row r="462">
          <cell r="A462" t="str">
            <v>SW6937</v>
          </cell>
          <cell r="B462">
            <v>5.3136000000000001</v>
          </cell>
        </row>
        <row r="463">
          <cell r="A463" t="str">
            <v>SW6938</v>
          </cell>
          <cell r="B463">
            <v>4.8860999999999999</v>
          </cell>
        </row>
        <row r="464">
          <cell r="A464" t="str">
            <v>SW6939</v>
          </cell>
          <cell r="B464">
            <v>5.3602999999999996</v>
          </cell>
        </row>
        <row r="465">
          <cell r="A465" t="str">
            <v>SW6940</v>
          </cell>
          <cell r="B465">
            <v>5.0266000000000002</v>
          </cell>
        </row>
        <row r="466">
          <cell r="A466" t="str">
            <v>SW6941</v>
          </cell>
          <cell r="B466">
            <v>5.3262</v>
          </cell>
        </row>
        <row r="467">
          <cell r="A467" t="str">
            <v>SW6942</v>
          </cell>
          <cell r="B467">
            <v>5.383</v>
          </cell>
        </row>
      </sheetData>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plug entry"/>
      <sheetName val="Budget 2"/>
      <sheetName val="CRITERIA2"/>
      <sheetName val="Output 1 (01)"/>
      <sheetName val="SIG GAS-ELEC"/>
      <sheetName val="Output 1 (02)"/>
      <sheetName val="Output 1 (03)"/>
      <sheetName val="Output 1 (09)"/>
      <sheetName val="Output 1 (EM)"/>
      <sheetName val="Output 1 (V6)"/>
      <sheetName val="Output 1 (99)"/>
    </sheetNames>
    <sheetDataSet>
      <sheetData sheetId="0" refreshError="1"/>
      <sheetData sheetId="1" refreshError="1"/>
      <sheetData sheetId="2" refreshError="1"/>
      <sheetData sheetId="3" refreshError="1">
        <row r="2">
          <cell r="B2" t="str">
            <v>FINANCIALS</v>
          </cell>
        </row>
        <row r="13">
          <cell r="B13" t="str">
            <v>APPRVD BUDGET</v>
          </cell>
        </row>
        <row r="14">
          <cell r="B14" t="str">
            <v>VECTREN</v>
          </cell>
        </row>
        <row r="16">
          <cell r="B16" t="str">
            <v>USD</v>
          </cell>
        </row>
        <row r="39">
          <cell r="B39" t="str">
            <v>VPRD Database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Budget Lbr Exp by Emp Type"/>
      <sheetName val="2009 Budgeted % of Labor in O&amp;M"/>
      <sheetName val="2008 to 2009 Increase"/>
      <sheetName val="Vacancant Positions"/>
      <sheetName val="Headcount &amp; FTE"/>
      <sheetName val="Vacancy Dollars"/>
      <sheetName val="Vacancy Hours"/>
      <sheetName val="Vacancy Wage Rate Info"/>
      <sheetName val="Labor Cost Data"/>
      <sheetName val="O&amp;M Data"/>
      <sheetName val="2009 Labor by Mo"/>
      <sheetName val="Employee Types by Center"/>
      <sheetName val="Lookup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CC_0430</v>
          </cell>
          <cell r="B1" t="str">
            <v>Enterprises</v>
          </cell>
        </row>
        <row r="2">
          <cell r="A2" t="str">
            <v>CC_0431</v>
          </cell>
          <cell r="B2" t="str">
            <v>HR</v>
          </cell>
        </row>
        <row r="3">
          <cell r="A3" t="str">
            <v>CC_0432</v>
          </cell>
          <cell r="B3" t="str">
            <v>Enterprises</v>
          </cell>
        </row>
        <row r="4">
          <cell r="A4" t="str">
            <v>CC_0433</v>
          </cell>
          <cell r="B4" t="str">
            <v>Treasury</v>
          </cell>
        </row>
        <row r="5">
          <cell r="A5" t="str">
            <v>CC_0434</v>
          </cell>
          <cell r="B5" t="str">
            <v>Enterprises</v>
          </cell>
        </row>
        <row r="6">
          <cell r="A6" t="str">
            <v>CC_0435</v>
          </cell>
          <cell r="B6" t="str">
            <v>Strategic Planning</v>
          </cell>
        </row>
        <row r="7">
          <cell r="A7" t="str">
            <v>CC_0436</v>
          </cell>
          <cell r="B7" t="str">
            <v>HR</v>
          </cell>
        </row>
        <row r="8">
          <cell r="A8" t="str">
            <v>CC_0461</v>
          </cell>
          <cell r="B8" t="str">
            <v>Energy Delivery</v>
          </cell>
        </row>
        <row r="9">
          <cell r="A9" t="str">
            <v>CC_0466</v>
          </cell>
          <cell r="B9" t="str">
            <v>Energy Delivery</v>
          </cell>
        </row>
        <row r="10">
          <cell r="A10" t="str">
            <v>CC_0467</v>
          </cell>
          <cell r="B10" t="str">
            <v>Energy Delivery</v>
          </cell>
        </row>
        <row r="11">
          <cell r="A11" t="str">
            <v>CC_0468</v>
          </cell>
          <cell r="B11" t="str">
            <v>Energy Delivery</v>
          </cell>
        </row>
        <row r="12">
          <cell r="A12" t="str">
            <v>CC_0469</v>
          </cell>
          <cell r="B12" t="str">
            <v>Energy Delivery</v>
          </cell>
        </row>
        <row r="13">
          <cell r="A13" t="str">
            <v>CC_0471</v>
          </cell>
          <cell r="B13" t="str">
            <v>Energy Delivery</v>
          </cell>
        </row>
        <row r="14">
          <cell r="A14" t="str">
            <v>CC_0480</v>
          </cell>
          <cell r="B14" t="str">
            <v>Energy Delivery</v>
          </cell>
        </row>
        <row r="15">
          <cell r="A15" t="str">
            <v>CC_0481</v>
          </cell>
          <cell r="B15" t="str">
            <v>Energy Delivery</v>
          </cell>
        </row>
        <row r="16">
          <cell r="A16" t="str">
            <v>CC_0482</v>
          </cell>
          <cell r="B16" t="str">
            <v>Energy Delivery</v>
          </cell>
        </row>
        <row r="17">
          <cell r="A17" t="str">
            <v>CC_0485</v>
          </cell>
          <cell r="B17" t="str">
            <v>External Affairs and Sustainability</v>
          </cell>
        </row>
        <row r="18">
          <cell r="A18" t="str">
            <v>CC_0500</v>
          </cell>
          <cell r="B18" t="str">
            <v>CEO</v>
          </cell>
        </row>
        <row r="19">
          <cell r="A19" t="str">
            <v>CC_0501</v>
          </cell>
          <cell r="B19" t="str">
            <v>Treasury</v>
          </cell>
        </row>
        <row r="20">
          <cell r="A20" t="str">
            <v>CC_0502</v>
          </cell>
          <cell r="B20" t="str">
            <v>External Affairs and Sustainability</v>
          </cell>
        </row>
        <row r="21">
          <cell r="A21" t="str">
            <v>CC_0503</v>
          </cell>
          <cell r="B21" t="str">
            <v>General Counsel</v>
          </cell>
        </row>
        <row r="22">
          <cell r="A22" t="str">
            <v>CC_0504</v>
          </cell>
          <cell r="B22" t="str">
            <v>General Counsel</v>
          </cell>
        </row>
        <row r="23">
          <cell r="A23" t="str">
            <v>CC_0505</v>
          </cell>
          <cell r="B23" t="str">
            <v>Treasury</v>
          </cell>
        </row>
        <row r="24">
          <cell r="A24" t="str">
            <v>CC_0506</v>
          </cell>
          <cell r="B24" t="str">
            <v>COO</v>
          </cell>
        </row>
        <row r="25">
          <cell r="A25" t="str">
            <v>CC_0520</v>
          </cell>
          <cell r="B25" t="str">
            <v>HR</v>
          </cell>
        </row>
        <row r="26">
          <cell r="A26" t="str">
            <v>CC_0521</v>
          </cell>
          <cell r="B26" t="str">
            <v>External Affairs and Sustainability</v>
          </cell>
        </row>
        <row r="27">
          <cell r="A27" t="str">
            <v>CC_0522</v>
          </cell>
          <cell r="B27" t="str">
            <v>External Affairs and Sustainability</v>
          </cell>
        </row>
        <row r="28">
          <cell r="A28" t="str">
            <v>CC_0526</v>
          </cell>
          <cell r="B28" t="str">
            <v>HR</v>
          </cell>
        </row>
        <row r="29">
          <cell r="A29" t="str">
            <v>CC_0527</v>
          </cell>
          <cell r="B29" t="str">
            <v>HR</v>
          </cell>
        </row>
        <row r="30">
          <cell r="A30" t="str">
            <v>CC_0528</v>
          </cell>
          <cell r="B30" t="str">
            <v>HR</v>
          </cell>
        </row>
        <row r="31">
          <cell r="A31" t="str">
            <v>CC_0530</v>
          </cell>
          <cell r="B31" t="str">
            <v>HR</v>
          </cell>
        </row>
        <row r="32">
          <cell r="A32" t="str">
            <v>CC_0536</v>
          </cell>
          <cell r="B32" t="str">
            <v>Accounting</v>
          </cell>
        </row>
        <row r="33">
          <cell r="A33" t="str">
            <v>CC_0537</v>
          </cell>
          <cell r="B33" t="str">
            <v>Accounting</v>
          </cell>
        </row>
        <row r="34">
          <cell r="A34" t="str">
            <v>CC_0538</v>
          </cell>
          <cell r="B34" t="str">
            <v>Accounting</v>
          </cell>
        </row>
        <row r="35">
          <cell r="A35" t="str">
            <v>CC_0539</v>
          </cell>
          <cell r="B35" t="str">
            <v>Accounting</v>
          </cell>
        </row>
        <row r="36">
          <cell r="A36" t="str">
            <v>CC_0540</v>
          </cell>
          <cell r="B36" t="str">
            <v>CFO</v>
          </cell>
        </row>
        <row r="37">
          <cell r="A37" t="str">
            <v>CC_0541</v>
          </cell>
          <cell r="B37" t="str">
            <v>Accounting</v>
          </cell>
        </row>
        <row r="38">
          <cell r="A38" t="str">
            <v>CC_0542</v>
          </cell>
          <cell r="B38" t="str">
            <v>Accounting</v>
          </cell>
        </row>
        <row r="39">
          <cell r="A39" t="str">
            <v>CC_0543</v>
          </cell>
          <cell r="B39" t="str">
            <v>Accounting</v>
          </cell>
        </row>
        <row r="40">
          <cell r="A40" t="str">
            <v>CC_0544</v>
          </cell>
          <cell r="B40" t="str">
            <v>Accounting</v>
          </cell>
        </row>
        <row r="41">
          <cell r="A41" t="str">
            <v>CC_0545</v>
          </cell>
          <cell r="B41" t="str">
            <v>Accounting</v>
          </cell>
        </row>
        <row r="42">
          <cell r="A42" t="str">
            <v>CC_0546</v>
          </cell>
          <cell r="B42" t="str">
            <v>Accounting</v>
          </cell>
        </row>
        <row r="43">
          <cell r="A43" t="str">
            <v>CC_0547</v>
          </cell>
          <cell r="B43" t="str">
            <v>Treasury</v>
          </cell>
        </row>
        <row r="44">
          <cell r="A44" t="str">
            <v>CC_0548</v>
          </cell>
          <cell r="B44" t="str">
            <v>Investor Relations</v>
          </cell>
        </row>
        <row r="45">
          <cell r="A45" t="str">
            <v>CC_0549</v>
          </cell>
          <cell r="B45" t="str">
            <v>Accounting</v>
          </cell>
        </row>
        <row r="46">
          <cell r="A46" t="str">
            <v>CC_0550</v>
          </cell>
          <cell r="B46" t="str">
            <v>Info. Tech. &amp; Cust. Serv.</v>
          </cell>
        </row>
        <row r="47">
          <cell r="A47" t="str">
            <v>CC_0554</v>
          </cell>
          <cell r="B47" t="str">
            <v>Info. Tech. &amp; Cust. Serv.</v>
          </cell>
        </row>
        <row r="48">
          <cell r="A48" t="str">
            <v>CC_0555</v>
          </cell>
          <cell r="B48" t="str">
            <v>Info. Tech. &amp; Cust. Serv.</v>
          </cell>
        </row>
        <row r="49">
          <cell r="A49" t="str">
            <v>CC_0556</v>
          </cell>
          <cell r="B49" t="str">
            <v>Info. Tech. &amp; Cust. Serv.</v>
          </cell>
        </row>
        <row r="50">
          <cell r="A50" t="str">
            <v>CC_0557</v>
          </cell>
          <cell r="B50" t="str">
            <v>Info. Tech. &amp; Cust. Serv.</v>
          </cell>
        </row>
        <row r="51">
          <cell r="A51" t="str">
            <v>CC_0558</v>
          </cell>
          <cell r="B51" t="str">
            <v>Info. Tech. &amp; Cust. Serv.</v>
          </cell>
        </row>
        <row r="52">
          <cell r="A52" t="str">
            <v>CC_0559</v>
          </cell>
          <cell r="B52" t="str">
            <v>Info. Tech. &amp; Cust. Serv.</v>
          </cell>
        </row>
        <row r="53">
          <cell r="A53" t="str">
            <v>CC_0570</v>
          </cell>
          <cell r="B53" t="str">
            <v>VUTL &amp; Rev. Mgmt.</v>
          </cell>
        </row>
        <row r="54">
          <cell r="A54" t="str">
            <v>CC_0571</v>
          </cell>
          <cell r="B54" t="str">
            <v>External Affairs and Sustainability</v>
          </cell>
        </row>
        <row r="55">
          <cell r="A55" t="str">
            <v>CC_0572</v>
          </cell>
          <cell r="B55" t="str">
            <v>Marketing &amp; Conservation</v>
          </cell>
        </row>
        <row r="56">
          <cell r="A56" t="str">
            <v>CC_0573</v>
          </cell>
          <cell r="B56" t="str">
            <v>Regulatory Affairs</v>
          </cell>
        </row>
        <row r="57">
          <cell r="A57" t="str">
            <v>CC_0574</v>
          </cell>
          <cell r="B57" t="str">
            <v>VUHI Supply Chain</v>
          </cell>
        </row>
        <row r="58">
          <cell r="A58" t="str">
            <v>CC_0577</v>
          </cell>
          <cell r="B58" t="str">
            <v>VUHI Supply Chain</v>
          </cell>
        </row>
        <row r="59">
          <cell r="A59" t="str">
            <v>CC_0580</v>
          </cell>
          <cell r="B59" t="str">
            <v>VUHI Supply Chain</v>
          </cell>
        </row>
        <row r="60">
          <cell r="A60" t="str">
            <v>CC_0582</v>
          </cell>
          <cell r="B60" t="str">
            <v>VUTL &amp; Rev. Mgmt.</v>
          </cell>
        </row>
        <row r="61">
          <cell r="A61" t="str">
            <v>CC_1063</v>
          </cell>
          <cell r="B61" t="str">
            <v>VUHI Supply Chain</v>
          </cell>
        </row>
        <row r="62">
          <cell r="A62" t="str">
            <v>CC_1500</v>
          </cell>
          <cell r="B62" t="str">
            <v>VUTL &amp; Rev. Mgmt.</v>
          </cell>
        </row>
        <row r="63">
          <cell r="A63" t="str">
            <v>CC_1998</v>
          </cell>
          <cell r="B63" t="str">
            <v>Energy Delivery</v>
          </cell>
        </row>
        <row r="64">
          <cell r="A64" t="str">
            <v>CC_1999</v>
          </cell>
          <cell r="B64" t="str">
            <v>Energy Delivery</v>
          </cell>
        </row>
        <row r="65">
          <cell r="A65" t="str">
            <v>CC_2001</v>
          </cell>
          <cell r="B65" t="str">
            <v>Energy Delivery</v>
          </cell>
        </row>
        <row r="66">
          <cell r="A66" t="str">
            <v>CC_2002</v>
          </cell>
          <cell r="B66" t="str">
            <v>Energy Delivery</v>
          </cell>
        </row>
        <row r="67">
          <cell r="A67" t="str">
            <v>CC_2003</v>
          </cell>
          <cell r="B67" t="str">
            <v>Energy Delivery</v>
          </cell>
        </row>
        <row r="68">
          <cell r="A68" t="str">
            <v>CC_2004</v>
          </cell>
          <cell r="B68" t="str">
            <v>Energy Delivery</v>
          </cell>
        </row>
        <row r="69">
          <cell r="A69" t="str">
            <v>CC_2005</v>
          </cell>
          <cell r="B69" t="str">
            <v>Energy Delivery</v>
          </cell>
        </row>
        <row r="70">
          <cell r="A70" t="str">
            <v>CC_2006</v>
          </cell>
          <cell r="B70" t="str">
            <v>Energy Delivery</v>
          </cell>
        </row>
        <row r="71">
          <cell r="A71" t="str">
            <v>CC_2007</v>
          </cell>
          <cell r="B71" t="str">
            <v>Energy Delivery</v>
          </cell>
        </row>
        <row r="72">
          <cell r="A72" t="str">
            <v>CC_2008</v>
          </cell>
          <cell r="B72" t="str">
            <v>Energy Delivery</v>
          </cell>
        </row>
        <row r="73">
          <cell r="A73" t="str">
            <v>CC_2009</v>
          </cell>
          <cell r="B73" t="str">
            <v>Energy Delivery</v>
          </cell>
        </row>
        <row r="74">
          <cell r="A74" t="str">
            <v>CC_2014</v>
          </cell>
          <cell r="B74" t="str">
            <v>Energy Delivery</v>
          </cell>
        </row>
        <row r="75">
          <cell r="A75" t="str">
            <v>CC_2015</v>
          </cell>
          <cell r="B75" t="str">
            <v>Energy Delivery</v>
          </cell>
        </row>
        <row r="76">
          <cell r="A76" t="str">
            <v>CC_2024</v>
          </cell>
          <cell r="B76" t="str">
            <v>Energy Delivery</v>
          </cell>
        </row>
        <row r="77">
          <cell r="A77" t="str">
            <v>CC_2025</v>
          </cell>
          <cell r="B77" t="str">
            <v>General Counsel</v>
          </cell>
        </row>
        <row r="78">
          <cell r="A78" t="str">
            <v>CC_2026</v>
          </cell>
          <cell r="B78" t="str">
            <v>Energy Delivery</v>
          </cell>
        </row>
        <row r="79">
          <cell r="A79" t="str">
            <v>CC_2027</v>
          </cell>
          <cell r="B79" t="str">
            <v>Energy Delivery</v>
          </cell>
        </row>
        <row r="80">
          <cell r="A80" t="str">
            <v>CC_2028</v>
          </cell>
          <cell r="B80" t="str">
            <v>Energy Delivery</v>
          </cell>
        </row>
        <row r="81">
          <cell r="A81" t="str">
            <v>CC_2029</v>
          </cell>
          <cell r="B81" t="str">
            <v>Energy Delivery</v>
          </cell>
        </row>
        <row r="82">
          <cell r="A82" t="str">
            <v>CC_2035</v>
          </cell>
          <cell r="B82" t="str">
            <v>Energy Delivery</v>
          </cell>
        </row>
        <row r="83">
          <cell r="A83" t="str">
            <v>CC_2037</v>
          </cell>
          <cell r="B83" t="str">
            <v>Energy Delivery</v>
          </cell>
        </row>
        <row r="84">
          <cell r="A84" t="str">
            <v>CC_2038</v>
          </cell>
          <cell r="B84" t="str">
            <v>Energy Delivery</v>
          </cell>
        </row>
        <row r="85">
          <cell r="A85" t="str">
            <v>CC_2039</v>
          </cell>
          <cell r="B85" t="str">
            <v>Energy Delivery</v>
          </cell>
        </row>
        <row r="86">
          <cell r="A86" t="str">
            <v>CC_2040</v>
          </cell>
          <cell r="B86" t="str">
            <v>Energy Delivery</v>
          </cell>
        </row>
        <row r="87">
          <cell r="A87" t="str">
            <v>CC_2041</v>
          </cell>
          <cell r="B87" t="str">
            <v>Energy Delivery</v>
          </cell>
        </row>
        <row r="88">
          <cell r="A88" t="str">
            <v>CC_2042</v>
          </cell>
          <cell r="B88" t="str">
            <v>Energy Delivery</v>
          </cell>
        </row>
        <row r="89">
          <cell r="A89" t="str">
            <v>CC_3011</v>
          </cell>
          <cell r="B89" t="str">
            <v>Marketing &amp; Conservation</v>
          </cell>
        </row>
        <row r="90">
          <cell r="A90" t="str">
            <v>CC_3012</v>
          </cell>
          <cell r="B90" t="str">
            <v>Energy Delivery</v>
          </cell>
        </row>
        <row r="91">
          <cell r="A91" t="str">
            <v>CC_4060</v>
          </cell>
          <cell r="B91" t="str">
            <v>Power Supply</v>
          </cell>
        </row>
        <row r="92">
          <cell r="A92" t="str">
            <v>CC_4062</v>
          </cell>
          <cell r="B92" t="str">
            <v>Power Supply</v>
          </cell>
        </row>
        <row r="93">
          <cell r="A93" t="str">
            <v>CC_4070</v>
          </cell>
          <cell r="B93" t="str">
            <v>Power Supply</v>
          </cell>
        </row>
        <row r="94">
          <cell r="A94" t="str">
            <v>CC_4100</v>
          </cell>
          <cell r="B94" t="str">
            <v>Power Supply</v>
          </cell>
        </row>
        <row r="95">
          <cell r="A95" t="str">
            <v>CC_4240</v>
          </cell>
          <cell r="B95" t="str">
            <v>Power Supply</v>
          </cell>
        </row>
        <row r="96">
          <cell r="A96" t="str">
            <v>CC_4309</v>
          </cell>
          <cell r="B96" t="str">
            <v>Power Supply</v>
          </cell>
        </row>
        <row r="97">
          <cell r="A97" t="str">
            <v>CC_4314</v>
          </cell>
          <cell r="B97" t="str">
            <v>Power Supply</v>
          </cell>
        </row>
        <row r="98">
          <cell r="A98" t="str">
            <v>CC_4330</v>
          </cell>
          <cell r="B98" t="str">
            <v>Power Supply</v>
          </cell>
        </row>
        <row r="99">
          <cell r="A99" t="str">
            <v>CC_4420</v>
          </cell>
          <cell r="B99" t="str">
            <v>Power Supply</v>
          </cell>
        </row>
        <row r="100">
          <cell r="A100" t="str">
            <v>CC_4050</v>
          </cell>
          <cell r="B100" t="str">
            <v>Power Supply</v>
          </cell>
        </row>
        <row r="101">
          <cell r="A101" t="str">
            <v>CC_4110</v>
          </cell>
          <cell r="B101" t="str">
            <v>Power Supply</v>
          </cell>
        </row>
        <row r="102">
          <cell r="A102" t="str">
            <v>CC_4120</v>
          </cell>
          <cell r="B102" t="str">
            <v>Power Supply</v>
          </cell>
        </row>
        <row r="103">
          <cell r="A103" t="str">
            <v>CC_4210</v>
          </cell>
          <cell r="B103" t="str">
            <v>Power Supply</v>
          </cell>
        </row>
        <row r="104">
          <cell r="A104" t="str">
            <v>CC_4220</v>
          </cell>
          <cell r="B104" t="str">
            <v>Power Supply</v>
          </cell>
        </row>
        <row r="105">
          <cell r="A105" t="str">
            <v>CC_4230</v>
          </cell>
          <cell r="B105" t="str">
            <v>Power Supply</v>
          </cell>
        </row>
        <row r="106">
          <cell r="A106" t="str">
            <v>CC_4250</v>
          </cell>
          <cell r="B106" t="str">
            <v>Power Supply</v>
          </cell>
        </row>
        <row r="107">
          <cell r="A107" t="str">
            <v>CC_4308</v>
          </cell>
          <cell r="B107" t="str">
            <v>Power Supply</v>
          </cell>
        </row>
        <row r="108">
          <cell r="A108" t="str">
            <v>CC_4310</v>
          </cell>
          <cell r="B108" t="str">
            <v>Power Supply</v>
          </cell>
        </row>
        <row r="109">
          <cell r="A109" t="str">
            <v>CC_4311</v>
          </cell>
          <cell r="B109" t="str">
            <v>Power Supply</v>
          </cell>
        </row>
        <row r="110">
          <cell r="A110" t="str">
            <v>CC_4312</v>
          </cell>
          <cell r="B110" t="str">
            <v>Power Supply</v>
          </cell>
        </row>
        <row r="111">
          <cell r="A111" t="str">
            <v>CC_4313</v>
          </cell>
          <cell r="B111" t="str">
            <v>Power Supply</v>
          </cell>
        </row>
        <row r="112">
          <cell r="A112" t="str">
            <v>CC_4315</v>
          </cell>
          <cell r="B112" t="str">
            <v>Power Supply</v>
          </cell>
        </row>
        <row r="113">
          <cell r="A113" t="str">
            <v>CC_4316</v>
          </cell>
          <cell r="B113" t="str">
            <v>Power Supply</v>
          </cell>
        </row>
        <row r="114">
          <cell r="A114" t="str">
            <v>CC_4317</v>
          </cell>
          <cell r="B114" t="str">
            <v>Power Supply</v>
          </cell>
        </row>
        <row r="115">
          <cell r="A115" t="str">
            <v>CC_4318</v>
          </cell>
          <cell r="B115" t="str">
            <v>Power Supply</v>
          </cell>
        </row>
        <row r="116">
          <cell r="A116" t="str">
            <v>CC_4323</v>
          </cell>
          <cell r="B116" t="str">
            <v>Power Supply</v>
          </cell>
        </row>
        <row r="117">
          <cell r="A117" t="str">
            <v>CC_4324</v>
          </cell>
          <cell r="B117" t="str">
            <v>Power Supply</v>
          </cell>
        </row>
        <row r="118">
          <cell r="A118" t="str">
            <v>CC_4325</v>
          </cell>
          <cell r="B118" t="str">
            <v>Power Supply</v>
          </cell>
        </row>
        <row r="119">
          <cell r="A119" t="str">
            <v>CC_4410</v>
          </cell>
          <cell r="B119" t="str">
            <v>Power Supply</v>
          </cell>
        </row>
        <row r="120">
          <cell r="A120" t="str">
            <v>CC_4430</v>
          </cell>
          <cell r="B120" t="str">
            <v>Power Supply</v>
          </cell>
        </row>
        <row r="121">
          <cell r="A121" t="str">
            <v>CC_4440</v>
          </cell>
          <cell r="B121" t="str">
            <v>Power Supply</v>
          </cell>
        </row>
        <row r="122">
          <cell r="A122" t="str">
            <v>CC_5501</v>
          </cell>
          <cell r="B122" t="str">
            <v>VUTL &amp; Rev. Mgmt.</v>
          </cell>
        </row>
        <row r="123">
          <cell r="A123" t="str">
            <v>CC_5504</v>
          </cell>
          <cell r="B123" t="str">
            <v>VUTL &amp; Rev. Mgmt.</v>
          </cell>
        </row>
        <row r="124">
          <cell r="A124" t="str">
            <v>CC_5505</v>
          </cell>
          <cell r="B124" t="str">
            <v>Energy Delivery</v>
          </cell>
        </row>
        <row r="125">
          <cell r="A125" t="str">
            <v>CC_5506</v>
          </cell>
          <cell r="B125" t="str">
            <v>VUTL &amp; Rev. Mgmt.</v>
          </cell>
        </row>
        <row r="126">
          <cell r="A126" t="str">
            <v>CC_5507</v>
          </cell>
          <cell r="B126" t="str">
            <v>VUTL &amp; Rev. Mgmt.</v>
          </cell>
        </row>
        <row r="127">
          <cell r="A127" t="str">
            <v>CC_5508</v>
          </cell>
          <cell r="B127" t="str">
            <v>VUTL &amp; Rev. Mgmt.</v>
          </cell>
        </row>
        <row r="128">
          <cell r="A128" t="str">
            <v>CC_5550</v>
          </cell>
          <cell r="B128" t="str">
            <v>VUTL &amp; Rev. Mgmt.</v>
          </cell>
        </row>
        <row r="129">
          <cell r="A129" t="str">
            <v>CC_5551</v>
          </cell>
          <cell r="B129" t="str">
            <v>VUTL &amp; Rev. Mgmt.</v>
          </cell>
        </row>
        <row r="130">
          <cell r="A130" t="str">
            <v>CC_5600</v>
          </cell>
          <cell r="B130" t="str">
            <v>Energy Delivery</v>
          </cell>
        </row>
        <row r="131">
          <cell r="A131" t="str">
            <v>CC_5606</v>
          </cell>
          <cell r="B131" t="str">
            <v>Info. Tech. &amp; Cust. Serv.</v>
          </cell>
        </row>
        <row r="132">
          <cell r="A132" t="str">
            <v>CC_5607</v>
          </cell>
          <cell r="B132" t="str">
            <v>VUTL &amp; Rev. Mgmt.</v>
          </cell>
        </row>
        <row r="133">
          <cell r="A133" t="str">
            <v>CC_5608</v>
          </cell>
          <cell r="B133" t="str">
            <v>VUTL &amp; Rev. Mgmt.</v>
          </cell>
        </row>
        <row r="134">
          <cell r="A134" t="str">
            <v>CC_5609</v>
          </cell>
          <cell r="B134" t="str">
            <v>VUTL &amp; Rev. Mgmt.</v>
          </cell>
        </row>
        <row r="135">
          <cell r="A135" t="str">
            <v>CC_5611</v>
          </cell>
          <cell r="B135" t="str">
            <v>Info. Tech. &amp; Cust. Serv.</v>
          </cell>
        </row>
        <row r="136">
          <cell r="A136" t="str">
            <v>CC_5612</v>
          </cell>
          <cell r="B136" t="str">
            <v>VUTL &amp; Rev. Mgmt.</v>
          </cell>
        </row>
        <row r="137">
          <cell r="A137" t="str">
            <v>CC_5616</v>
          </cell>
          <cell r="B137" t="str">
            <v>Info. Tech. &amp; Cust. Serv.</v>
          </cell>
        </row>
        <row r="138">
          <cell r="A138" t="str">
            <v>CC_5617</v>
          </cell>
          <cell r="B138" t="str">
            <v>VUTL &amp; Rev. Mgmt.</v>
          </cell>
        </row>
        <row r="139">
          <cell r="A139" t="str">
            <v>CC_5618</v>
          </cell>
          <cell r="B139" t="str">
            <v>Info. Tech. &amp; Cust. Serv.</v>
          </cell>
        </row>
        <row r="140">
          <cell r="A140" t="str">
            <v>CC_5640</v>
          </cell>
          <cell r="B140" t="str">
            <v>Marketing &amp; Conservation</v>
          </cell>
        </row>
        <row r="141">
          <cell r="A141" t="str">
            <v>CC_5641</v>
          </cell>
          <cell r="B141" t="str">
            <v>Info. Tech. &amp; Cust. Serv.</v>
          </cell>
        </row>
        <row r="142">
          <cell r="A142" t="str">
            <v>CC_5642</v>
          </cell>
          <cell r="B142" t="str">
            <v>Marketing &amp; Conservation</v>
          </cell>
        </row>
        <row r="143">
          <cell r="A143" t="str">
            <v>CC_5647</v>
          </cell>
          <cell r="B143" t="str">
            <v>Marketing &amp; Conservation</v>
          </cell>
        </row>
        <row r="144">
          <cell r="A144" t="str">
            <v>CC_5648</v>
          </cell>
          <cell r="B144" t="str">
            <v>Marketing &amp; Conservation</v>
          </cell>
        </row>
        <row r="145">
          <cell r="A145" t="str">
            <v>CC_5649</v>
          </cell>
          <cell r="B145" t="str">
            <v>Marketing &amp; Conservation</v>
          </cell>
        </row>
        <row r="146">
          <cell r="A146" t="str">
            <v>CC_5650</v>
          </cell>
          <cell r="B146" t="str">
            <v>VUTL &amp; Rev. Mgmt.</v>
          </cell>
        </row>
        <row r="147">
          <cell r="A147" t="str">
            <v>CC_5651</v>
          </cell>
          <cell r="B147" t="str">
            <v>Marketing &amp; Conservation</v>
          </cell>
        </row>
        <row r="148">
          <cell r="A148" t="str">
            <v>CC_5652</v>
          </cell>
          <cell r="B148" t="str">
            <v>Info. Tech. &amp; Cust. Serv.</v>
          </cell>
        </row>
        <row r="149">
          <cell r="A149" t="str">
            <v>CC_5653</v>
          </cell>
          <cell r="B149" t="str">
            <v>Marketing &amp; Conservation</v>
          </cell>
        </row>
        <row r="150">
          <cell r="A150" t="str">
            <v>CC_5654</v>
          </cell>
          <cell r="B150" t="str">
            <v>Marketing &amp; Conservation</v>
          </cell>
        </row>
        <row r="151">
          <cell r="A151" t="str">
            <v>CC_5655</v>
          </cell>
          <cell r="B151" t="str">
            <v>Marketing &amp; Conservation</v>
          </cell>
        </row>
        <row r="152">
          <cell r="A152" t="str">
            <v>CC_5707</v>
          </cell>
          <cell r="B152" t="str">
            <v>Energy Delivery</v>
          </cell>
        </row>
        <row r="153">
          <cell r="A153" t="str">
            <v>CC_5723</v>
          </cell>
          <cell r="B153" t="str">
            <v>Energy Delivery</v>
          </cell>
        </row>
        <row r="154">
          <cell r="A154" t="str">
            <v>CC_5733</v>
          </cell>
          <cell r="B154" t="str">
            <v>Energy Delivery</v>
          </cell>
        </row>
        <row r="155">
          <cell r="A155" t="str">
            <v>CC_5741</v>
          </cell>
          <cell r="B155" t="str">
            <v>Energy Delivery</v>
          </cell>
        </row>
        <row r="156">
          <cell r="A156" t="str">
            <v>CC_5742</v>
          </cell>
          <cell r="B156" t="str">
            <v>Energy Delivery</v>
          </cell>
        </row>
        <row r="157">
          <cell r="A157" t="str">
            <v>CC_5751</v>
          </cell>
          <cell r="B157" t="str">
            <v>Energy Delivery</v>
          </cell>
        </row>
        <row r="158">
          <cell r="A158" t="str">
            <v>CC_5752</v>
          </cell>
          <cell r="B158" t="str">
            <v>Energy Delivery</v>
          </cell>
        </row>
        <row r="159">
          <cell r="A159" t="str">
            <v>CC_5753</v>
          </cell>
          <cell r="B159" t="str">
            <v>Energy Delivery</v>
          </cell>
        </row>
        <row r="160">
          <cell r="A160" t="str">
            <v>CC_5821</v>
          </cell>
          <cell r="B160" t="str">
            <v>Energy Delivery</v>
          </cell>
        </row>
        <row r="161">
          <cell r="A161" t="str">
            <v>CC_5830</v>
          </cell>
          <cell r="B161" t="str">
            <v>Energy Delivery</v>
          </cell>
        </row>
        <row r="162">
          <cell r="A162" t="str">
            <v>CC_5832</v>
          </cell>
          <cell r="B162" t="str">
            <v>Energy Delivery</v>
          </cell>
        </row>
        <row r="163">
          <cell r="A163" t="str">
            <v>CC_5833</v>
          </cell>
          <cell r="B163" t="str">
            <v>Energy Delivery</v>
          </cell>
        </row>
        <row r="164">
          <cell r="A164" t="str">
            <v>CC_5834</v>
          </cell>
          <cell r="B164" t="str">
            <v>Energy Delivery</v>
          </cell>
        </row>
        <row r="165">
          <cell r="A165" t="str">
            <v>CC_5835</v>
          </cell>
          <cell r="B165" t="str">
            <v>Energy Delivery</v>
          </cell>
        </row>
        <row r="166">
          <cell r="A166" t="str">
            <v>CC_5850</v>
          </cell>
          <cell r="B166" t="str">
            <v>Energy Delivery</v>
          </cell>
        </row>
        <row r="167">
          <cell r="A167" t="str">
            <v>CC_5851</v>
          </cell>
          <cell r="B167" t="str">
            <v>Energy Delivery</v>
          </cell>
        </row>
        <row r="168">
          <cell r="A168" t="str">
            <v>CC_5854</v>
          </cell>
          <cell r="B168" t="str">
            <v>Energy Delivery</v>
          </cell>
        </row>
        <row r="169">
          <cell r="A169" t="str">
            <v>CC_5855</v>
          </cell>
          <cell r="B169" t="str">
            <v>Energy Delivery</v>
          </cell>
        </row>
        <row r="170">
          <cell r="A170" t="str">
            <v>CC_5856</v>
          </cell>
          <cell r="B170" t="str">
            <v>Energy Delivery</v>
          </cell>
        </row>
        <row r="171">
          <cell r="A171" t="str">
            <v>CC_5857</v>
          </cell>
          <cell r="B171" t="str">
            <v>Energy Delivery</v>
          </cell>
        </row>
        <row r="172">
          <cell r="A172" t="str">
            <v>CC_5858</v>
          </cell>
          <cell r="B172" t="str">
            <v>Energy Delivery</v>
          </cell>
        </row>
        <row r="173">
          <cell r="A173" t="str">
            <v>CC_5859</v>
          </cell>
          <cell r="B173" t="str">
            <v>Energy Delivery</v>
          </cell>
        </row>
        <row r="174">
          <cell r="A174" t="str">
            <v>CC_5920</v>
          </cell>
          <cell r="B174" t="str">
            <v>Energy Delivery</v>
          </cell>
        </row>
        <row r="175">
          <cell r="A175" t="str">
            <v>CC_5923</v>
          </cell>
          <cell r="B175" t="str">
            <v>Energy Delivery</v>
          </cell>
        </row>
        <row r="176">
          <cell r="A176" t="str">
            <v>CC_5924</v>
          </cell>
          <cell r="B176" t="str">
            <v>Energy Delivery</v>
          </cell>
        </row>
        <row r="177">
          <cell r="A177" t="str">
            <v>CC_5925</v>
          </cell>
          <cell r="B177" t="str">
            <v>Energy Delivery</v>
          </cell>
        </row>
        <row r="178">
          <cell r="A178" t="str">
            <v>CC_5926</v>
          </cell>
          <cell r="B178" t="str">
            <v>Energy Delivery</v>
          </cell>
        </row>
        <row r="179">
          <cell r="A179" t="str">
            <v>CC_5927</v>
          </cell>
          <cell r="B179" t="str">
            <v>Energy Delivery</v>
          </cell>
        </row>
        <row r="180">
          <cell r="A180" t="str">
            <v>CC_5928</v>
          </cell>
          <cell r="B180" t="str">
            <v>Energy Delivery</v>
          </cell>
        </row>
        <row r="181">
          <cell r="A181" t="str">
            <v>CC_5929</v>
          </cell>
          <cell r="B181" t="str">
            <v>Energy Delivery</v>
          </cell>
        </row>
        <row r="182">
          <cell r="A182" t="str">
            <v>CC_5950</v>
          </cell>
          <cell r="B182" t="str">
            <v>Energy Delivery</v>
          </cell>
        </row>
        <row r="183">
          <cell r="A183" t="str">
            <v>CC_5952</v>
          </cell>
          <cell r="B183" t="str">
            <v>Energy Delivery</v>
          </cell>
        </row>
        <row r="184">
          <cell r="A184" t="str">
            <v>CC_5953</v>
          </cell>
          <cell r="B184" t="str">
            <v>Energy Delivery</v>
          </cell>
        </row>
        <row r="185">
          <cell r="A185" t="str">
            <v>CC_5954</v>
          </cell>
          <cell r="B185" t="str">
            <v>Energy Delivery</v>
          </cell>
        </row>
        <row r="186">
          <cell r="A186" t="str">
            <v>CC_5955</v>
          </cell>
          <cell r="B186" t="str">
            <v>Energy Delivery</v>
          </cell>
        </row>
        <row r="187">
          <cell r="A187" t="str">
            <v>CC_5956</v>
          </cell>
          <cell r="B187" t="str">
            <v>Energy Delivery</v>
          </cell>
        </row>
        <row r="188">
          <cell r="A188" t="str">
            <v>CC_5957</v>
          </cell>
          <cell r="B188" t="str">
            <v>Energy Delivery</v>
          </cell>
        </row>
        <row r="189">
          <cell r="A189" t="str">
            <v>CC_5958</v>
          </cell>
          <cell r="B189" t="str">
            <v>Energy Delivery</v>
          </cell>
        </row>
        <row r="190">
          <cell r="A190" t="str">
            <v>CC_5959</v>
          </cell>
          <cell r="B190" t="str">
            <v>Energy Delivery</v>
          </cell>
        </row>
        <row r="191">
          <cell r="A191" t="str">
            <v>CC_6000</v>
          </cell>
          <cell r="B191" t="str">
            <v>Non reg</v>
          </cell>
        </row>
        <row r="192">
          <cell r="A192" t="str">
            <v>CC_6010</v>
          </cell>
          <cell r="B192" t="str">
            <v>Non reg</v>
          </cell>
        </row>
        <row r="193">
          <cell r="A193" t="str">
            <v>CC_6020</v>
          </cell>
          <cell r="B193" t="str">
            <v>Non reg</v>
          </cell>
        </row>
        <row r="194">
          <cell r="A194" t="str">
            <v>CC_6030</v>
          </cell>
          <cell r="B194" t="str">
            <v>Non reg</v>
          </cell>
        </row>
        <row r="195">
          <cell r="A195" t="str">
            <v>CC_6040</v>
          </cell>
          <cell r="B195" t="str">
            <v>Non reg</v>
          </cell>
        </row>
        <row r="196">
          <cell r="A196" t="str">
            <v>CC_A503</v>
          </cell>
          <cell r="B196" t="str">
            <v>General Counsel</v>
          </cell>
        </row>
        <row r="197">
          <cell r="A197" t="str">
            <v>CC_A521</v>
          </cell>
          <cell r="B197" t="str">
            <v>External Affairs and Sustainability</v>
          </cell>
        </row>
        <row r="198">
          <cell r="A198" t="str">
            <v>CC_A529</v>
          </cell>
          <cell r="B198" t="str">
            <v>HR</v>
          </cell>
        </row>
        <row r="199">
          <cell r="A199" t="str">
            <v>CC_A551</v>
          </cell>
          <cell r="B199" t="str">
            <v>VUHI Supply Chain</v>
          </cell>
        </row>
        <row r="200">
          <cell r="A200" t="str">
            <v>CC_A552</v>
          </cell>
          <cell r="B200" t="str">
            <v>Info. Tech. &amp; Cust. Serv.</v>
          </cell>
        </row>
        <row r="201">
          <cell r="A201" t="str">
            <v>CC_A553</v>
          </cell>
          <cell r="B201" t="str">
            <v>Info. Tech. &amp; Cust. Serv.</v>
          </cell>
        </row>
        <row r="202">
          <cell r="A202" t="str">
            <v>CC_A571</v>
          </cell>
          <cell r="B202" t="str">
            <v>External Affairs and Sustainability</v>
          </cell>
        </row>
        <row r="203">
          <cell r="A203" t="str">
            <v>CC_A575</v>
          </cell>
          <cell r="B203" t="str">
            <v>VUHI Supply Chain</v>
          </cell>
        </row>
        <row r="204">
          <cell r="A204" t="str">
            <v>CC_B503</v>
          </cell>
          <cell r="B204" t="str">
            <v>General Counsel</v>
          </cell>
        </row>
        <row r="205">
          <cell r="A205" t="str">
            <v>CC_B521</v>
          </cell>
          <cell r="B205" t="str">
            <v>External Affairs and Sustainability</v>
          </cell>
        </row>
        <row r="206">
          <cell r="A206" t="str">
            <v>CC_B529</v>
          </cell>
          <cell r="B206" t="str">
            <v>Incentive Compensation</v>
          </cell>
        </row>
        <row r="207">
          <cell r="A207" t="str">
            <v>CC_B552</v>
          </cell>
          <cell r="B207" t="str">
            <v>Info. Tech. &amp; Cust. Serv.</v>
          </cell>
        </row>
        <row r="208">
          <cell r="A208" t="str">
            <v>CC_B575</v>
          </cell>
          <cell r="B208" t="str">
            <v>VUHI Supply Chain</v>
          </cell>
        </row>
        <row r="209">
          <cell r="A209" t="str">
            <v>CC_C503</v>
          </cell>
          <cell r="B209" t="str">
            <v>General Counsel</v>
          </cell>
        </row>
        <row r="210">
          <cell r="A210" t="str">
            <v>CC_C521</v>
          </cell>
          <cell r="B210" t="str">
            <v>Marketing &amp; Conservation</v>
          </cell>
        </row>
        <row r="211">
          <cell r="A211" t="str">
            <v>CC_C552</v>
          </cell>
          <cell r="B211" t="str">
            <v>Info. Tech. &amp; Cust. Serv.</v>
          </cell>
        </row>
        <row r="212">
          <cell r="A212" t="str">
            <v>CC_D552</v>
          </cell>
          <cell r="B212" t="str">
            <v>Info. Tech. &amp; Cust. Serv.</v>
          </cell>
        </row>
        <row r="213">
          <cell r="A213" t="str">
            <v>CC_E503</v>
          </cell>
          <cell r="B213" t="str">
            <v>General Counsel</v>
          </cell>
        </row>
        <row r="214">
          <cell r="A214" t="str">
            <v>CC_E552</v>
          </cell>
          <cell r="B214" t="str">
            <v>Info. Tech. &amp; Cust. Serv.</v>
          </cell>
        </row>
        <row r="215">
          <cell r="A215" t="str">
            <v>CC_L503</v>
          </cell>
          <cell r="B215" t="str">
            <v>General Counsel</v>
          </cell>
        </row>
        <row r="216">
          <cell r="A216" t="str">
            <v>CC_Corp Allocations</v>
          </cell>
          <cell r="B216" t="str">
            <v>Allocations</v>
          </cell>
        </row>
        <row r="217">
          <cell r="A217" t="str">
            <v>CC_0001</v>
          </cell>
          <cell r="B217" t="str">
            <v>CC_0001</v>
          </cell>
        </row>
        <row r="218">
          <cell r="A218" t="str">
            <v>CC_0000</v>
          </cell>
          <cell r="B218" t="str">
            <v>CC_0000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CapexDetail"/>
      <sheetName val="Capex Linked"/>
      <sheetName val="AFUDC Rates"/>
      <sheetName val="Global Inputs"/>
      <sheetName val="Start North"/>
      <sheetName val="North Revenue"/>
      <sheetName val="North OM"/>
      <sheetName val="North Cnst &amp; Plt"/>
      <sheetName val="North Exist Finance"/>
      <sheetName val="North Misc Je"/>
      <sheetName val="End North"/>
      <sheetName val="North Reports"/>
      <sheetName val="Start South"/>
      <sheetName val="South Gas Rev"/>
      <sheetName val="South Elec Rev"/>
      <sheetName val="WPM"/>
      <sheetName val="Dispatch"/>
      <sheetName val="South Gas OM"/>
      <sheetName val="South Elec OM"/>
      <sheetName val="South Exist Finance"/>
      <sheetName val="South Ph II Cnst &amp;  Plt"/>
      <sheetName val="South SB29 Cnst &amp; Plt"/>
      <sheetName val="South El Trans Cnst &amp;Plt"/>
      <sheetName val="South Elec Cnst &amp; Plt"/>
      <sheetName val="South Gas Cnst &amp; Plt"/>
      <sheetName val="South Common Cnst &amp; Plt"/>
      <sheetName val="South Gas Misc Je"/>
      <sheetName val="South Elec Misc Je"/>
      <sheetName val="Elec Riders"/>
      <sheetName val="End South"/>
      <sheetName val="South Reports"/>
      <sheetName val="SIG El RCase"/>
      <sheetName val="South NOx Cnst &amp; Plt"/>
      <sheetName val="Start VEDO"/>
      <sheetName val="VEDO Revenue"/>
      <sheetName val="VEDO OM"/>
      <sheetName val="VEDO Cnst &amp; Plt"/>
      <sheetName val="VEDO Exist Finance"/>
      <sheetName val="VEDO Misc JE"/>
      <sheetName val="End VEDO"/>
      <sheetName val="VEDO RCase"/>
      <sheetName val="VEDO Reports"/>
      <sheetName val="Start Consol"/>
      <sheetName val="Consol North"/>
      <sheetName val="Consol South"/>
      <sheetName val="Consol VEDO"/>
      <sheetName val="End Consol"/>
      <sheetName val="Start VUHI"/>
      <sheetName val="VUHI Exist Finance"/>
      <sheetName val="VUHI OM"/>
      <sheetName val="VUHI Cnst &amp; Plt"/>
      <sheetName val="VUHI Misc Je"/>
      <sheetName val="End VUHI"/>
      <sheetName val="Consol VUHI"/>
      <sheetName val="VUHI Reports"/>
      <sheetName val="Elims"/>
      <sheetName val="VUHI Consol Detail Rpts"/>
      <sheetName val="VUHI Consol Reports"/>
      <sheetName val="VUHI Exec Summary Report"/>
      <sheetName val="VUHI Financing Report"/>
      <sheetName val="dispatch lookup"/>
      <sheetName val="Start RP"/>
      <sheetName val="base_RP"/>
      <sheetName val="End RP"/>
      <sheetName val="Dispatch Report"/>
      <sheetName val="Elec Jur Detail"/>
      <sheetName val="Elec Jur Allocators"/>
      <sheetName val="Elec Rate Relief Detail Report"/>
      <sheetName val="Andy"/>
      <sheetName val="Dividend Estimate"/>
      <sheetName val="SB 29 Rate Report"/>
      <sheetName val="WPM Report"/>
      <sheetName val="Gas Rate Report"/>
      <sheetName val="Rate Relief Summary"/>
      <sheetName val="SIG Split"/>
      <sheetName val="VUHI Reports (2)"/>
      <sheetName val="North Reports (2)"/>
      <sheetName val="South Reports (2)"/>
      <sheetName val="VEDO Reports (2)"/>
      <sheetName val="VUHI Consol Detail Rpts (2)"/>
      <sheetName val="VUHI Consol Reports (2)"/>
      <sheetName val="VUHI Exec Summary Repor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Log"/>
      <sheetName val="Source Data"/>
      <sheetName val="IM Risk Score Per Pipeline"/>
      <sheetName val="IM System Name"/>
      <sheetName val="Pivot Analysis"/>
      <sheetName val="Pivot $ per Year"/>
      <sheetName val="Directions"/>
      <sheetName val="Pivot Division Capital"/>
    </sheetNames>
    <sheetDataSet>
      <sheetData sheetId="0"/>
      <sheetData sheetId="1">
        <row r="21">
          <cell r="B21">
            <v>2013</v>
          </cell>
        </row>
        <row r="47">
          <cell r="B47" t="str">
            <v>ALL</v>
          </cell>
        </row>
        <row r="48">
          <cell r="B48" t="str">
            <v>VEDN</v>
          </cell>
        </row>
        <row r="49">
          <cell r="B49" t="str">
            <v>VEDS</v>
          </cell>
        </row>
        <row r="50">
          <cell r="B50" t="str">
            <v>VAUI</v>
          </cell>
        </row>
        <row r="51">
          <cell r="B51" t="str">
            <v>VEDO</v>
          </cell>
        </row>
        <row r="54">
          <cell r="B54" t="str">
            <v>ALL</v>
          </cell>
        </row>
        <row r="55">
          <cell r="B55" t="str">
            <v>NE4001</v>
          </cell>
        </row>
        <row r="56">
          <cell r="B56" t="str">
            <v>NE4002</v>
          </cell>
        </row>
        <row r="57">
          <cell r="B57" t="str">
            <v>NE4003</v>
          </cell>
        </row>
        <row r="58">
          <cell r="B58" t="str">
            <v>NE4004</v>
          </cell>
        </row>
        <row r="59">
          <cell r="B59" t="str">
            <v>NE4005</v>
          </cell>
        </row>
        <row r="60">
          <cell r="B60" t="str">
            <v>NE4006</v>
          </cell>
        </row>
        <row r="61">
          <cell r="B61" t="str">
            <v>NE4007</v>
          </cell>
        </row>
        <row r="62">
          <cell r="B62" t="str">
            <v>NE4008</v>
          </cell>
        </row>
        <row r="63">
          <cell r="B63" t="str">
            <v>NE4009</v>
          </cell>
        </row>
        <row r="64">
          <cell r="B64" t="str">
            <v>NE4010</v>
          </cell>
        </row>
        <row r="65">
          <cell r="B65" t="str">
            <v>NE4012</v>
          </cell>
        </row>
        <row r="66">
          <cell r="B66" t="str">
            <v>NE4013</v>
          </cell>
        </row>
        <row r="67">
          <cell r="B67" t="str">
            <v>NE4014</v>
          </cell>
        </row>
        <row r="68">
          <cell r="B68" t="str">
            <v>NE4015</v>
          </cell>
        </row>
        <row r="69">
          <cell r="B69" t="str">
            <v>NE4016</v>
          </cell>
        </row>
        <row r="70">
          <cell r="B70" t="str">
            <v>NE4017</v>
          </cell>
        </row>
        <row r="71">
          <cell r="B71" t="str">
            <v>NE4018</v>
          </cell>
        </row>
        <row r="72">
          <cell r="B72" t="str">
            <v>NE4019</v>
          </cell>
        </row>
        <row r="73">
          <cell r="B73" t="str">
            <v>NE4020</v>
          </cell>
        </row>
        <row r="74">
          <cell r="B74" t="str">
            <v>NE4021</v>
          </cell>
        </row>
        <row r="75">
          <cell r="B75" t="str">
            <v>NE4022</v>
          </cell>
        </row>
        <row r="76">
          <cell r="B76" t="str">
            <v>NE4023</v>
          </cell>
        </row>
        <row r="77">
          <cell r="B77" t="str">
            <v>NE4024</v>
          </cell>
        </row>
        <row r="78">
          <cell r="B78" t="str">
            <v>NE4025</v>
          </cell>
        </row>
        <row r="79">
          <cell r="B79" t="str">
            <v>NE4027</v>
          </cell>
        </row>
        <row r="80">
          <cell r="B80" t="str">
            <v>NE4028</v>
          </cell>
        </row>
        <row r="81">
          <cell r="B81" t="str">
            <v>NE4029</v>
          </cell>
        </row>
        <row r="82">
          <cell r="B82" t="str">
            <v>NE4030</v>
          </cell>
        </row>
        <row r="83">
          <cell r="B83" t="str">
            <v>NE4031</v>
          </cell>
        </row>
        <row r="84">
          <cell r="B84" t="str">
            <v>NE4032</v>
          </cell>
        </row>
        <row r="85">
          <cell r="B85" t="str">
            <v>NE4033</v>
          </cell>
        </row>
        <row r="86">
          <cell r="B86" t="str">
            <v>NS5001</v>
          </cell>
        </row>
        <row r="87">
          <cell r="B87" t="str">
            <v>NS5002</v>
          </cell>
        </row>
        <row r="88">
          <cell r="B88" t="str">
            <v>NS5003</v>
          </cell>
        </row>
        <row r="89">
          <cell r="B89" t="str">
            <v>NS5004</v>
          </cell>
        </row>
        <row r="90">
          <cell r="B90" t="str">
            <v>NS5005</v>
          </cell>
        </row>
        <row r="91">
          <cell r="B91" t="str">
            <v>NS5006</v>
          </cell>
        </row>
        <row r="92">
          <cell r="B92" t="str">
            <v>NS5007</v>
          </cell>
        </row>
        <row r="93">
          <cell r="B93" t="str">
            <v>NS5008</v>
          </cell>
        </row>
        <row r="94">
          <cell r="B94" t="str">
            <v>NS5009</v>
          </cell>
        </row>
        <row r="95">
          <cell r="B95" t="str">
            <v>NS5010</v>
          </cell>
        </row>
        <row r="96">
          <cell r="B96" t="str">
            <v>NS5011</v>
          </cell>
        </row>
        <row r="97">
          <cell r="B97" t="str">
            <v>NS5012</v>
          </cell>
        </row>
        <row r="98">
          <cell r="B98" t="str">
            <v>NS5013</v>
          </cell>
        </row>
        <row r="99">
          <cell r="B99" t="str">
            <v>NS5014</v>
          </cell>
        </row>
        <row r="100">
          <cell r="B100" t="str">
            <v>NS5015</v>
          </cell>
        </row>
        <row r="101">
          <cell r="B101" t="str">
            <v>NS5016</v>
          </cell>
        </row>
        <row r="102">
          <cell r="B102" t="str">
            <v>NS5017</v>
          </cell>
        </row>
        <row r="103">
          <cell r="B103" t="str">
            <v>NS5050</v>
          </cell>
        </row>
        <row r="104">
          <cell r="B104" t="str">
            <v>NS5051</v>
          </cell>
        </row>
        <row r="105">
          <cell r="B105" t="str">
            <v>NS5052</v>
          </cell>
        </row>
        <row r="106">
          <cell r="B106" t="str">
            <v>NS5053</v>
          </cell>
        </row>
        <row r="107">
          <cell r="B107" t="str">
            <v>NS5054</v>
          </cell>
        </row>
        <row r="108">
          <cell r="B108" t="str">
            <v>NS5055</v>
          </cell>
        </row>
        <row r="109">
          <cell r="B109" t="str">
            <v>NS5056</v>
          </cell>
        </row>
        <row r="110">
          <cell r="B110" t="str">
            <v>NS5057</v>
          </cell>
        </row>
        <row r="111">
          <cell r="B111" t="str">
            <v>NS5058</v>
          </cell>
        </row>
        <row r="112">
          <cell r="B112" t="str">
            <v>NS5059</v>
          </cell>
        </row>
        <row r="113">
          <cell r="B113" t="str">
            <v>NS5060</v>
          </cell>
        </row>
        <row r="114">
          <cell r="B114" t="str">
            <v>NS5061</v>
          </cell>
        </row>
        <row r="115">
          <cell r="B115" t="str">
            <v>NS5120</v>
          </cell>
        </row>
        <row r="116">
          <cell r="B116" t="str">
            <v>NS5140</v>
          </cell>
        </row>
        <row r="117">
          <cell r="B117" t="str">
            <v>NS5141</v>
          </cell>
        </row>
        <row r="118">
          <cell r="B118" t="str">
            <v>NS5142</v>
          </cell>
        </row>
        <row r="119">
          <cell r="B119" t="str">
            <v>NS5143</v>
          </cell>
        </row>
        <row r="120">
          <cell r="B120" t="str">
            <v>NS5144</v>
          </cell>
        </row>
        <row r="121">
          <cell r="B121" t="str">
            <v>NS5145</v>
          </cell>
        </row>
        <row r="122">
          <cell r="B122" t="str">
            <v>NS5146</v>
          </cell>
        </row>
        <row r="123">
          <cell r="B123" t="str">
            <v>NS5147</v>
          </cell>
        </row>
        <row r="124">
          <cell r="B124" t="str">
            <v>NS5148</v>
          </cell>
        </row>
        <row r="125">
          <cell r="B125" t="str">
            <v>NS5149</v>
          </cell>
        </row>
        <row r="126">
          <cell r="B126" t="str">
            <v>NS5150</v>
          </cell>
        </row>
        <row r="127">
          <cell r="B127" t="str">
            <v>NS5700</v>
          </cell>
        </row>
        <row r="128">
          <cell r="B128" t="str">
            <v>NS5701</v>
          </cell>
        </row>
        <row r="129">
          <cell r="B129" t="str">
            <v>NS5702</v>
          </cell>
        </row>
        <row r="130">
          <cell r="B130" t="str">
            <v>NS5703</v>
          </cell>
        </row>
        <row r="131">
          <cell r="B131" t="str">
            <v>NS5704</v>
          </cell>
        </row>
        <row r="132">
          <cell r="B132" t="str">
            <v>NS5705</v>
          </cell>
        </row>
        <row r="133">
          <cell r="B133" t="str">
            <v>NS5706</v>
          </cell>
        </row>
        <row r="134">
          <cell r="B134" t="str">
            <v>NS5707</v>
          </cell>
        </row>
        <row r="135">
          <cell r="B135" t="str">
            <v>NS5708</v>
          </cell>
        </row>
        <row r="136">
          <cell r="B136" t="str">
            <v>NS5709</v>
          </cell>
        </row>
        <row r="137">
          <cell r="B137" t="str">
            <v>NS5710</v>
          </cell>
        </row>
        <row r="138">
          <cell r="B138" t="str">
            <v>NS5711</v>
          </cell>
        </row>
        <row r="139">
          <cell r="B139" t="str">
            <v>NS5712</v>
          </cell>
        </row>
        <row r="140">
          <cell r="B140" t="str">
            <v>NS5713</v>
          </cell>
        </row>
        <row r="141">
          <cell r="B141" t="str">
            <v>NS5714</v>
          </cell>
        </row>
        <row r="142">
          <cell r="B142" t="str">
            <v>NS5715</v>
          </cell>
        </row>
        <row r="143">
          <cell r="B143" t="str">
            <v>NS5716</v>
          </cell>
        </row>
        <row r="144">
          <cell r="B144" t="str">
            <v>NS5717</v>
          </cell>
        </row>
        <row r="145">
          <cell r="B145" t="str">
            <v>NS5718</v>
          </cell>
        </row>
        <row r="146">
          <cell r="B146" t="str">
            <v>NS5719</v>
          </cell>
        </row>
        <row r="147">
          <cell r="B147" t="str">
            <v>NS5720</v>
          </cell>
        </row>
        <row r="148">
          <cell r="B148" t="str">
            <v>NS5721</v>
          </cell>
        </row>
        <row r="149">
          <cell r="B149" t="str">
            <v>NS5750</v>
          </cell>
        </row>
        <row r="150">
          <cell r="B150" t="str">
            <v>NS5751</v>
          </cell>
        </row>
        <row r="151">
          <cell r="B151" t="str">
            <v>NS5752</v>
          </cell>
        </row>
        <row r="152">
          <cell r="B152" t="str">
            <v>NS5753</v>
          </cell>
        </row>
        <row r="153">
          <cell r="B153" t="str">
            <v>NS5754</v>
          </cell>
        </row>
        <row r="154">
          <cell r="B154" t="str">
            <v>NS5755</v>
          </cell>
        </row>
        <row r="155">
          <cell r="B155" t="str">
            <v>NS5756</v>
          </cell>
        </row>
        <row r="156">
          <cell r="B156" t="str">
            <v>NS5757</v>
          </cell>
        </row>
        <row r="157">
          <cell r="B157" t="str">
            <v>NS5758</v>
          </cell>
        </row>
        <row r="158">
          <cell r="B158" t="str">
            <v>NS5759</v>
          </cell>
        </row>
        <row r="159">
          <cell r="B159" t="str">
            <v>NS5760</v>
          </cell>
        </row>
        <row r="160">
          <cell r="B160" t="str">
            <v>NS5761</v>
          </cell>
        </row>
        <row r="161">
          <cell r="B161" t="str">
            <v>NS5762</v>
          </cell>
        </row>
        <row r="162">
          <cell r="B162" t="str">
            <v>NS5763</v>
          </cell>
        </row>
        <row r="163">
          <cell r="B163" t="str">
            <v>NS5764</v>
          </cell>
        </row>
        <row r="164">
          <cell r="B164" t="str">
            <v>NS5802</v>
          </cell>
        </row>
        <row r="165">
          <cell r="B165" t="str">
            <v>NS5803</v>
          </cell>
        </row>
        <row r="166">
          <cell r="B166" t="str">
            <v>NS5805</v>
          </cell>
        </row>
        <row r="167">
          <cell r="B167" t="str">
            <v>NS5806</v>
          </cell>
        </row>
        <row r="168">
          <cell r="B168" t="str">
            <v>NS5807</v>
          </cell>
        </row>
        <row r="169">
          <cell r="B169" t="str">
            <v>NS5808</v>
          </cell>
        </row>
        <row r="170">
          <cell r="B170" t="str">
            <v>NS5809</v>
          </cell>
        </row>
        <row r="171">
          <cell r="B171" t="str">
            <v>NS5810</v>
          </cell>
        </row>
        <row r="172">
          <cell r="B172" t="str">
            <v>NS5811</v>
          </cell>
        </row>
        <row r="173">
          <cell r="B173" t="str">
            <v>NS5812</v>
          </cell>
        </row>
        <row r="174">
          <cell r="B174" t="str">
            <v>NS5813</v>
          </cell>
        </row>
        <row r="175">
          <cell r="B175" t="str">
            <v>NS5814</v>
          </cell>
        </row>
        <row r="176">
          <cell r="B176" t="str">
            <v>NS5815</v>
          </cell>
        </row>
        <row r="177">
          <cell r="B177" t="str">
            <v>NS5816</v>
          </cell>
        </row>
        <row r="178">
          <cell r="B178" t="str">
            <v>NS5817</v>
          </cell>
        </row>
        <row r="179">
          <cell r="B179" t="str">
            <v>NS5818</v>
          </cell>
        </row>
        <row r="180">
          <cell r="B180" t="str">
            <v>NS5819</v>
          </cell>
        </row>
        <row r="181">
          <cell r="B181" t="str">
            <v>NS5820</v>
          </cell>
        </row>
        <row r="182">
          <cell r="B182" t="str">
            <v>NS5821</v>
          </cell>
        </row>
        <row r="183">
          <cell r="B183" t="str">
            <v>NS5822</v>
          </cell>
        </row>
        <row r="184">
          <cell r="B184" t="str">
            <v>NS5823</v>
          </cell>
        </row>
        <row r="185">
          <cell r="B185" t="str">
            <v>NS5824</v>
          </cell>
        </row>
        <row r="186">
          <cell r="B186" t="str">
            <v>NS5825</v>
          </cell>
        </row>
        <row r="187">
          <cell r="B187" t="str">
            <v>NS5826</v>
          </cell>
        </row>
        <row r="188">
          <cell r="B188" t="str">
            <v>NS5827</v>
          </cell>
        </row>
        <row r="189">
          <cell r="B189" t="str">
            <v>NS5828</v>
          </cell>
        </row>
        <row r="190">
          <cell r="B190" t="str">
            <v>NS5829</v>
          </cell>
        </row>
        <row r="191">
          <cell r="B191" t="str">
            <v>NS5830</v>
          </cell>
        </row>
        <row r="192">
          <cell r="B192" t="str">
            <v>NS5831</v>
          </cell>
        </row>
        <row r="193">
          <cell r="B193" t="str">
            <v>NS5832</v>
          </cell>
        </row>
        <row r="194">
          <cell r="B194" t="str">
            <v>NS5833</v>
          </cell>
        </row>
        <row r="195">
          <cell r="B195" t="str">
            <v>NS5834</v>
          </cell>
        </row>
        <row r="196">
          <cell r="B196" t="str">
            <v>NS5835</v>
          </cell>
        </row>
        <row r="197">
          <cell r="B197" t="str">
            <v>NS5836</v>
          </cell>
        </row>
        <row r="198">
          <cell r="B198" t="str">
            <v>NS5837</v>
          </cell>
        </row>
        <row r="199">
          <cell r="B199" t="str">
            <v>NS5838</v>
          </cell>
        </row>
        <row r="200">
          <cell r="B200" t="str">
            <v>NS5839</v>
          </cell>
        </row>
        <row r="201">
          <cell r="B201" t="str">
            <v>NS5840</v>
          </cell>
        </row>
        <row r="202">
          <cell r="B202" t="str">
            <v>NS5841</v>
          </cell>
        </row>
        <row r="203">
          <cell r="B203" t="str">
            <v>NS5842</v>
          </cell>
        </row>
        <row r="204">
          <cell r="B204" t="str">
            <v>NS5843</v>
          </cell>
        </row>
        <row r="205">
          <cell r="B205" t="str">
            <v>NS5844</v>
          </cell>
        </row>
        <row r="206">
          <cell r="B206" t="str">
            <v>NS5845</v>
          </cell>
        </row>
        <row r="207">
          <cell r="B207" t="str">
            <v>NS5846</v>
          </cell>
        </row>
        <row r="208">
          <cell r="B208" t="str">
            <v>NS5847</v>
          </cell>
        </row>
        <row r="209">
          <cell r="B209" t="str">
            <v>NS5848</v>
          </cell>
        </row>
        <row r="210">
          <cell r="B210" t="str">
            <v>NS5849</v>
          </cell>
        </row>
        <row r="211">
          <cell r="B211" t="str">
            <v>NS5850</v>
          </cell>
        </row>
        <row r="212">
          <cell r="B212" t="str">
            <v>NS5851</v>
          </cell>
        </row>
        <row r="213">
          <cell r="B213" t="str">
            <v>NS5852</v>
          </cell>
        </row>
        <row r="214">
          <cell r="B214" t="str">
            <v>NS5853</v>
          </cell>
        </row>
        <row r="215">
          <cell r="B215" t="str">
            <v>NS5854</v>
          </cell>
        </row>
        <row r="216">
          <cell r="B216" t="str">
            <v>NS5855</v>
          </cell>
        </row>
        <row r="217">
          <cell r="B217" t="str">
            <v>NS5856</v>
          </cell>
        </row>
        <row r="218">
          <cell r="B218" t="str">
            <v>NS5857</v>
          </cell>
        </row>
        <row r="219">
          <cell r="B219" t="str">
            <v>NS5858</v>
          </cell>
        </row>
        <row r="220">
          <cell r="B220" t="str">
            <v>NS5859</v>
          </cell>
        </row>
        <row r="221">
          <cell r="B221" t="str">
            <v>NS5860</v>
          </cell>
        </row>
        <row r="222">
          <cell r="B222" t="str">
            <v>NS5861</v>
          </cell>
        </row>
        <row r="223">
          <cell r="B223" t="str">
            <v>NS5862</v>
          </cell>
        </row>
        <row r="224">
          <cell r="B224" t="str">
            <v>NS5863</v>
          </cell>
        </row>
        <row r="225">
          <cell r="B225" t="str">
            <v>NS5864</v>
          </cell>
        </row>
        <row r="226">
          <cell r="B226" t="str">
            <v>NS5865</v>
          </cell>
        </row>
        <row r="227">
          <cell r="B227" t="str">
            <v>NS5866</v>
          </cell>
        </row>
        <row r="228">
          <cell r="B228" t="str">
            <v>NS5867</v>
          </cell>
        </row>
        <row r="229">
          <cell r="B229" t="str">
            <v>NS5868</v>
          </cell>
        </row>
        <row r="230">
          <cell r="B230" t="str">
            <v>NS5869</v>
          </cell>
        </row>
        <row r="231">
          <cell r="B231" t="str">
            <v>NS5870</v>
          </cell>
        </row>
        <row r="232">
          <cell r="B232" t="str">
            <v>NS5871</v>
          </cell>
        </row>
        <row r="233">
          <cell r="B233" t="str">
            <v>NS5872</v>
          </cell>
        </row>
        <row r="234">
          <cell r="B234" t="str">
            <v>NS5873</v>
          </cell>
        </row>
        <row r="235">
          <cell r="B235" t="str">
            <v>NW3001</v>
          </cell>
        </row>
        <row r="236">
          <cell r="B236" t="str">
            <v>NW3002</v>
          </cell>
        </row>
        <row r="237">
          <cell r="B237" t="str">
            <v>NW3003</v>
          </cell>
        </row>
        <row r="238">
          <cell r="B238" t="str">
            <v>NW3004</v>
          </cell>
        </row>
        <row r="239">
          <cell r="B239" t="str">
            <v>NW3005</v>
          </cell>
        </row>
        <row r="240">
          <cell r="B240" t="str">
            <v>NW3100</v>
          </cell>
        </row>
        <row r="241">
          <cell r="B241" t="str">
            <v>NW3101</v>
          </cell>
        </row>
        <row r="242">
          <cell r="B242" t="str">
            <v>NW3102</v>
          </cell>
        </row>
        <row r="243">
          <cell r="B243" t="str">
            <v>NW3103</v>
          </cell>
        </row>
        <row r="244">
          <cell r="B244" t="str">
            <v>NW3104</v>
          </cell>
        </row>
        <row r="245">
          <cell r="B245" t="str">
            <v>NW3105</v>
          </cell>
        </row>
        <row r="246">
          <cell r="B246" t="str">
            <v>NW3106</v>
          </cell>
        </row>
        <row r="247">
          <cell r="B247" t="str">
            <v>NW3106.001</v>
          </cell>
        </row>
        <row r="248">
          <cell r="B248" t="str">
            <v>NW3107</v>
          </cell>
        </row>
        <row r="249">
          <cell r="B249" t="str">
            <v>NW3108</v>
          </cell>
        </row>
        <row r="250">
          <cell r="B250" t="str">
            <v>NW3109</v>
          </cell>
        </row>
        <row r="251">
          <cell r="B251" t="str">
            <v>NW3109.001</v>
          </cell>
        </row>
        <row r="252">
          <cell r="B252" t="str">
            <v>NW3110</v>
          </cell>
        </row>
        <row r="253">
          <cell r="B253" t="str">
            <v>NW3110.001</v>
          </cell>
        </row>
        <row r="254">
          <cell r="B254" t="str">
            <v>NW3110.002</v>
          </cell>
        </row>
        <row r="255">
          <cell r="B255" t="str">
            <v>NW3110.003</v>
          </cell>
        </row>
        <row r="256">
          <cell r="B256" t="str">
            <v>NW3111</v>
          </cell>
        </row>
        <row r="257">
          <cell r="B257" t="str">
            <v>NW3112</v>
          </cell>
        </row>
        <row r="258">
          <cell r="B258" t="str">
            <v>NW3113</v>
          </cell>
        </row>
        <row r="259">
          <cell r="B259" t="str">
            <v>NW3114</v>
          </cell>
        </row>
        <row r="260">
          <cell r="B260" t="str">
            <v>NW3115</v>
          </cell>
        </row>
        <row r="261">
          <cell r="B261" t="str">
            <v>NW3116</v>
          </cell>
        </row>
        <row r="262">
          <cell r="B262" t="str">
            <v>NW3117</v>
          </cell>
        </row>
        <row r="263">
          <cell r="B263" t="str">
            <v>NW3118</v>
          </cell>
        </row>
        <row r="264">
          <cell r="B264" t="str">
            <v>NW3119</v>
          </cell>
        </row>
        <row r="265">
          <cell r="B265" t="str">
            <v>NW3120</v>
          </cell>
        </row>
        <row r="266">
          <cell r="B266" t="str">
            <v>NW3121</v>
          </cell>
        </row>
        <row r="267">
          <cell r="B267" t="str">
            <v>NW3122</v>
          </cell>
        </row>
        <row r="268">
          <cell r="B268" t="str">
            <v>NW3124</v>
          </cell>
        </row>
        <row r="269">
          <cell r="B269" t="str">
            <v>NW3125</v>
          </cell>
        </row>
        <row r="270">
          <cell r="B270" t="str">
            <v>NW3126</v>
          </cell>
        </row>
        <row r="271">
          <cell r="B271" t="str">
            <v>NW3127</v>
          </cell>
        </row>
        <row r="272">
          <cell r="B272" t="str">
            <v>NW3128</v>
          </cell>
        </row>
        <row r="273">
          <cell r="B273" t="str">
            <v>NW3128.001</v>
          </cell>
        </row>
        <row r="274">
          <cell r="B274" t="str">
            <v>NW3128.002</v>
          </cell>
        </row>
        <row r="275">
          <cell r="B275" t="str">
            <v>NW3129</v>
          </cell>
        </row>
        <row r="276">
          <cell r="B276" t="str">
            <v>NW3800</v>
          </cell>
        </row>
        <row r="277">
          <cell r="B277" t="str">
            <v>NW3801</v>
          </cell>
        </row>
        <row r="278">
          <cell r="B278" t="str">
            <v>NW3802</v>
          </cell>
        </row>
        <row r="279">
          <cell r="B279" t="str">
            <v>NW3803</v>
          </cell>
        </row>
        <row r="280">
          <cell r="B280" t="str">
            <v>NW3804</v>
          </cell>
        </row>
        <row r="281">
          <cell r="B281" t="str">
            <v>NW3805</v>
          </cell>
        </row>
        <row r="282">
          <cell r="B282" t="str">
            <v>NW3806</v>
          </cell>
        </row>
        <row r="283">
          <cell r="B283" t="str">
            <v>NW3807</v>
          </cell>
        </row>
        <row r="284">
          <cell r="B284" t="str">
            <v>NW3808</v>
          </cell>
        </row>
        <row r="285">
          <cell r="B285" t="str">
            <v>NW3809</v>
          </cell>
        </row>
        <row r="286">
          <cell r="B286" t="str">
            <v>NW3810</v>
          </cell>
        </row>
        <row r="287">
          <cell r="B287" t="str">
            <v>NW3811</v>
          </cell>
        </row>
        <row r="288">
          <cell r="B288" t="str">
            <v>NW3812</v>
          </cell>
        </row>
        <row r="289">
          <cell r="B289" t="str">
            <v>NW3813</v>
          </cell>
        </row>
        <row r="290">
          <cell r="B290" t="str">
            <v>NW3814</v>
          </cell>
        </row>
        <row r="291">
          <cell r="B291" t="str">
            <v>NW3815</v>
          </cell>
        </row>
        <row r="292">
          <cell r="B292" t="str">
            <v>NW3816</v>
          </cell>
        </row>
        <row r="293">
          <cell r="B293" t="str">
            <v>NW3817</v>
          </cell>
        </row>
        <row r="294">
          <cell r="B294" t="str">
            <v>NW3818</v>
          </cell>
        </row>
        <row r="295">
          <cell r="B295" t="str">
            <v>NW3819</v>
          </cell>
        </row>
        <row r="296">
          <cell r="B296" t="str">
            <v>NW3820</v>
          </cell>
        </row>
        <row r="297">
          <cell r="B297" t="str">
            <v>NW3821</v>
          </cell>
        </row>
        <row r="298">
          <cell r="B298" t="str">
            <v>NW3822</v>
          </cell>
        </row>
        <row r="299">
          <cell r="B299" t="str">
            <v>NW3823</v>
          </cell>
        </row>
        <row r="300">
          <cell r="B300" t="str">
            <v>NW3824</v>
          </cell>
        </row>
        <row r="301">
          <cell r="B301" t="str">
            <v>NW3825</v>
          </cell>
        </row>
        <row r="302">
          <cell r="B302" t="str">
            <v>NW3826</v>
          </cell>
        </row>
        <row r="303">
          <cell r="B303" t="str">
            <v>NW3827</v>
          </cell>
        </row>
        <row r="304">
          <cell r="B304" t="str">
            <v>NW3828</v>
          </cell>
        </row>
        <row r="305">
          <cell r="B305" t="str">
            <v>NW3829</v>
          </cell>
        </row>
        <row r="306">
          <cell r="B306" t="str">
            <v>NW3830</v>
          </cell>
        </row>
        <row r="307">
          <cell r="B307" t="str">
            <v>NW3831</v>
          </cell>
        </row>
        <row r="308">
          <cell r="B308" t="str">
            <v>NW3832</v>
          </cell>
        </row>
        <row r="309">
          <cell r="B309" t="str">
            <v>NW3833</v>
          </cell>
        </row>
        <row r="310">
          <cell r="B310" t="str">
            <v>NW3834</v>
          </cell>
        </row>
        <row r="311">
          <cell r="B311" t="str">
            <v>NW3835</v>
          </cell>
        </row>
        <row r="312">
          <cell r="B312" t="str">
            <v>NW3836</v>
          </cell>
        </row>
        <row r="313">
          <cell r="B313" t="str">
            <v>NW3837</v>
          </cell>
        </row>
        <row r="314">
          <cell r="B314" t="str">
            <v>NW3838</v>
          </cell>
        </row>
        <row r="315">
          <cell r="B315" t="str">
            <v>NW3839</v>
          </cell>
        </row>
        <row r="316">
          <cell r="B316" t="str">
            <v>NW3840</v>
          </cell>
        </row>
        <row r="317">
          <cell r="B317" t="str">
            <v>NW3841</v>
          </cell>
        </row>
        <row r="318">
          <cell r="B318" t="str">
            <v>NW3842</v>
          </cell>
        </row>
        <row r="319">
          <cell r="B319" t="str">
            <v>NW3843</v>
          </cell>
        </row>
        <row r="320">
          <cell r="B320" t="str">
            <v>NW3844</v>
          </cell>
        </row>
        <row r="321">
          <cell r="B321" t="str">
            <v>NW3845</v>
          </cell>
        </row>
        <row r="322">
          <cell r="B322" t="str">
            <v>NW3846</v>
          </cell>
        </row>
        <row r="323">
          <cell r="B323" t="str">
            <v>NW3847</v>
          </cell>
        </row>
        <row r="324">
          <cell r="B324" t="str">
            <v>OGA000</v>
          </cell>
        </row>
        <row r="325">
          <cell r="B325" t="str">
            <v>OGA077</v>
          </cell>
        </row>
        <row r="326">
          <cell r="B326" t="str">
            <v>OGA080</v>
          </cell>
        </row>
        <row r="327">
          <cell r="B327" t="str">
            <v>OGA097</v>
          </cell>
        </row>
        <row r="328">
          <cell r="B328" t="str">
            <v>OGA115</v>
          </cell>
        </row>
        <row r="329">
          <cell r="B329" t="str">
            <v>OGA116</v>
          </cell>
        </row>
        <row r="330">
          <cell r="B330" t="str">
            <v>OGA145</v>
          </cell>
        </row>
        <row r="331">
          <cell r="B331" t="str">
            <v>OGA161</v>
          </cell>
        </row>
        <row r="332">
          <cell r="B332" t="str">
            <v>OGZ036</v>
          </cell>
        </row>
        <row r="333">
          <cell r="B333" t="str">
            <v>OGZ036.001</v>
          </cell>
        </row>
        <row r="334">
          <cell r="B334" t="str">
            <v>OGZ038</v>
          </cell>
        </row>
        <row r="335">
          <cell r="B335" t="str">
            <v>OGZ050E</v>
          </cell>
        </row>
        <row r="336">
          <cell r="B336" t="str">
            <v>OGZ050W</v>
          </cell>
        </row>
        <row r="337">
          <cell r="B337" t="str">
            <v>OGZ051</v>
          </cell>
        </row>
        <row r="338">
          <cell r="B338" t="str">
            <v>OGZ167M</v>
          </cell>
        </row>
        <row r="339">
          <cell r="B339" t="str">
            <v>OGZ167N</v>
          </cell>
        </row>
        <row r="340">
          <cell r="B340" t="str">
            <v>OGZ167S</v>
          </cell>
        </row>
        <row r="341">
          <cell r="B341" t="str">
            <v>OGZ171</v>
          </cell>
        </row>
        <row r="342">
          <cell r="B342" t="str">
            <v>OGZ270</v>
          </cell>
        </row>
        <row r="343">
          <cell r="B343" t="str">
            <v>OGZ550W</v>
          </cell>
        </row>
        <row r="344">
          <cell r="B344" t="str">
            <v>SW6001</v>
          </cell>
        </row>
        <row r="345">
          <cell r="B345" t="str">
            <v>SW6002</v>
          </cell>
        </row>
        <row r="346">
          <cell r="B346" t="str">
            <v>SW6003</v>
          </cell>
        </row>
        <row r="347">
          <cell r="B347" t="str">
            <v>SW6004</v>
          </cell>
        </row>
        <row r="348">
          <cell r="B348" t="str">
            <v>SW6005</v>
          </cell>
        </row>
        <row r="349">
          <cell r="B349" t="str">
            <v>SW6006</v>
          </cell>
        </row>
        <row r="350">
          <cell r="B350" t="str">
            <v>SW6007</v>
          </cell>
        </row>
        <row r="351">
          <cell r="B351" t="str">
            <v>SW6069</v>
          </cell>
        </row>
        <row r="352">
          <cell r="B352" t="str">
            <v>SW6070</v>
          </cell>
        </row>
        <row r="353">
          <cell r="B353" t="str">
            <v>SW6071</v>
          </cell>
        </row>
        <row r="354">
          <cell r="B354" t="str">
            <v>SW6072</v>
          </cell>
        </row>
        <row r="355">
          <cell r="B355" t="str">
            <v>SW6073</v>
          </cell>
        </row>
        <row r="356">
          <cell r="B356" t="str">
            <v>SW6074</v>
          </cell>
        </row>
        <row r="357">
          <cell r="B357" t="str">
            <v>SW6075</v>
          </cell>
        </row>
        <row r="358">
          <cell r="B358" t="str">
            <v>SW6076</v>
          </cell>
        </row>
        <row r="359">
          <cell r="B359" t="str">
            <v>SW6077</v>
          </cell>
        </row>
        <row r="360">
          <cell r="B360" t="str">
            <v>SW6078</v>
          </cell>
        </row>
        <row r="361">
          <cell r="B361" t="str">
            <v>SW6079</v>
          </cell>
        </row>
        <row r="362">
          <cell r="B362" t="str">
            <v>SW6121</v>
          </cell>
        </row>
        <row r="363">
          <cell r="B363" t="str">
            <v>SW6122</v>
          </cell>
        </row>
        <row r="364">
          <cell r="B364" t="str">
            <v>SW6123</v>
          </cell>
        </row>
        <row r="365">
          <cell r="B365" t="str">
            <v>SW6124</v>
          </cell>
        </row>
        <row r="366">
          <cell r="B366" t="str">
            <v>SW6155</v>
          </cell>
        </row>
        <row r="367">
          <cell r="B367" t="str">
            <v>SW6156</v>
          </cell>
        </row>
        <row r="368">
          <cell r="B368" t="str">
            <v>SW6157</v>
          </cell>
        </row>
        <row r="369">
          <cell r="B369" t="str">
            <v>SW6158</v>
          </cell>
        </row>
        <row r="370">
          <cell r="B370" t="str">
            <v>SW6700</v>
          </cell>
        </row>
        <row r="371">
          <cell r="B371" t="str">
            <v>SW6701</v>
          </cell>
        </row>
        <row r="372">
          <cell r="B372" t="str">
            <v>SW6702</v>
          </cell>
        </row>
        <row r="373">
          <cell r="B373" t="str">
            <v>SW6703</v>
          </cell>
        </row>
        <row r="374">
          <cell r="B374" t="str">
            <v>SW6704</v>
          </cell>
        </row>
        <row r="375">
          <cell r="B375" t="str">
            <v>SW6705</v>
          </cell>
        </row>
        <row r="376">
          <cell r="B376" t="str">
            <v>SW6706</v>
          </cell>
        </row>
        <row r="377">
          <cell r="B377" t="str">
            <v>SW6707</v>
          </cell>
        </row>
        <row r="378">
          <cell r="B378" t="str">
            <v>SW6708</v>
          </cell>
        </row>
        <row r="379">
          <cell r="B379" t="str">
            <v>SW6709</v>
          </cell>
        </row>
        <row r="380">
          <cell r="B380" t="str">
            <v>SW6710</v>
          </cell>
        </row>
        <row r="381">
          <cell r="B381" t="str">
            <v>SW6711</v>
          </cell>
        </row>
        <row r="382">
          <cell r="B382" t="str">
            <v>SW6712</v>
          </cell>
        </row>
        <row r="383">
          <cell r="B383" t="str">
            <v>SW6713</v>
          </cell>
        </row>
        <row r="384">
          <cell r="B384" t="str">
            <v>SW6714</v>
          </cell>
        </row>
        <row r="385">
          <cell r="B385" t="str">
            <v>SW6715</v>
          </cell>
        </row>
        <row r="386">
          <cell r="B386" t="str">
            <v>SW6716</v>
          </cell>
        </row>
        <row r="387">
          <cell r="B387" t="str">
            <v>SW6717</v>
          </cell>
        </row>
        <row r="388">
          <cell r="B388" t="str">
            <v>SW6718</v>
          </cell>
        </row>
        <row r="389">
          <cell r="B389" t="str">
            <v>SW6719</v>
          </cell>
        </row>
        <row r="390">
          <cell r="B390" t="str">
            <v>SW6720</v>
          </cell>
        </row>
        <row r="391">
          <cell r="B391" t="str">
            <v>SW6721</v>
          </cell>
        </row>
        <row r="392">
          <cell r="B392" t="str">
            <v>SW6722</v>
          </cell>
        </row>
        <row r="393">
          <cell r="B393" t="str">
            <v>SW6723</v>
          </cell>
        </row>
        <row r="394">
          <cell r="B394" t="str">
            <v>SW6725</v>
          </cell>
        </row>
        <row r="395">
          <cell r="B395" t="str">
            <v>SW6726</v>
          </cell>
        </row>
        <row r="396">
          <cell r="B396" t="str">
            <v>SW6727</v>
          </cell>
        </row>
        <row r="397">
          <cell r="B397" t="str">
            <v>SW6728</v>
          </cell>
        </row>
        <row r="398">
          <cell r="B398" t="str">
            <v>SW6729</v>
          </cell>
        </row>
        <row r="399">
          <cell r="B399" t="str">
            <v>SW6730</v>
          </cell>
        </row>
        <row r="400">
          <cell r="B400" t="str">
            <v>SW6731</v>
          </cell>
        </row>
        <row r="401">
          <cell r="B401" t="str">
            <v>SW6732</v>
          </cell>
        </row>
        <row r="402">
          <cell r="B402" t="str">
            <v>SW6733</v>
          </cell>
        </row>
        <row r="403">
          <cell r="B403" t="str">
            <v>SW6800</v>
          </cell>
        </row>
        <row r="404">
          <cell r="B404" t="str">
            <v>SW6801</v>
          </cell>
        </row>
        <row r="405">
          <cell r="B405" t="str">
            <v>SW6802</v>
          </cell>
        </row>
        <row r="406">
          <cell r="B406" t="str">
            <v>SW6803</v>
          </cell>
        </row>
        <row r="407">
          <cell r="B407" t="str">
            <v>SW6804</v>
          </cell>
        </row>
        <row r="408">
          <cell r="B408" t="str">
            <v>SW6805</v>
          </cell>
        </row>
        <row r="409">
          <cell r="B409" t="str">
            <v>SW6806</v>
          </cell>
        </row>
        <row r="410">
          <cell r="B410" t="str">
            <v>SW6807</v>
          </cell>
        </row>
        <row r="411">
          <cell r="B411" t="str">
            <v>SW6808</v>
          </cell>
        </row>
        <row r="412">
          <cell r="B412" t="str">
            <v>SW6809</v>
          </cell>
        </row>
        <row r="413">
          <cell r="B413" t="str">
            <v>SW6810</v>
          </cell>
        </row>
        <row r="414">
          <cell r="B414" t="str">
            <v>SW6811</v>
          </cell>
        </row>
        <row r="415">
          <cell r="B415" t="str">
            <v>SW6812</v>
          </cell>
        </row>
        <row r="416">
          <cell r="B416" t="str">
            <v>SW6813</v>
          </cell>
        </row>
        <row r="417">
          <cell r="B417" t="str">
            <v>SW6814</v>
          </cell>
        </row>
        <row r="418">
          <cell r="B418" t="str">
            <v>SW6815</v>
          </cell>
        </row>
        <row r="419">
          <cell r="B419" t="str">
            <v>SW6816</v>
          </cell>
        </row>
        <row r="420">
          <cell r="B420" t="str">
            <v>SW6817</v>
          </cell>
        </row>
        <row r="421">
          <cell r="B421" t="str">
            <v>SW6818</v>
          </cell>
        </row>
        <row r="422">
          <cell r="B422" t="str">
            <v>SW6819</v>
          </cell>
        </row>
        <row r="423">
          <cell r="B423" t="str">
            <v>SW6820</v>
          </cell>
        </row>
        <row r="424">
          <cell r="B424" t="str">
            <v>SW6821</v>
          </cell>
        </row>
        <row r="425">
          <cell r="B425" t="str">
            <v>SW6822</v>
          </cell>
        </row>
        <row r="426">
          <cell r="B426" t="str">
            <v>SW6823</v>
          </cell>
        </row>
        <row r="427">
          <cell r="B427" t="str">
            <v>SW6824</v>
          </cell>
        </row>
        <row r="428">
          <cell r="B428" t="str">
            <v>SW6825</v>
          </cell>
        </row>
        <row r="429">
          <cell r="B429" t="str">
            <v>SW6826</v>
          </cell>
        </row>
        <row r="430">
          <cell r="B430" t="str">
            <v>SW6827</v>
          </cell>
        </row>
        <row r="431">
          <cell r="B431" t="str">
            <v>SW6828</v>
          </cell>
        </row>
        <row r="432">
          <cell r="B432" t="str">
            <v>SW6828.001</v>
          </cell>
        </row>
        <row r="433">
          <cell r="B433" t="str">
            <v>SW6829</v>
          </cell>
        </row>
        <row r="434">
          <cell r="B434" t="str">
            <v>SW6830</v>
          </cell>
        </row>
        <row r="435">
          <cell r="B435" t="str">
            <v>SW6831</v>
          </cell>
        </row>
        <row r="436">
          <cell r="B436" t="str">
            <v>SW6832</v>
          </cell>
        </row>
        <row r="437">
          <cell r="B437" t="str">
            <v>SW6833</v>
          </cell>
        </row>
        <row r="438">
          <cell r="B438" t="str">
            <v>SW6834</v>
          </cell>
        </row>
        <row r="439">
          <cell r="B439" t="str">
            <v>SW6835</v>
          </cell>
        </row>
        <row r="440">
          <cell r="B440" t="str">
            <v>SW6900</v>
          </cell>
        </row>
        <row r="441">
          <cell r="B441" t="str">
            <v>SW6901</v>
          </cell>
        </row>
        <row r="442">
          <cell r="B442" t="str">
            <v>SW6902</v>
          </cell>
        </row>
        <row r="443">
          <cell r="B443" t="str">
            <v>SW6903</v>
          </cell>
        </row>
        <row r="444">
          <cell r="B444" t="str">
            <v>SW6904</v>
          </cell>
        </row>
        <row r="445">
          <cell r="B445" t="str">
            <v>SW6905</v>
          </cell>
        </row>
        <row r="446">
          <cell r="B446" t="str">
            <v>SW6906</v>
          </cell>
        </row>
        <row r="447">
          <cell r="B447" t="str">
            <v>SW6907</v>
          </cell>
        </row>
        <row r="448">
          <cell r="B448" t="str">
            <v>SW6908</v>
          </cell>
        </row>
        <row r="449">
          <cell r="B449" t="str">
            <v>SW6910</v>
          </cell>
        </row>
        <row r="450">
          <cell r="B450" t="str">
            <v>SW6911</v>
          </cell>
        </row>
        <row r="451">
          <cell r="B451" t="str">
            <v>SW6912</v>
          </cell>
        </row>
        <row r="452">
          <cell r="B452" t="str">
            <v>SW6913</v>
          </cell>
        </row>
        <row r="453">
          <cell r="B453" t="str">
            <v>SW6914</v>
          </cell>
        </row>
        <row r="454">
          <cell r="B454" t="str">
            <v>SW6915</v>
          </cell>
        </row>
        <row r="455">
          <cell r="B455" t="str">
            <v>SW6916</v>
          </cell>
        </row>
        <row r="456">
          <cell r="B456" t="str">
            <v>SW6917</v>
          </cell>
        </row>
        <row r="457">
          <cell r="B457" t="str">
            <v>SW6918</v>
          </cell>
        </row>
        <row r="458">
          <cell r="B458" t="str">
            <v>SW6919</v>
          </cell>
        </row>
        <row r="459">
          <cell r="B459" t="str">
            <v>SW6920</v>
          </cell>
        </row>
        <row r="460">
          <cell r="B460" t="str">
            <v>SW6921</v>
          </cell>
        </row>
        <row r="461">
          <cell r="B461" t="str">
            <v>SW6922</v>
          </cell>
        </row>
        <row r="462">
          <cell r="B462" t="str">
            <v>SW6923</v>
          </cell>
        </row>
        <row r="463">
          <cell r="B463" t="str">
            <v>SW6924</v>
          </cell>
        </row>
        <row r="464">
          <cell r="B464" t="str">
            <v>SW6925</v>
          </cell>
        </row>
        <row r="465">
          <cell r="B465" t="str">
            <v>SW6926</v>
          </cell>
        </row>
        <row r="466">
          <cell r="B466" t="str">
            <v>SW6927</v>
          </cell>
        </row>
        <row r="467">
          <cell r="B467" t="str">
            <v>SW6928</v>
          </cell>
        </row>
        <row r="468">
          <cell r="B468" t="str">
            <v>SW6929</v>
          </cell>
        </row>
        <row r="469">
          <cell r="B469" t="str">
            <v>SW6930</v>
          </cell>
        </row>
        <row r="470">
          <cell r="B470" t="str">
            <v>SW6931</v>
          </cell>
        </row>
        <row r="471">
          <cell r="B471" t="str">
            <v>SW6932</v>
          </cell>
        </row>
        <row r="472">
          <cell r="B472" t="str">
            <v>SW6933</v>
          </cell>
        </row>
        <row r="473">
          <cell r="B473" t="str">
            <v>SW6934</v>
          </cell>
        </row>
        <row r="474">
          <cell r="B474" t="str">
            <v>SW6935</v>
          </cell>
        </row>
        <row r="475">
          <cell r="B475" t="str">
            <v>SW6936</v>
          </cell>
        </row>
        <row r="476">
          <cell r="B476" t="str">
            <v>SW6937</v>
          </cell>
        </row>
        <row r="477">
          <cell r="B477" t="str">
            <v>SW6938</v>
          </cell>
        </row>
        <row r="478">
          <cell r="B478" t="str">
            <v>SW6939</v>
          </cell>
        </row>
        <row r="479">
          <cell r="B479" t="str">
            <v>SW6940</v>
          </cell>
        </row>
        <row r="480">
          <cell r="B480" t="str">
            <v>SW6941</v>
          </cell>
        </row>
        <row r="481">
          <cell r="B481" t="str">
            <v>SW6942</v>
          </cell>
        </row>
        <row r="482">
          <cell r="B482" t="str">
            <v>SW6943</v>
          </cell>
        </row>
        <row r="483">
          <cell r="B483" t="str">
            <v>SW6944</v>
          </cell>
        </row>
        <row r="484">
          <cell r="B484" t="str">
            <v>SW6945</v>
          </cell>
        </row>
        <row r="485">
          <cell r="B485" t="str">
            <v>SW6946</v>
          </cell>
        </row>
        <row r="486">
          <cell r="B486" t="str">
            <v>SW6947</v>
          </cell>
        </row>
        <row r="487">
          <cell r="B487" t="str">
            <v>SW6948</v>
          </cell>
        </row>
        <row r="488">
          <cell r="B488" t="str">
            <v>SW6949</v>
          </cell>
        </row>
        <row r="489">
          <cell r="B489" t="str">
            <v>SW6950</v>
          </cell>
        </row>
        <row r="490">
          <cell r="B490" t="str">
            <v>SW6951</v>
          </cell>
        </row>
        <row r="491">
          <cell r="B491" t="str">
            <v>SW6952</v>
          </cell>
        </row>
        <row r="492">
          <cell r="B492" t="str">
            <v>SW6953</v>
          </cell>
        </row>
        <row r="493">
          <cell r="B493" t="str">
            <v>SW6954</v>
          </cell>
        </row>
        <row r="494">
          <cell r="B494" t="str">
            <v>SW6955</v>
          </cell>
        </row>
        <row r="495">
          <cell r="B495" t="str">
            <v>SW6956</v>
          </cell>
        </row>
        <row r="496">
          <cell r="B496" t="str">
            <v>SW6957</v>
          </cell>
        </row>
        <row r="497">
          <cell r="B497" t="str">
            <v>SW6958</v>
          </cell>
        </row>
        <row r="498">
          <cell r="B498" t="str">
            <v>SW6959</v>
          </cell>
        </row>
        <row r="499">
          <cell r="B499" t="str">
            <v>SW6960</v>
          </cell>
        </row>
        <row r="500">
          <cell r="B500" t="str">
            <v>SW6961</v>
          </cell>
        </row>
        <row r="501">
          <cell r="B501" t="str">
            <v>SW6962</v>
          </cell>
        </row>
        <row r="502">
          <cell r="B502" t="str">
            <v>SW6963</v>
          </cell>
        </row>
        <row r="503">
          <cell r="B503" t="str">
            <v>SW6964</v>
          </cell>
        </row>
        <row r="504">
          <cell r="B504" t="str">
            <v>SW6965</v>
          </cell>
        </row>
        <row r="505">
          <cell r="B505" t="str">
            <v>SW6966</v>
          </cell>
        </row>
        <row r="506">
          <cell r="B506" t="str">
            <v>SW6967</v>
          </cell>
        </row>
        <row r="507">
          <cell r="B507" t="str">
            <v>SW6968</v>
          </cell>
        </row>
        <row r="508">
          <cell r="B508" t="str">
            <v>SW6969</v>
          </cell>
        </row>
        <row r="509">
          <cell r="B509" t="str">
            <v>SW6970</v>
          </cell>
        </row>
        <row r="510">
          <cell r="B510" t="str">
            <v>SW6971</v>
          </cell>
        </row>
        <row r="511">
          <cell r="B511" t="str">
            <v>SW6972</v>
          </cell>
        </row>
        <row r="512">
          <cell r="B512" t="str">
            <v>SW6973</v>
          </cell>
        </row>
        <row r="513">
          <cell r="B513" t="str">
            <v>SW6974</v>
          </cell>
        </row>
        <row r="514">
          <cell r="B514" t="str">
            <v>SW6975</v>
          </cell>
        </row>
        <row r="515">
          <cell r="B515" t="str">
            <v>UH8001</v>
          </cell>
        </row>
        <row r="516">
          <cell r="B516" t="str">
            <v>UH8002</v>
          </cell>
        </row>
        <row r="517">
          <cell r="B517" t="str">
            <v>UH8003</v>
          </cell>
        </row>
      </sheetData>
      <sheetData sheetId="2">
        <row r="2">
          <cell r="A2" t="str">
            <v>NE4001</v>
          </cell>
        </row>
      </sheetData>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Log"/>
      <sheetName val="Source Data"/>
      <sheetName val="IM Risk Score Per Pipeline"/>
      <sheetName val="IM System Name"/>
      <sheetName val="Pivot Analysis"/>
      <sheetName val="Pivot $ per Year"/>
      <sheetName val="Directions"/>
      <sheetName val="Pivot Division Capital"/>
    </sheetNames>
    <sheetDataSet>
      <sheetData sheetId="0"/>
      <sheetData sheetId="1">
        <row r="21">
          <cell r="B21">
            <v>2013</v>
          </cell>
        </row>
        <row r="47">
          <cell r="B47" t="str">
            <v>ALL</v>
          </cell>
        </row>
        <row r="48">
          <cell r="B48" t="str">
            <v>VEDN</v>
          </cell>
        </row>
        <row r="49">
          <cell r="B49" t="str">
            <v>VEDS</v>
          </cell>
        </row>
        <row r="50">
          <cell r="B50" t="str">
            <v>VAUI</v>
          </cell>
        </row>
        <row r="51">
          <cell r="B51" t="str">
            <v>VEDO</v>
          </cell>
        </row>
        <row r="54">
          <cell r="B54" t="str">
            <v>ALL</v>
          </cell>
        </row>
        <row r="55">
          <cell r="B55" t="str">
            <v>NE4001</v>
          </cell>
        </row>
        <row r="56">
          <cell r="B56" t="str">
            <v>NE4002</v>
          </cell>
        </row>
        <row r="57">
          <cell r="B57" t="str">
            <v>NE4003</v>
          </cell>
        </row>
        <row r="58">
          <cell r="B58" t="str">
            <v>NE4004</v>
          </cell>
        </row>
        <row r="59">
          <cell r="B59" t="str">
            <v>NE4005</v>
          </cell>
        </row>
        <row r="60">
          <cell r="B60" t="str">
            <v>NE4006</v>
          </cell>
        </row>
        <row r="61">
          <cell r="B61" t="str">
            <v>NE4007</v>
          </cell>
        </row>
        <row r="62">
          <cell r="B62" t="str">
            <v>NE4008</v>
          </cell>
        </row>
        <row r="63">
          <cell r="B63" t="str">
            <v>NE4009</v>
          </cell>
        </row>
        <row r="64">
          <cell r="B64" t="str">
            <v>NE4010</v>
          </cell>
        </row>
        <row r="65">
          <cell r="B65" t="str">
            <v>NE4012</v>
          </cell>
        </row>
        <row r="66">
          <cell r="B66" t="str">
            <v>NE4013</v>
          </cell>
        </row>
        <row r="67">
          <cell r="B67" t="str">
            <v>NE4014</v>
          </cell>
        </row>
        <row r="68">
          <cell r="B68" t="str">
            <v>NE4015</v>
          </cell>
        </row>
        <row r="69">
          <cell r="B69" t="str">
            <v>NE4016</v>
          </cell>
        </row>
        <row r="70">
          <cell r="B70" t="str">
            <v>NE4017</v>
          </cell>
        </row>
        <row r="71">
          <cell r="B71" t="str">
            <v>NE4018</v>
          </cell>
        </row>
        <row r="72">
          <cell r="B72" t="str">
            <v>NE4019</v>
          </cell>
        </row>
        <row r="73">
          <cell r="B73" t="str">
            <v>NE4020</v>
          </cell>
        </row>
        <row r="74">
          <cell r="B74" t="str">
            <v>NE4021</v>
          </cell>
        </row>
        <row r="75">
          <cell r="B75" t="str">
            <v>NE4022</v>
          </cell>
        </row>
        <row r="76">
          <cell r="B76" t="str">
            <v>NE4023</v>
          </cell>
        </row>
        <row r="77">
          <cell r="B77" t="str">
            <v>NE4024</v>
          </cell>
        </row>
        <row r="78">
          <cell r="B78" t="str">
            <v>NE4025</v>
          </cell>
        </row>
        <row r="79">
          <cell r="B79" t="str">
            <v>NE4027</v>
          </cell>
        </row>
        <row r="80">
          <cell r="B80" t="str">
            <v>NE4028</v>
          </cell>
        </row>
        <row r="81">
          <cell r="B81" t="str">
            <v>NE4029</v>
          </cell>
        </row>
        <row r="82">
          <cell r="B82" t="str">
            <v>NE4030</v>
          </cell>
        </row>
        <row r="83">
          <cell r="B83" t="str">
            <v>NE4031</v>
          </cell>
        </row>
        <row r="84">
          <cell r="B84" t="str">
            <v>NE4032</v>
          </cell>
        </row>
        <row r="85">
          <cell r="B85" t="str">
            <v>NE4033</v>
          </cell>
        </row>
        <row r="86">
          <cell r="B86" t="str">
            <v>NS5001</v>
          </cell>
        </row>
        <row r="87">
          <cell r="B87" t="str">
            <v>NS5002</v>
          </cell>
        </row>
        <row r="88">
          <cell r="B88" t="str">
            <v>NS5003</v>
          </cell>
        </row>
        <row r="89">
          <cell r="B89" t="str">
            <v>NS5004</v>
          </cell>
        </row>
        <row r="90">
          <cell r="B90" t="str">
            <v>NS5005</v>
          </cell>
        </row>
        <row r="91">
          <cell r="B91" t="str">
            <v>NS5006</v>
          </cell>
        </row>
        <row r="92">
          <cell r="B92" t="str">
            <v>NS5007</v>
          </cell>
        </row>
        <row r="93">
          <cell r="B93" t="str">
            <v>NS5008</v>
          </cell>
        </row>
        <row r="94">
          <cell r="B94" t="str">
            <v>NS5009</v>
          </cell>
        </row>
        <row r="95">
          <cell r="B95" t="str">
            <v>NS5010</v>
          </cell>
        </row>
        <row r="96">
          <cell r="B96" t="str">
            <v>NS5011</v>
          </cell>
        </row>
        <row r="97">
          <cell r="B97" t="str">
            <v>NS5012</v>
          </cell>
        </row>
        <row r="98">
          <cell r="B98" t="str">
            <v>NS5013</v>
          </cell>
        </row>
        <row r="99">
          <cell r="B99" t="str">
            <v>NS5014</v>
          </cell>
        </row>
        <row r="100">
          <cell r="B100" t="str">
            <v>NS5015</v>
          </cell>
        </row>
        <row r="101">
          <cell r="B101" t="str">
            <v>NS5016</v>
          </cell>
        </row>
        <row r="102">
          <cell r="B102" t="str">
            <v>NS5017</v>
          </cell>
        </row>
        <row r="103">
          <cell r="B103" t="str">
            <v>NS5050</v>
          </cell>
        </row>
        <row r="104">
          <cell r="B104" t="str">
            <v>NS5051</v>
          </cell>
        </row>
        <row r="105">
          <cell r="B105" t="str">
            <v>NS5052</v>
          </cell>
        </row>
        <row r="106">
          <cell r="B106" t="str">
            <v>NS5053</v>
          </cell>
        </row>
        <row r="107">
          <cell r="B107" t="str">
            <v>NS5054</v>
          </cell>
        </row>
        <row r="108">
          <cell r="B108" t="str">
            <v>NS5055</v>
          </cell>
        </row>
        <row r="109">
          <cell r="B109" t="str">
            <v>NS5056</v>
          </cell>
        </row>
        <row r="110">
          <cell r="B110" t="str">
            <v>NS5057</v>
          </cell>
        </row>
        <row r="111">
          <cell r="B111" t="str">
            <v>NS5058</v>
          </cell>
        </row>
        <row r="112">
          <cell r="B112" t="str">
            <v>NS5059</v>
          </cell>
        </row>
        <row r="113">
          <cell r="B113" t="str">
            <v>NS5060</v>
          </cell>
        </row>
        <row r="114">
          <cell r="B114" t="str">
            <v>NS5061</v>
          </cell>
        </row>
        <row r="115">
          <cell r="B115" t="str">
            <v>NS5120</v>
          </cell>
        </row>
        <row r="116">
          <cell r="B116" t="str">
            <v>NS5140</v>
          </cell>
        </row>
        <row r="117">
          <cell r="B117" t="str">
            <v>NS5141</v>
          </cell>
        </row>
        <row r="118">
          <cell r="B118" t="str">
            <v>NS5142</v>
          </cell>
        </row>
        <row r="119">
          <cell r="B119" t="str">
            <v>NS5143</v>
          </cell>
        </row>
        <row r="120">
          <cell r="B120" t="str">
            <v>NS5144</v>
          </cell>
        </row>
        <row r="121">
          <cell r="B121" t="str">
            <v>NS5145</v>
          </cell>
        </row>
        <row r="122">
          <cell r="B122" t="str">
            <v>NS5146</v>
          </cell>
        </row>
        <row r="123">
          <cell r="B123" t="str">
            <v>NS5147</v>
          </cell>
        </row>
        <row r="124">
          <cell r="B124" t="str">
            <v>NS5148</v>
          </cell>
        </row>
        <row r="125">
          <cell r="B125" t="str">
            <v>NS5149</v>
          </cell>
        </row>
        <row r="126">
          <cell r="B126" t="str">
            <v>NS5150</v>
          </cell>
        </row>
        <row r="127">
          <cell r="B127" t="str">
            <v>NS5700</v>
          </cell>
        </row>
        <row r="128">
          <cell r="B128" t="str">
            <v>NS5701</v>
          </cell>
        </row>
        <row r="129">
          <cell r="B129" t="str">
            <v>NS5702</v>
          </cell>
        </row>
        <row r="130">
          <cell r="B130" t="str">
            <v>NS5703</v>
          </cell>
        </row>
        <row r="131">
          <cell r="B131" t="str">
            <v>NS5704</v>
          </cell>
        </row>
        <row r="132">
          <cell r="B132" t="str">
            <v>NS5705</v>
          </cell>
        </row>
        <row r="133">
          <cell r="B133" t="str">
            <v>NS5706</v>
          </cell>
        </row>
        <row r="134">
          <cell r="B134" t="str">
            <v>NS5707</v>
          </cell>
        </row>
        <row r="135">
          <cell r="B135" t="str">
            <v>NS5708</v>
          </cell>
        </row>
        <row r="136">
          <cell r="B136" t="str">
            <v>NS5709</v>
          </cell>
        </row>
        <row r="137">
          <cell r="B137" t="str">
            <v>NS5710</v>
          </cell>
        </row>
        <row r="138">
          <cell r="B138" t="str">
            <v>NS5711</v>
          </cell>
        </row>
        <row r="139">
          <cell r="B139" t="str">
            <v>NS5712</v>
          </cell>
        </row>
        <row r="140">
          <cell r="B140" t="str">
            <v>NS5713</v>
          </cell>
        </row>
        <row r="141">
          <cell r="B141" t="str">
            <v>NS5714</v>
          </cell>
        </row>
        <row r="142">
          <cell r="B142" t="str">
            <v>NS5715</v>
          </cell>
        </row>
        <row r="143">
          <cell r="B143" t="str">
            <v>NS5716</v>
          </cell>
        </row>
        <row r="144">
          <cell r="B144" t="str">
            <v>NS5717</v>
          </cell>
        </row>
        <row r="145">
          <cell r="B145" t="str">
            <v>NS5718</v>
          </cell>
        </row>
        <row r="146">
          <cell r="B146" t="str">
            <v>NS5719</v>
          </cell>
        </row>
        <row r="147">
          <cell r="B147" t="str">
            <v>NS5720</v>
          </cell>
        </row>
        <row r="148">
          <cell r="B148" t="str">
            <v>NS5721</v>
          </cell>
        </row>
        <row r="149">
          <cell r="B149" t="str">
            <v>NS5750</v>
          </cell>
        </row>
        <row r="150">
          <cell r="B150" t="str">
            <v>NS5751</v>
          </cell>
        </row>
        <row r="151">
          <cell r="B151" t="str">
            <v>NS5752</v>
          </cell>
        </row>
        <row r="152">
          <cell r="B152" t="str">
            <v>NS5753</v>
          </cell>
        </row>
        <row r="153">
          <cell r="B153" t="str">
            <v>NS5754</v>
          </cell>
        </row>
        <row r="154">
          <cell r="B154" t="str">
            <v>NS5755</v>
          </cell>
        </row>
        <row r="155">
          <cell r="B155" t="str">
            <v>NS5756</v>
          </cell>
        </row>
        <row r="156">
          <cell r="B156" t="str">
            <v>NS5757</v>
          </cell>
        </row>
        <row r="157">
          <cell r="B157" t="str">
            <v>NS5758</v>
          </cell>
        </row>
        <row r="158">
          <cell r="B158" t="str">
            <v>NS5759</v>
          </cell>
        </row>
        <row r="159">
          <cell r="B159" t="str">
            <v>NS5760</v>
          </cell>
        </row>
        <row r="160">
          <cell r="B160" t="str">
            <v>NS5761</v>
          </cell>
        </row>
        <row r="161">
          <cell r="B161" t="str">
            <v>NS5762</v>
          </cell>
        </row>
        <row r="162">
          <cell r="B162" t="str">
            <v>NS5763</v>
          </cell>
        </row>
        <row r="163">
          <cell r="B163" t="str">
            <v>NS5764</v>
          </cell>
        </row>
        <row r="164">
          <cell r="B164" t="str">
            <v>NS5802</v>
          </cell>
        </row>
        <row r="165">
          <cell r="B165" t="str">
            <v>NS5803</v>
          </cell>
        </row>
        <row r="166">
          <cell r="B166" t="str">
            <v>NS5805</v>
          </cell>
        </row>
        <row r="167">
          <cell r="B167" t="str">
            <v>NS5806</v>
          </cell>
        </row>
        <row r="168">
          <cell r="B168" t="str">
            <v>NS5807</v>
          </cell>
        </row>
        <row r="169">
          <cell r="B169" t="str">
            <v>NS5808</v>
          </cell>
        </row>
        <row r="170">
          <cell r="B170" t="str">
            <v>NS5809</v>
          </cell>
        </row>
        <row r="171">
          <cell r="B171" t="str">
            <v>NS5810</v>
          </cell>
        </row>
        <row r="172">
          <cell r="B172" t="str">
            <v>NS5811</v>
          </cell>
        </row>
        <row r="173">
          <cell r="B173" t="str">
            <v>NS5812</v>
          </cell>
        </row>
        <row r="174">
          <cell r="B174" t="str">
            <v>NS5813</v>
          </cell>
        </row>
        <row r="175">
          <cell r="B175" t="str">
            <v>NS5814</v>
          </cell>
        </row>
        <row r="176">
          <cell r="B176" t="str">
            <v>NS5815</v>
          </cell>
        </row>
        <row r="177">
          <cell r="B177" t="str">
            <v>NS5816</v>
          </cell>
        </row>
        <row r="178">
          <cell r="B178" t="str">
            <v>NS5817</v>
          </cell>
        </row>
        <row r="179">
          <cell r="B179" t="str">
            <v>NS5818</v>
          </cell>
        </row>
        <row r="180">
          <cell r="B180" t="str">
            <v>NS5819</v>
          </cell>
        </row>
        <row r="181">
          <cell r="B181" t="str">
            <v>NS5820</v>
          </cell>
        </row>
        <row r="182">
          <cell r="B182" t="str">
            <v>NS5821</v>
          </cell>
        </row>
        <row r="183">
          <cell r="B183" t="str">
            <v>NS5822</v>
          </cell>
        </row>
        <row r="184">
          <cell r="B184" t="str">
            <v>NS5823</v>
          </cell>
        </row>
        <row r="185">
          <cell r="B185" t="str">
            <v>NS5824</v>
          </cell>
        </row>
        <row r="186">
          <cell r="B186" t="str">
            <v>NS5825</v>
          </cell>
        </row>
        <row r="187">
          <cell r="B187" t="str">
            <v>NS5826</v>
          </cell>
        </row>
        <row r="188">
          <cell r="B188" t="str">
            <v>NS5827</v>
          </cell>
        </row>
        <row r="189">
          <cell r="B189" t="str">
            <v>NS5828</v>
          </cell>
        </row>
        <row r="190">
          <cell r="B190" t="str">
            <v>NS5829</v>
          </cell>
        </row>
        <row r="191">
          <cell r="B191" t="str">
            <v>NS5830</v>
          </cell>
        </row>
        <row r="192">
          <cell r="B192" t="str">
            <v>NS5831</v>
          </cell>
        </row>
        <row r="193">
          <cell r="B193" t="str">
            <v>NS5832</v>
          </cell>
        </row>
        <row r="194">
          <cell r="B194" t="str">
            <v>NS5833</v>
          </cell>
        </row>
        <row r="195">
          <cell r="B195" t="str">
            <v>NS5834</v>
          </cell>
        </row>
        <row r="196">
          <cell r="B196" t="str">
            <v>NS5835</v>
          </cell>
        </row>
        <row r="197">
          <cell r="B197" t="str">
            <v>NS5836</v>
          </cell>
        </row>
        <row r="198">
          <cell r="B198" t="str">
            <v>NS5837</v>
          </cell>
        </row>
        <row r="199">
          <cell r="B199" t="str">
            <v>NS5838</v>
          </cell>
        </row>
        <row r="200">
          <cell r="B200" t="str">
            <v>NS5839</v>
          </cell>
        </row>
        <row r="201">
          <cell r="B201" t="str">
            <v>NS5840</v>
          </cell>
        </row>
        <row r="202">
          <cell r="B202" t="str">
            <v>NS5841</v>
          </cell>
        </row>
        <row r="203">
          <cell r="B203" t="str">
            <v>NS5842</v>
          </cell>
        </row>
        <row r="204">
          <cell r="B204" t="str">
            <v>NS5843</v>
          </cell>
        </row>
        <row r="205">
          <cell r="B205" t="str">
            <v>NS5844</v>
          </cell>
        </row>
        <row r="206">
          <cell r="B206" t="str">
            <v>NS5845</v>
          </cell>
        </row>
        <row r="207">
          <cell r="B207" t="str">
            <v>NS5846</v>
          </cell>
        </row>
        <row r="208">
          <cell r="B208" t="str">
            <v>NS5847</v>
          </cell>
        </row>
        <row r="209">
          <cell r="B209" t="str">
            <v>NS5848</v>
          </cell>
        </row>
        <row r="210">
          <cell r="B210" t="str">
            <v>NS5849</v>
          </cell>
        </row>
        <row r="211">
          <cell r="B211" t="str">
            <v>NS5850</v>
          </cell>
        </row>
        <row r="212">
          <cell r="B212" t="str">
            <v>NS5851</v>
          </cell>
        </row>
        <row r="213">
          <cell r="B213" t="str">
            <v>NS5852</v>
          </cell>
        </row>
        <row r="214">
          <cell r="B214" t="str">
            <v>NS5853</v>
          </cell>
        </row>
        <row r="215">
          <cell r="B215" t="str">
            <v>NS5854</v>
          </cell>
        </row>
        <row r="216">
          <cell r="B216" t="str">
            <v>NS5855</v>
          </cell>
        </row>
        <row r="217">
          <cell r="B217" t="str">
            <v>NS5856</v>
          </cell>
        </row>
        <row r="218">
          <cell r="B218" t="str">
            <v>NS5857</v>
          </cell>
        </row>
        <row r="219">
          <cell r="B219" t="str">
            <v>NS5858</v>
          </cell>
        </row>
        <row r="220">
          <cell r="B220" t="str">
            <v>NS5859</v>
          </cell>
        </row>
        <row r="221">
          <cell r="B221" t="str">
            <v>NS5860</v>
          </cell>
        </row>
        <row r="222">
          <cell r="B222" t="str">
            <v>NS5861</v>
          </cell>
        </row>
        <row r="223">
          <cell r="B223" t="str">
            <v>NS5862</v>
          </cell>
        </row>
        <row r="224">
          <cell r="B224" t="str">
            <v>NS5863</v>
          </cell>
        </row>
        <row r="225">
          <cell r="B225" t="str">
            <v>NS5864</v>
          </cell>
        </row>
        <row r="226">
          <cell r="B226" t="str">
            <v>NS5865</v>
          </cell>
        </row>
        <row r="227">
          <cell r="B227" t="str">
            <v>NS5866</v>
          </cell>
        </row>
        <row r="228">
          <cell r="B228" t="str">
            <v>NS5867</v>
          </cell>
        </row>
        <row r="229">
          <cell r="B229" t="str">
            <v>NS5868</v>
          </cell>
        </row>
        <row r="230">
          <cell r="B230" t="str">
            <v>NS5869</v>
          </cell>
        </row>
        <row r="231">
          <cell r="B231" t="str">
            <v>NS5870</v>
          </cell>
        </row>
        <row r="232">
          <cell r="B232" t="str">
            <v>NS5871</v>
          </cell>
        </row>
        <row r="233">
          <cell r="B233" t="str">
            <v>NS5872</v>
          </cell>
        </row>
        <row r="234">
          <cell r="B234" t="str">
            <v>NS5873</v>
          </cell>
        </row>
        <row r="235">
          <cell r="B235" t="str">
            <v>NW3001</v>
          </cell>
        </row>
        <row r="236">
          <cell r="B236" t="str">
            <v>NW3002</v>
          </cell>
        </row>
        <row r="237">
          <cell r="B237" t="str">
            <v>NW3003</v>
          </cell>
        </row>
        <row r="238">
          <cell r="B238" t="str">
            <v>NW3004</v>
          </cell>
        </row>
        <row r="239">
          <cell r="B239" t="str">
            <v>NW3005</v>
          </cell>
        </row>
        <row r="240">
          <cell r="B240" t="str">
            <v>NW3100</v>
          </cell>
        </row>
        <row r="241">
          <cell r="B241" t="str">
            <v>NW3101</v>
          </cell>
        </row>
        <row r="242">
          <cell r="B242" t="str">
            <v>NW3102</v>
          </cell>
        </row>
        <row r="243">
          <cell r="B243" t="str">
            <v>NW3103</v>
          </cell>
        </row>
        <row r="244">
          <cell r="B244" t="str">
            <v>NW3104</v>
          </cell>
        </row>
        <row r="245">
          <cell r="B245" t="str">
            <v>NW3105</v>
          </cell>
        </row>
        <row r="246">
          <cell r="B246" t="str">
            <v>NW3106</v>
          </cell>
        </row>
        <row r="247">
          <cell r="B247" t="str">
            <v>NW3106.001</v>
          </cell>
        </row>
        <row r="248">
          <cell r="B248" t="str">
            <v>NW3107</v>
          </cell>
        </row>
        <row r="249">
          <cell r="B249" t="str">
            <v>NW3108</v>
          </cell>
        </row>
        <row r="250">
          <cell r="B250" t="str">
            <v>NW3109</v>
          </cell>
        </row>
        <row r="251">
          <cell r="B251" t="str">
            <v>NW3109.001</v>
          </cell>
        </row>
        <row r="252">
          <cell r="B252" t="str">
            <v>NW3110</v>
          </cell>
        </row>
        <row r="253">
          <cell r="B253" t="str">
            <v>NW3110.001</v>
          </cell>
        </row>
        <row r="254">
          <cell r="B254" t="str">
            <v>NW3110.002</v>
          </cell>
        </row>
        <row r="255">
          <cell r="B255" t="str">
            <v>NW3110.003</v>
          </cell>
        </row>
        <row r="256">
          <cell r="B256" t="str">
            <v>NW3111</v>
          </cell>
        </row>
        <row r="257">
          <cell r="B257" t="str">
            <v>NW3112</v>
          </cell>
        </row>
        <row r="258">
          <cell r="B258" t="str">
            <v>NW3113</v>
          </cell>
        </row>
        <row r="259">
          <cell r="B259" t="str">
            <v>NW3114</v>
          </cell>
        </row>
        <row r="260">
          <cell r="B260" t="str">
            <v>NW3115</v>
          </cell>
        </row>
        <row r="261">
          <cell r="B261" t="str">
            <v>NW3116</v>
          </cell>
        </row>
        <row r="262">
          <cell r="B262" t="str">
            <v>NW3117</v>
          </cell>
        </row>
        <row r="263">
          <cell r="B263" t="str">
            <v>NW3118</v>
          </cell>
        </row>
        <row r="264">
          <cell r="B264" t="str">
            <v>NW3119</v>
          </cell>
        </row>
        <row r="265">
          <cell r="B265" t="str">
            <v>NW3120</v>
          </cell>
        </row>
        <row r="266">
          <cell r="B266" t="str">
            <v>NW3121</v>
          </cell>
        </row>
        <row r="267">
          <cell r="B267" t="str">
            <v>NW3122</v>
          </cell>
        </row>
        <row r="268">
          <cell r="B268" t="str">
            <v>NW3124</v>
          </cell>
        </row>
        <row r="269">
          <cell r="B269" t="str">
            <v>NW3125</v>
          </cell>
        </row>
        <row r="270">
          <cell r="B270" t="str">
            <v>NW3126</v>
          </cell>
        </row>
        <row r="271">
          <cell r="B271" t="str">
            <v>NW3127</v>
          </cell>
        </row>
        <row r="272">
          <cell r="B272" t="str">
            <v>NW3128</v>
          </cell>
        </row>
        <row r="273">
          <cell r="B273" t="str">
            <v>NW3128.001</v>
          </cell>
        </row>
        <row r="274">
          <cell r="B274" t="str">
            <v>NW3128.002</v>
          </cell>
        </row>
        <row r="275">
          <cell r="B275" t="str">
            <v>NW3129</v>
          </cell>
        </row>
        <row r="276">
          <cell r="B276" t="str">
            <v>NW3800</v>
          </cell>
        </row>
        <row r="277">
          <cell r="B277" t="str">
            <v>NW3801</v>
          </cell>
        </row>
        <row r="278">
          <cell r="B278" t="str">
            <v>NW3802</v>
          </cell>
        </row>
        <row r="279">
          <cell r="B279" t="str">
            <v>NW3803</v>
          </cell>
        </row>
        <row r="280">
          <cell r="B280" t="str">
            <v>NW3804</v>
          </cell>
        </row>
        <row r="281">
          <cell r="B281" t="str">
            <v>NW3805</v>
          </cell>
        </row>
        <row r="282">
          <cell r="B282" t="str">
            <v>NW3806</v>
          </cell>
        </row>
        <row r="283">
          <cell r="B283" t="str">
            <v>NW3807</v>
          </cell>
        </row>
        <row r="284">
          <cell r="B284" t="str">
            <v>NW3808</v>
          </cell>
        </row>
        <row r="285">
          <cell r="B285" t="str">
            <v>NW3809</v>
          </cell>
        </row>
        <row r="286">
          <cell r="B286" t="str">
            <v>NW3810</v>
          </cell>
        </row>
        <row r="287">
          <cell r="B287" t="str">
            <v>NW3811</v>
          </cell>
        </row>
        <row r="288">
          <cell r="B288" t="str">
            <v>NW3812</v>
          </cell>
        </row>
        <row r="289">
          <cell r="B289" t="str">
            <v>NW3813</v>
          </cell>
        </row>
        <row r="290">
          <cell r="B290" t="str">
            <v>NW3814</v>
          </cell>
        </row>
        <row r="291">
          <cell r="B291" t="str">
            <v>NW3815</v>
          </cell>
        </row>
        <row r="292">
          <cell r="B292" t="str">
            <v>NW3816</v>
          </cell>
        </row>
        <row r="293">
          <cell r="B293" t="str">
            <v>NW3817</v>
          </cell>
        </row>
        <row r="294">
          <cell r="B294" t="str">
            <v>NW3818</v>
          </cell>
        </row>
        <row r="295">
          <cell r="B295" t="str">
            <v>NW3819</v>
          </cell>
        </row>
        <row r="296">
          <cell r="B296" t="str">
            <v>NW3820</v>
          </cell>
        </row>
        <row r="297">
          <cell r="B297" t="str">
            <v>NW3821</v>
          </cell>
        </row>
        <row r="298">
          <cell r="B298" t="str">
            <v>NW3822</v>
          </cell>
        </row>
        <row r="299">
          <cell r="B299" t="str">
            <v>NW3823</v>
          </cell>
        </row>
        <row r="300">
          <cell r="B300" t="str">
            <v>NW3824</v>
          </cell>
        </row>
        <row r="301">
          <cell r="B301" t="str">
            <v>NW3825</v>
          </cell>
        </row>
        <row r="302">
          <cell r="B302" t="str">
            <v>NW3826</v>
          </cell>
        </row>
        <row r="303">
          <cell r="B303" t="str">
            <v>NW3827</v>
          </cell>
        </row>
        <row r="304">
          <cell r="B304" t="str">
            <v>NW3828</v>
          </cell>
        </row>
        <row r="305">
          <cell r="B305" t="str">
            <v>NW3829</v>
          </cell>
        </row>
        <row r="306">
          <cell r="B306" t="str">
            <v>NW3830</v>
          </cell>
        </row>
        <row r="307">
          <cell r="B307" t="str">
            <v>NW3831</v>
          </cell>
        </row>
        <row r="308">
          <cell r="B308" t="str">
            <v>NW3832</v>
          </cell>
        </row>
        <row r="309">
          <cell r="B309" t="str">
            <v>NW3833</v>
          </cell>
        </row>
        <row r="310">
          <cell r="B310" t="str">
            <v>NW3834</v>
          </cell>
        </row>
        <row r="311">
          <cell r="B311" t="str">
            <v>NW3835</v>
          </cell>
        </row>
        <row r="312">
          <cell r="B312" t="str">
            <v>NW3836</v>
          </cell>
        </row>
        <row r="313">
          <cell r="B313" t="str">
            <v>NW3837</v>
          </cell>
        </row>
        <row r="314">
          <cell r="B314" t="str">
            <v>NW3838</v>
          </cell>
        </row>
        <row r="315">
          <cell r="B315" t="str">
            <v>NW3839</v>
          </cell>
        </row>
        <row r="316">
          <cell r="B316" t="str">
            <v>NW3840</v>
          </cell>
        </row>
        <row r="317">
          <cell r="B317" t="str">
            <v>NW3841</v>
          </cell>
        </row>
        <row r="318">
          <cell r="B318" t="str">
            <v>NW3842</v>
          </cell>
        </row>
        <row r="319">
          <cell r="B319" t="str">
            <v>NW3843</v>
          </cell>
        </row>
        <row r="320">
          <cell r="B320" t="str">
            <v>NW3844</v>
          </cell>
        </row>
        <row r="321">
          <cell r="B321" t="str">
            <v>NW3845</v>
          </cell>
        </row>
        <row r="322">
          <cell r="B322" t="str">
            <v>NW3846</v>
          </cell>
        </row>
        <row r="323">
          <cell r="B323" t="str">
            <v>NW3847</v>
          </cell>
        </row>
        <row r="324">
          <cell r="B324" t="str">
            <v>OGA000</v>
          </cell>
        </row>
        <row r="325">
          <cell r="B325" t="str">
            <v>OGA077</v>
          </cell>
        </row>
        <row r="326">
          <cell r="B326" t="str">
            <v>OGA080</v>
          </cell>
        </row>
        <row r="327">
          <cell r="B327" t="str">
            <v>OGA097</v>
          </cell>
        </row>
        <row r="328">
          <cell r="B328" t="str">
            <v>OGA115</v>
          </cell>
        </row>
        <row r="329">
          <cell r="B329" t="str">
            <v>OGA116</v>
          </cell>
        </row>
        <row r="330">
          <cell r="B330" t="str">
            <v>OGA145</v>
          </cell>
        </row>
        <row r="331">
          <cell r="B331" t="str">
            <v>OGA161</v>
          </cell>
        </row>
        <row r="332">
          <cell r="B332" t="str">
            <v>OGZ036</v>
          </cell>
        </row>
        <row r="333">
          <cell r="B333" t="str">
            <v>OGZ036.001</v>
          </cell>
        </row>
        <row r="334">
          <cell r="B334" t="str">
            <v>OGZ038</v>
          </cell>
        </row>
        <row r="335">
          <cell r="B335" t="str">
            <v>OGZ050E</v>
          </cell>
        </row>
        <row r="336">
          <cell r="B336" t="str">
            <v>OGZ050W</v>
          </cell>
        </row>
        <row r="337">
          <cell r="B337" t="str">
            <v>OGZ051</v>
          </cell>
        </row>
        <row r="338">
          <cell r="B338" t="str">
            <v>OGZ167M</v>
          </cell>
        </row>
        <row r="339">
          <cell r="B339" t="str">
            <v>OGZ167N</v>
          </cell>
        </row>
        <row r="340">
          <cell r="B340" t="str">
            <v>OGZ167S</v>
          </cell>
        </row>
        <row r="341">
          <cell r="B341" t="str">
            <v>OGZ171</v>
          </cell>
        </row>
        <row r="342">
          <cell r="B342" t="str">
            <v>OGZ270</v>
          </cell>
        </row>
        <row r="343">
          <cell r="B343" t="str">
            <v>OGZ550W</v>
          </cell>
        </row>
        <row r="344">
          <cell r="B344" t="str">
            <v>SW6001</v>
          </cell>
        </row>
        <row r="345">
          <cell r="B345" t="str">
            <v>SW6002</v>
          </cell>
        </row>
        <row r="346">
          <cell r="B346" t="str">
            <v>SW6003</v>
          </cell>
        </row>
        <row r="347">
          <cell r="B347" t="str">
            <v>SW6004</v>
          </cell>
        </row>
        <row r="348">
          <cell r="B348" t="str">
            <v>SW6005</v>
          </cell>
        </row>
        <row r="349">
          <cell r="B349" t="str">
            <v>SW6006</v>
          </cell>
        </row>
        <row r="350">
          <cell r="B350" t="str">
            <v>SW6007</v>
          </cell>
        </row>
        <row r="351">
          <cell r="B351" t="str">
            <v>SW6069</v>
          </cell>
        </row>
        <row r="352">
          <cell r="B352" t="str">
            <v>SW6070</v>
          </cell>
        </row>
        <row r="353">
          <cell r="B353" t="str">
            <v>SW6071</v>
          </cell>
        </row>
        <row r="354">
          <cell r="B354" t="str">
            <v>SW6072</v>
          </cell>
        </row>
        <row r="355">
          <cell r="B355" t="str">
            <v>SW6073</v>
          </cell>
        </row>
        <row r="356">
          <cell r="B356" t="str">
            <v>SW6074</v>
          </cell>
        </row>
        <row r="357">
          <cell r="B357" t="str">
            <v>SW6075</v>
          </cell>
        </row>
        <row r="358">
          <cell r="B358" t="str">
            <v>SW6076</v>
          </cell>
        </row>
        <row r="359">
          <cell r="B359" t="str">
            <v>SW6077</v>
          </cell>
        </row>
        <row r="360">
          <cell r="B360" t="str">
            <v>SW6078</v>
          </cell>
        </row>
        <row r="361">
          <cell r="B361" t="str">
            <v>SW6079</v>
          </cell>
        </row>
        <row r="362">
          <cell r="B362" t="str">
            <v>SW6121</v>
          </cell>
        </row>
        <row r="363">
          <cell r="B363" t="str">
            <v>SW6122</v>
          </cell>
        </row>
        <row r="364">
          <cell r="B364" t="str">
            <v>SW6123</v>
          </cell>
        </row>
        <row r="365">
          <cell r="B365" t="str">
            <v>SW6124</v>
          </cell>
        </row>
        <row r="366">
          <cell r="B366" t="str">
            <v>SW6155</v>
          </cell>
        </row>
        <row r="367">
          <cell r="B367" t="str">
            <v>SW6156</v>
          </cell>
        </row>
        <row r="368">
          <cell r="B368" t="str">
            <v>SW6157</v>
          </cell>
        </row>
        <row r="369">
          <cell r="B369" t="str">
            <v>SW6158</v>
          </cell>
        </row>
        <row r="370">
          <cell r="B370" t="str">
            <v>SW6700</v>
          </cell>
        </row>
        <row r="371">
          <cell r="B371" t="str">
            <v>SW6701</v>
          </cell>
        </row>
        <row r="372">
          <cell r="B372" t="str">
            <v>SW6702</v>
          </cell>
        </row>
        <row r="373">
          <cell r="B373" t="str">
            <v>SW6703</v>
          </cell>
        </row>
        <row r="374">
          <cell r="B374" t="str">
            <v>SW6704</v>
          </cell>
        </row>
        <row r="375">
          <cell r="B375" t="str">
            <v>SW6705</v>
          </cell>
        </row>
        <row r="376">
          <cell r="B376" t="str">
            <v>SW6706</v>
          </cell>
        </row>
        <row r="377">
          <cell r="B377" t="str">
            <v>SW6707</v>
          </cell>
        </row>
        <row r="378">
          <cell r="B378" t="str">
            <v>SW6708</v>
          </cell>
        </row>
        <row r="379">
          <cell r="B379" t="str">
            <v>SW6709</v>
          </cell>
        </row>
        <row r="380">
          <cell r="B380" t="str">
            <v>SW6710</v>
          </cell>
        </row>
        <row r="381">
          <cell r="B381" t="str">
            <v>SW6711</v>
          </cell>
        </row>
        <row r="382">
          <cell r="B382" t="str">
            <v>SW6712</v>
          </cell>
        </row>
        <row r="383">
          <cell r="B383" t="str">
            <v>SW6713</v>
          </cell>
        </row>
        <row r="384">
          <cell r="B384" t="str">
            <v>SW6714</v>
          </cell>
        </row>
        <row r="385">
          <cell r="B385" t="str">
            <v>SW6715</v>
          </cell>
        </row>
        <row r="386">
          <cell r="B386" t="str">
            <v>SW6716</v>
          </cell>
        </row>
        <row r="387">
          <cell r="B387" t="str">
            <v>SW6717</v>
          </cell>
        </row>
        <row r="388">
          <cell r="B388" t="str">
            <v>SW6718</v>
          </cell>
        </row>
        <row r="389">
          <cell r="B389" t="str">
            <v>SW6719</v>
          </cell>
        </row>
        <row r="390">
          <cell r="B390" t="str">
            <v>SW6720</v>
          </cell>
        </row>
        <row r="391">
          <cell r="B391" t="str">
            <v>SW6721</v>
          </cell>
        </row>
        <row r="392">
          <cell r="B392" t="str">
            <v>SW6722</v>
          </cell>
        </row>
        <row r="393">
          <cell r="B393" t="str">
            <v>SW6723</v>
          </cell>
        </row>
        <row r="394">
          <cell r="B394" t="str">
            <v>SW6725</v>
          </cell>
        </row>
        <row r="395">
          <cell r="B395" t="str">
            <v>SW6726</v>
          </cell>
        </row>
        <row r="396">
          <cell r="B396" t="str">
            <v>SW6727</v>
          </cell>
        </row>
        <row r="397">
          <cell r="B397" t="str">
            <v>SW6728</v>
          </cell>
        </row>
        <row r="398">
          <cell r="B398" t="str">
            <v>SW6729</v>
          </cell>
        </row>
        <row r="399">
          <cell r="B399" t="str">
            <v>SW6730</v>
          </cell>
        </row>
        <row r="400">
          <cell r="B400" t="str">
            <v>SW6731</v>
          </cell>
        </row>
        <row r="401">
          <cell r="B401" t="str">
            <v>SW6732</v>
          </cell>
        </row>
        <row r="402">
          <cell r="B402" t="str">
            <v>SW6733</v>
          </cell>
        </row>
        <row r="403">
          <cell r="B403" t="str">
            <v>SW6800</v>
          </cell>
        </row>
        <row r="404">
          <cell r="B404" t="str">
            <v>SW6801</v>
          </cell>
        </row>
        <row r="405">
          <cell r="B405" t="str">
            <v>SW6802</v>
          </cell>
        </row>
        <row r="406">
          <cell r="B406" t="str">
            <v>SW6803</v>
          </cell>
        </row>
        <row r="407">
          <cell r="B407" t="str">
            <v>SW6804</v>
          </cell>
        </row>
        <row r="408">
          <cell r="B408" t="str">
            <v>SW6805</v>
          </cell>
        </row>
        <row r="409">
          <cell r="B409" t="str">
            <v>SW6806</v>
          </cell>
        </row>
        <row r="410">
          <cell r="B410" t="str">
            <v>SW6807</v>
          </cell>
        </row>
        <row r="411">
          <cell r="B411" t="str">
            <v>SW6808</v>
          </cell>
        </row>
        <row r="412">
          <cell r="B412" t="str">
            <v>SW6809</v>
          </cell>
        </row>
        <row r="413">
          <cell r="B413" t="str">
            <v>SW6810</v>
          </cell>
        </row>
        <row r="414">
          <cell r="B414" t="str">
            <v>SW6811</v>
          </cell>
        </row>
        <row r="415">
          <cell r="B415" t="str">
            <v>SW6812</v>
          </cell>
        </row>
        <row r="416">
          <cell r="B416" t="str">
            <v>SW6813</v>
          </cell>
        </row>
        <row r="417">
          <cell r="B417" t="str">
            <v>SW6814</v>
          </cell>
        </row>
        <row r="418">
          <cell r="B418" t="str">
            <v>SW6815</v>
          </cell>
        </row>
        <row r="419">
          <cell r="B419" t="str">
            <v>SW6816</v>
          </cell>
        </row>
        <row r="420">
          <cell r="B420" t="str">
            <v>SW6817</v>
          </cell>
        </row>
        <row r="421">
          <cell r="B421" t="str">
            <v>SW6818</v>
          </cell>
        </row>
        <row r="422">
          <cell r="B422" t="str">
            <v>SW6819</v>
          </cell>
        </row>
        <row r="423">
          <cell r="B423" t="str">
            <v>SW6820</v>
          </cell>
        </row>
        <row r="424">
          <cell r="B424" t="str">
            <v>SW6821</v>
          </cell>
        </row>
        <row r="425">
          <cell r="B425" t="str">
            <v>SW6822</v>
          </cell>
        </row>
        <row r="426">
          <cell r="B426" t="str">
            <v>SW6823</v>
          </cell>
        </row>
        <row r="427">
          <cell r="B427" t="str">
            <v>SW6824</v>
          </cell>
        </row>
        <row r="428">
          <cell r="B428" t="str">
            <v>SW6825</v>
          </cell>
        </row>
        <row r="429">
          <cell r="B429" t="str">
            <v>SW6826</v>
          </cell>
        </row>
        <row r="430">
          <cell r="B430" t="str">
            <v>SW6827</v>
          </cell>
        </row>
        <row r="431">
          <cell r="B431" t="str">
            <v>SW6828</v>
          </cell>
        </row>
        <row r="432">
          <cell r="B432" t="str">
            <v>SW6828.001</v>
          </cell>
        </row>
        <row r="433">
          <cell r="B433" t="str">
            <v>SW6829</v>
          </cell>
        </row>
        <row r="434">
          <cell r="B434" t="str">
            <v>SW6830</v>
          </cell>
        </row>
        <row r="435">
          <cell r="B435" t="str">
            <v>SW6831</v>
          </cell>
        </row>
        <row r="436">
          <cell r="B436" t="str">
            <v>SW6832</v>
          </cell>
        </row>
        <row r="437">
          <cell r="B437" t="str">
            <v>SW6833</v>
          </cell>
        </row>
        <row r="438">
          <cell r="B438" t="str">
            <v>SW6834</v>
          </cell>
        </row>
        <row r="439">
          <cell r="B439" t="str">
            <v>SW6835</v>
          </cell>
        </row>
        <row r="440">
          <cell r="B440" t="str">
            <v>SW6900</v>
          </cell>
        </row>
        <row r="441">
          <cell r="B441" t="str">
            <v>SW6901</v>
          </cell>
        </row>
        <row r="442">
          <cell r="B442" t="str">
            <v>SW6902</v>
          </cell>
        </row>
        <row r="443">
          <cell r="B443" t="str">
            <v>SW6903</v>
          </cell>
        </row>
        <row r="444">
          <cell r="B444" t="str">
            <v>SW6904</v>
          </cell>
        </row>
        <row r="445">
          <cell r="B445" t="str">
            <v>SW6905</v>
          </cell>
        </row>
        <row r="446">
          <cell r="B446" t="str">
            <v>SW6906</v>
          </cell>
        </row>
        <row r="447">
          <cell r="B447" t="str">
            <v>SW6907</v>
          </cell>
        </row>
        <row r="448">
          <cell r="B448" t="str">
            <v>SW6908</v>
          </cell>
        </row>
        <row r="449">
          <cell r="B449" t="str">
            <v>SW6910</v>
          </cell>
        </row>
        <row r="450">
          <cell r="B450" t="str">
            <v>SW6911</v>
          </cell>
        </row>
        <row r="451">
          <cell r="B451" t="str">
            <v>SW6912</v>
          </cell>
        </row>
        <row r="452">
          <cell r="B452" t="str">
            <v>SW6913</v>
          </cell>
        </row>
        <row r="453">
          <cell r="B453" t="str">
            <v>SW6914</v>
          </cell>
        </row>
        <row r="454">
          <cell r="B454" t="str">
            <v>SW6915</v>
          </cell>
        </row>
        <row r="455">
          <cell r="B455" t="str">
            <v>SW6916</v>
          </cell>
        </row>
        <row r="456">
          <cell r="B456" t="str">
            <v>SW6917</v>
          </cell>
        </row>
        <row r="457">
          <cell r="B457" t="str">
            <v>SW6918</v>
          </cell>
        </row>
        <row r="458">
          <cell r="B458" t="str">
            <v>SW6919</v>
          </cell>
        </row>
        <row r="459">
          <cell r="B459" t="str">
            <v>SW6920</v>
          </cell>
        </row>
        <row r="460">
          <cell r="B460" t="str">
            <v>SW6921</v>
          </cell>
        </row>
        <row r="461">
          <cell r="B461" t="str">
            <v>SW6922</v>
          </cell>
        </row>
        <row r="462">
          <cell r="B462" t="str">
            <v>SW6923</v>
          </cell>
        </row>
        <row r="463">
          <cell r="B463" t="str">
            <v>SW6924</v>
          </cell>
        </row>
        <row r="464">
          <cell r="B464" t="str">
            <v>SW6925</v>
          </cell>
        </row>
        <row r="465">
          <cell r="B465" t="str">
            <v>SW6926</v>
          </cell>
        </row>
        <row r="466">
          <cell r="B466" t="str">
            <v>SW6927</v>
          </cell>
        </row>
        <row r="467">
          <cell r="B467" t="str">
            <v>SW6928</v>
          </cell>
        </row>
        <row r="468">
          <cell r="B468" t="str">
            <v>SW6929</v>
          </cell>
        </row>
        <row r="469">
          <cell r="B469" t="str">
            <v>SW6930</v>
          </cell>
        </row>
        <row r="470">
          <cell r="B470" t="str">
            <v>SW6931</v>
          </cell>
        </row>
        <row r="471">
          <cell r="B471" t="str">
            <v>SW6932</v>
          </cell>
        </row>
        <row r="472">
          <cell r="B472" t="str">
            <v>SW6933</v>
          </cell>
        </row>
        <row r="473">
          <cell r="B473" t="str">
            <v>SW6934</v>
          </cell>
        </row>
        <row r="474">
          <cell r="B474" t="str">
            <v>SW6935</v>
          </cell>
        </row>
        <row r="475">
          <cell r="B475" t="str">
            <v>SW6936</v>
          </cell>
        </row>
        <row r="476">
          <cell r="B476" t="str">
            <v>SW6937</v>
          </cell>
        </row>
        <row r="477">
          <cell r="B477" t="str">
            <v>SW6938</v>
          </cell>
        </row>
        <row r="478">
          <cell r="B478" t="str">
            <v>SW6939</v>
          </cell>
        </row>
        <row r="479">
          <cell r="B479" t="str">
            <v>SW6940</v>
          </cell>
        </row>
        <row r="480">
          <cell r="B480" t="str">
            <v>SW6941</v>
          </cell>
        </row>
        <row r="481">
          <cell r="B481" t="str">
            <v>SW6942</v>
          </cell>
        </row>
        <row r="482">
          <cell r="B482" t="str">
            <v>SW6943</v>
          </cell>
        </row>
        <row r="483">
          <cell r="B483" t="str">
            <v>SW6944</v>
          </cell>
        </row>
        <row r="484">
          <cell r="B484" t="str">
            <v>SW6945</v>
          </cell>
        </row>
        <row r="485">
          <cell r="B485" t="str">
            <v>SW6946</v>
          </cell>
        </row>
        <row r="486">
          <cell r="B486" t="str">
            <v>SW6947</v>
          </cell>
        </row>
        <row r="487">
          <cell r="B487" t="str">
            <v>SW6948</v>
          </cell>
        </row>
        <row r="488">
          <cell r="B488" t="str">
            <v>SW6949</v>
          </cell>
        </row>
        <row r="489">
          <cell r="B489" t="str">
            <v>SW6950</v>
          </cell>
        </row>
        <row r="490">
          <cell r="B490" t="str">
            <v>SW6951</v>
          </cell>
        </row>
        <row r="491">
          <cell r="B491" t="str">
            <v>SW6952</v>
          </cell>
        </row>
        <row r="492">
          <cell r="B492" t="str">
            <v>SW6953</v>
          </cell>
        </row>
        <row r="493">
          <cell r="B493" t="str">
            <v>SW6954</v>
          </cell>
        </row>
        <row r="494">
          <cell r="B494" t="str">
            <v>SW6955</v>
          </cell>
        </row>
        <row r="495">
          <cell r="B495" t="str">
            <v>SW6956</v>
          </cell>
        </row>
        <row r="496">
          <cell r="B496" t="str">
            <v>SW6957</v>
          </cell>
        </row>
        <row r="497">
          <cell r="B497" t="str">
            <v>SW6958</v>
          </cell>
        </row>
        <row r="498">
          <cell r="B498" t="str">
            <v>SW6959</v>
          </cell>
        </row>
        <row r="499">
          <cell r="B499" t="str">
            <v>SW6960</v>
          </cell>
        </row>
        <row r="500">
          <cell r="B500" t="str">
            <v>SW6961</v>
          </cell>
        </row>
        <row r="501">
          <cell r="B501" t="str">
            <v>SW6962</v>
          </cell>
        </row>
        <row r="502">
          <cell r="B502" t="str">
            <v>SW6963</v>
          </cell>
        </row>
        <row r="503">
          <cell r="B503" t="str">
            <v>SW6964</v>
          </cell>
        </row>
        <row r="504">
          <cell r="B504" t="str">
            <v>SW6965</v>
          </cell>
        </row>
        <row r="505">
          <cell r="B505" t="str">
            <v>SW6966</v>
          </cell>
        </row>
        <row r="506">
          <cell r="B506" t="str">
            <v>SW6967</v>
          </cell>
        </row>
        <row r="507">
          <cell r="B507" t="str">
            <v>SW6968</v>
          </cell>
        </row>
        <row r="508">
          <cell r="B508" t="str">
            <v>SW6969</v>
          </cell>
        </row>
        <row r="509">
          <cell r="B509" t="str">
            <v>SW6970</v>
          </cell>
        </row>
        <row r="510">
          <cell r="B510" t="str">
            <v>SW6971</v>
          </cell>
        </row>
        <row r="511">
          <cell r="B511" t="str">
            <v>SW6972</v>
          </cell>
        </row>
        <row r="512">
          <cell r="B512" t="str">
            <v>SW6973</v>
          </cell>
        </row>
        <row r="513">
          <cell r="B513" t="str">
            <v>SW6974</v>
          </cell>
        </row>
        <row r="514">
          <cell r="B514" t="str">
            <v>SW6975</v>
          </cell>
        </row>
        <row r="515">
          <cell r="B515" t="str">
            <v>UH8001</v>
          </cell>
        </row>
        <row r="516">
          <cell r="B516" t="str">
            <v>UH8002</v>
          </cell>
        </row>
        <row r="517">
          <cell r="B517" t="str">
            <v>UH8003</v>
          </cell>
        </row>
      </sheetData>
      <sheetData sheetId="2">
        <row r="2">
          <cell r="A2" t="str">
            <v>NE4001</v>
          </cell>
        </row>
      </sheetData>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 Paid - Combined"/>
      <sheetName val="FIT Paid - LSP"/>
      <sheetName val="FIT Paid - TPSRV"/>
      <sheetName val="FIT Paid - COREP"/>
      <sheetName val="FIT Support"/>
      <sheetName val="#REF"/>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mp; variances"/>
      <sheetName val="Plan detail"/>
      <sheetName val="Pivot analysis Plan Estimates"/>
      <sheetName val="Summary &amp; variances excl bids"/>
      <sheetName val="Source Data"/>
      <sheetName val="IM Risk Score Per Pipeline"/>
      <sheetName val="IM System Name"/>
      <sheetName val="Directions"/>
      <sheetName val="Pivot Analysis"/>
      <sheetName val="Pivot $ per Year"/>
      <sheetName val="4-yr Pivot Analysis"/>
    </sheetNames>
    <sheetDataSet>
      <sheetData sheetId="0"/>
      <sheetData sheetId="1"/>
      <sheetData sheetId="2"/>
      <sheetData sheetId="3"/>
      <sheetData sheetId="4">
        <row r="548">
          <cell r="B548" t="str">
            <v>Transmission</v>
          </cell>
        </row>
        <row r="549">
          <cell r="B549" t="str">
            <v>Distribution</v>
          </cell>
        </row>
        <row r="552">
          <cell r="B552" t="str">
            <v>NE</v>
          </cell>
        </row>
        <row r="553">
          <cell r="B553" t="str">
            <v>NW</v>
          </cell>
        </row>
        <row r="554">
          <cell r="B554" t="str">
            <v>OH</v>
          </cell>
        </row>
        <row r="555">
          <cell r="B555" t="str">
            <v>SE</v>
          </cell>
        </row>
        <row r="556">
          <cell r="B556" t="str">
            <v>SW</v>
          </cell>
        </row>
      </sheetData>
      <sheetData sheetId="5"/>
      <sheetData sheetId="6"/>
      <sheetData sheetId="7"/>
      <sheetData sheetId="8"/>
      <sheetData sheetId="9"/>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mp; variances"/>
      <sheetName val="Plan detail"/>
      <sheetName val="Pivot analysis Plan Estimates"/>
      <sheetName val="Summary &amp; variances excl bids"/>
      <sheetName val="Source Data"/>
      <sheetName val="IM Risk Score Per Pipeline"/>
      <sheetName val="IM System Name"/>
      <sheetName val="Directions"/>
      <sheetName val="Pivot Analysis"/>
      <sheetName val="Pivot $ per Year"/>
      <sheetName val="4-yr Pivot Analysis"/>
    </sheetNames>
    <sheetDataSet>
      <sheetData sheetId="0"/>
      <sheetData sheetId="1"/>
      <sheetData sheetId="2"/>
      <sheetData sheetId="3"/>
      <sheetData sheetId="4">
        <row r="548">
          <cell r="B548" t="str">
            <v>Transmission</v>
          </cell>
        </row>
        <row r="549">
          <cell r="B549" t="str">
            <v>Distribution</v>
          </cell>
        </row>
        <row r="552">
          <cell r="B552" t="str">
            <v>NE</v>
          </cell>
        </row>
        <row r="553">
          <cell r="B553" t="str">
            <v>NW</v>
          </cell>
        </row>
        <row r="554">
          <cell r="B554" t="str">
            <v>OH</v>
          </cell>
        </row>
        <row r="555">
          <cell r="B555" t="str">
            <v>SE</v>
          </cell>
        </row>
        <row r="556">
          <cell r="B556" t="str">
            <v>SW</v>
          </cell>
        </row>
      </sheetData>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PRINT ALL"/>
      <sheetName val="PRINT B"/>
      <sheetName val="PRINT C"/>
      <sheetName val="MASTER LIST"/>
      <sheetName val="     A     "/>
      <sheetName val="SCH_A1"/>
      <sheetName val="     B     "/>
      <sheetName val="SCH_B1"/>
      <sheetName val="SCH_B2"/>
      <sheetName val="SCH_B2.1"/>
      <sheetName val="WPB_2.1"/>
      <sheetName val="SCH_B2.2"/>
      <sheetName val="SCH_B2.3"/>
      <sheetName val="WPB_2.3"/>
      <sheetName val="WPB-2.3a"/>
      <sheetName val="SCH_B2.4"/>
      <sheetName val="SCH_B2.5"/>
      <sheetName val="SCH_B3"/>
      <sheetName val="WPB_3"/>
      <sheetName val="WPB_3a"/>
      <sheetName val="SCH_B3.1"/>
      <sheetName val="SCH_B3.2"/>
      <sheetName val="SCH_B3.3"/>
      <sheetName val="WPB_3.3"/>
      <sheetName val="WPB_3.3a"/>
      <sheetName val="WPB_3.3b"/>
      <sheetName val="WPB_3.3c"/>
      <sheetName val="WPB-3.3d"/>
      <sheetName val="SCH_B3.4"/>
      <sheetName val="SCH_B4"/>
      <sheetName val="SCH_B4.1"/>
      <sheetName val="SCH_B4.2"/>
      <sheetName val="SCH_B5"/>
      <sheetName val="SCH_B5.1"/>
      <sheetName val="WPB_5.1"/>
      <sheetName val="SCH_B6"/>
      <sheetName val="SCH_B6.1"/>
      <sheetName val="SCH_B6.2"/>
      <sheetName val="SCH_B7"/>
      <sheetName val="SCH_B7.1"/>
      <sheetName val="SCH_B7.2"/>
      <sheetName val="SCH_B8"/>
      <sheetName val="SCH_B9"/>
      <sheetName val="     C     "/>
      <sheetName val="SCH_C1"/>
      <sheetName val="WPC_1"/>
      <sheetName val="SCH_C2"/>
      <sheetName val="SCH_C2.1"/>
      <sheetName val="WPC_2.1a"/>
      <sheetName val="SCH_C3"/>
      <sheetName val="SCH_C3.1"/>
      <sheetName val="WPC_3.1a"/>
      <sheetName val="SCH_C3.2"/>
      <sheetName val="SCH_C3.3"/>
      <sheetName val="SCH_C3.4"/>
      <sheetName val="SCH_C3.5"/>
      <sheetName val="SCH_C3.6"/>
      <sheetName val="SCH_C3.7"/>
      <sheetName val="SCH_C3.8"/>
      <sheetName val="SCH_C3.9"/>
      <sheetName val="SCH_C3.10"/>
      <sheetName val="SCH_C3.11"/>
      <sheetName val="WPC_3.11a"/>
      <sheetName val="SCH_C3.12"/>
      <sheetName val="WPC_3.12"/>
      <sheetName val="SCH_C3.13"/>
      <sheetName val="SCH_C3.14"/>
      <sheetName val="WPC_3.14"/>
      <sheetName val="SCH_C3.15"/>
      <sheetName val="WPC_3.15"/>
      <sheetName val="SCH_C3.16"/>
      <sheetName val="WPC_3.16"/>
      <sheetName val="SCH_C3.17"/>
      <sheetName val="WPC_3.17"/>
      <sheetName val="WPC_3.17a"/>
      <sheetName val="SCH_C3.18"/>
      <sheetName val="SCH_C3.19"/>
      <sheetName val="SCH_C3.20"/>
      <sheetName val="SCH_C3.21"/>
      <sheetName val="WPC_3.21"/>
      <sheetName val="SCH_C3.22"/>
      <sheetName val="WPC_3.22"/>
      <sheetName val="SCH_C3.23"/>
      <sheetName val="WPC_3.23"/>
      <sheetName val="SCH_C4"/>
      <sheetName val="SCH_C4.1"/>
      <sheetName val="WPC_4"/>
      <sheetName val="SCH_C5"/>
      <sheetName val="SCH_C6"/>
      <sheetName val="SCH_C7"/>
      <sheetName val="SCH_C8"/>
      <sheetName val="SCH_C9"/>
      <sheetName val="SCH_C9.1"/>
      <sheetName val="SCH_C10"/>
      <sheetName val="WPC_10a"/>
      <sheetName val="WPC_10b"/>
      <sheetName val="WPC_10c"/>
      <sheetName val="WPC_10d"/>
      <sheetName val="SCH_C11.1"/>
      <sheetName val="SCH_C11.2"/>
      <sheetName val="SCH_C12.1"/>
      <sheetName val="SCH_C12.2"/>
      <sheetName val="SCH_C12.3"/>
      <sheetName val="SCH_C12.4"/>
      <sheetName val="SCH_C13"/>
      <sheetName val="     D     "/>
      <sheetName val="SCH_D1"/>
      <sheetName val="SCH_D1A"/>
      <sheetName val="SCH_D2A"/>
      <sheetName val="SCH_D3A"/>
      <sheetName val="SCH_D4A"/>
      <sheetName val="SCH_D5A"/>
      <sheetName val="SCH_D1B"/>
      <sheetName val="SCH_D2B"/>
      <sheetName val="SCH_D3B"/>
      <sheetName val="SCH_D4B"/>
      <sheetName val="SCH_D5B"/>
      <sheetName val="     E     "/>
      <sheetName val="SCH_E4"/>
      <sheetName val="SCH_E4.1"/>
      <sheetName val="     F     "/>
      <sheetName val="SCH_F1"/>
      <sheetName val="SCH_F2"/>
      <sheetName val="SCH_F2.1"/>
      <sheetName val="WPF_2a"/>
      <sheetName val="WPF_2b"/>
      <sheetName val="SCH_F3"/>
      <sheetName val="WPF_3"/>
      <sheetName val="SCH_F3.1"/>
      <sheetName val="WPF_3.1"/>
      <sheetName val="SCH_F4"/>
      <sheetName val="     S     "/>
      <sheetName val="S-1"/>
      <sheetName val="S-2"/>
      <sheetName val="S-2.2"/>
      <sheetName val="S-2.3"/>
      <sheetName val="                   "/>
      <sheetName val="SUPP_C8"/>
      <sheetName val="SCH_C1 NOI"/>
      <sheetName val="WPC-4b-TAX PROOF"/>
      <sheetName val="Summary List"/>
      <sheetName val="TIMETABLE"/>
      <sheetName val="LOGO"/>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ow r="4">
          <cell r="C4" t="str">
            <v>VECTREN ENERGY DELIVERY OF OHIO, INC.</v>
          </cell>
        </row>
        <row r="21">
          <cell r="D21" t="str">
            <v>AUGUST 31, 2007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oiler diagram"/>
      <sheetName val="Turbine Cycle"/>
      <sheetName val="Unit Performance"/>
      <sheetName val="Steam Turbine"/>
      <sheetName val="N2calcs"/>
      <sheetName val="Condensate"/>
      <sheetName val="Feedwater"/>
      <sheetName val="Condenser"/>
      <sheetName val="Boiler"/>
      <sheetName val="Pulverizers"/>
      <sheetName val="Input Template"/>
      <sheetName val="DCS Input Data"/>
      <sheetName val="Other Input Data"/>
      <sheetName val="Flow Calcs"/>
      <sheetName val="Derived &amp; Overwrite Data"/>
      <sheetName val="Macro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G4" t="str">
            <v>=PHDGetData("192.168.32.16", C4, 'DCS Input Data'!$E$1, 'DCS Input Data'!$E$2, "", "Average", "OVERALL REDUCTION", 0, "Before", UNI_RET_TAG+UNI_RET_DESC+UNI_RET_UNIT+UNI_RET_TIME+UNI_RET_VALUE+UNI_RET_CONF, UNI_NOTHING)</v>
          </cell>
          <cell r="H4" t="str">
            <v>INWG</v>
          </cell>
          <cell r="I4" t="str">
            <v>WEST WALL FURNACE PRESS</v>
          </cell>
          <cell r="J4" t="str">
            <v>Average</v>
          </cell>
          <cell r="K4">
            <v>38906.708333333336</v>
          </cell>
          <cell r="L4">
            <v>-0.99725507570637595</v>
          </cell>
          <cell r="M4">
            <v>100</v>
          </cell>
        </row>
        <row r="5">
          <cell r="G5" t="str">
            <v>=PHDGetData("192.168.32.16", C5, 'DCS Input Data'!$E$1, 'DCS Input Data'!$E$2, "", "Average", "OVERALL REDUCTION", 0, "Before", UNI_RET_TAG+UNI_RET_DESC+UNI_RET_UNIT+UNI_RET_TIME+UNI_RET_VALUE+UNI_RET_CONF, UNI_NOTHING)</v>
          </cell>
          <cell r="H5" t="str">
            <v>INWG</v>
          </cell>
          <cell r="I5" t="str">
            <v>NORTH WALL FURNACE PRESS</v>
          </cell>
          <cell r="J5" t="str">
            <v>Average</v>
          </cell>
          <cell r="K5">
            <v>38906.708333333336</v>
          </cell>
          <cell r="L5">
            <v>-1.02364278766844</v>
          </cell>
          <cell r="M5">
            <v>100</v>
          </cell>
        </row>
        <row r="6">
          <cell r="G6" t="str">
            <v>=PHDGetData("192.168.32.16", C6, 'DCS Input Data'!$E$1, 'DCS Input Data'!$E$2, "", "Average", "OVERALL REDUCTION", 0, "Before", UNI_RET_TAG+UNI_RET_DESC+UNI_RET_UNIT+UNI_RET_TIME+UNI_RET_VALUE+UNI_RET_CONF, UNI_NOTHING)</v>
          </cell>
          <cell r="H6" t="str">
            <v>INWG</v>
          </cell>
          <cell r="I6" t="str">
            <v>EAST WALL FURNACE PRESS</v>
          </cell>
          <cell r="J6" t="str">
            <v>Average</v>
          </cell>
          <cell r="K6">
            <v>38906.708333333336</v>
          </cell>
          <cell r="L6">
            <v>-0.96745171141293318</v>
          </cell>
          <cell r="M6">
            <v>100</v>
          </cell>
        </row>
        <row r="7">
          <cell r="G7" t="str">
            <v>=PHDGetData("192.168.32.16", C7, 'DCS Input Data'!$E$1, 'DCS Input Data'!$E$2, "", "Average", "OVERALL REDUCTION", 0, "Before", UNI_RET_TAG+UNI_RET_DESC+UNI_RET_UNIT+UNI_RET_TIME+UNI_RET_VALUE+UNI_RET_CONF, UNI_NOTHING)</v>
          </cell>
          <cell r="H7" t="str">
            <v>DEGF</v>
          </cell>
          <cell r="I7" t="str">
            <v>OUTSIDE AIR TEMPERATURE</v>
          </cell>
          <cell r="J7" t="str">
            <v>Average</v>
          </cell>
          <cell r="K7">
            <v>38906.708333333336</v>
          </cell>
          <cell r="L7">
            <v>83.403022766113281</v>
          </cell>
          <cell r="M7">
            <v>100</v>
          </cell>
        </row>
        <row r="8">
          <cell r="G8" t="str">
            <v>=PHDGetData("192.168.32.16", C8, 'DCS Input Data'!$E$1, 'DCS Input Data'!$E$2, "", "Average", "OVERALL REDUCTION", 0, "Before", UNI_RET_TAG+UNI_RET_DESC+UNI_RET_UNIT+UNI_RET_TIME+UNI_RET_VALUE+UNI_RET_CONF, UNI_NOTHING)</v>
          </cell>
          <cell r="H8" t="str">
            <v>INHG</v>
          </cell>
          <cell r="I8" t="str">
            <v>BAROMETRIC PRESSURE</v>
          </cell>
          <cell r="J8" t="str">
            <v>Average</v>
          </cell>
          <cell r="K8">
            <v>38906.708333333336</v>
          </cell>
          <cell r="L8">
            <v>29.748920440673828</v>
          </cell>
          <cell r="M8">
            <v>0</v>
          </cell>
        </row>
        <row r="9">
          <cell r="G9" t="str">
            <v>=PHDGetData("192.168.32.16", C9, 'DCS Input Data'!$E$1, 'DCS Input Data'!$E$2, "", "Average", "OVERALL REDUCTION", 0, "Before", UNI_RET_TAG+UNI_RET_DESC+UNI_RET_UNIT+UNI_RET_TIME+UNI_RET_VALUE+UNI_RET_CONF, UNI_NOTHING)</v>
          </cell>
          <cell r="H9" t="str">
            <v>INWG</v>
          </cell>
          <cell r="I9" t="str">
            <v>FDF3A DISCHARGE AIR PRES</v>
          </cell>
          <cell r="J9" t="str">
            <v>Average</v>
          </cell>
          <cell r="K9">
            <v>38906.708333333336</v>
          </cell>
          <cell r="L9">
            <v>14.806483777364095</v>
          </cell>
          <cell r="M9">
            <v>100</v>
          </cell>
        </row>
        <row r="10">
          <cell r="G10" t="str">
            <v>=PHDGetData("192.168.32.16", C10, 'DCS Input Data'!$E$1, 'DCS Input Data'!$E$2, "", "Average", "OVERALL REDUCTION", 0, "Before", UNI_RET_TAG+UNI_RET_DESC+UNI_RET_UNIT+UNI_RET_TIME+UNI_RET_VALUE+UNI_RET_CONF, UNI_NOTHING)</v>
          </cell>
          <cell r="H10" t="str">
            <v>INWG</v>
          </cell>
          <cell r="I10" t="str">
            <v>FDF3B DISCHARGE AIR PRES</v>
          </cell>
          <cell r="J10" t="str">
            <v>Average</v>
          </cell>
          <cell r="K10">
            <v>38906.708333333336</v>
          </cell>
          <cell r="L10">
            <v>16.163140646616618</v>
          </cell>
          <cell r="M10">
            <v>100</v>
          </cell>
        </row>
        <row r="11">
          <cell r="G11" t="str">
            <v>=PHDGetData("192.168.32.16", C11, 'DCS Input Data'!$E$1, 'DCS Input Data'!$E$2, "", "Average", "OVERALL REDUCTION", 0, "Before", UNI_RET_TAG+UNI_RET_DESC+UNI_RET_UNIT+UNI_RET_TIME+UNI_RET_VALUE+UNI_RET_CONF, UNI_NOTHING)</v>
          </cell>
          <cell r="H11" t="str">
            <v>DEGF</v>
          </cell>
          <cell r="I11" t="str">
            <v>AIRHTR 3A IN AIR TEMP</v>
          </cell>
          <cell r="J11" t="str">
            <v>Average</v>
          </cell>
          <cell r="K11">
            <v>38906.708333333336</v>
          </cell>
          <cell r="L11">
            <v>153.42111358642578</v>
          </cell>
          <cell r="M11">
            <v>100</v>
          </cell>
        </row>
        <row r="12">
          <cell r="G12" t="str">
            <v>=PHDGetData("192.168.32.16", C12, 'DCS Input Data'!$E$1, 'DCS Input Data'!$E$2, "", "Average", "OVERALL REDUCTION", 0, "Before", UNI_RET_TAG+UNI_RET_DESC+UNI_RET_UNIT+UNI_RET_TIME+UNI_RET_VALUE+UNI_RET_CONF, UNI_NOTHING)</v>
          </cell>
          <cell r="H12" t="str">
            <v>DEGF</v>
          </cell>
          <cell r="I12" t="str">
            <v>AIRHTR 3B IN AIR TEMP</v>
          </cell>
          <cell r="J12" t="str">
            <v>Average</v>
          </cell>
          <cell r="K12">
            <v>38906.708333333336</v>
          </cell>
          <cell r="L12">
            <v>135.09381052652995</v>
          </cell>
          <cell r="M12">
            <v>100</v>
          </cell>
        </row>
        <row r="13">
          <cell r="G13" t="str">
            <v>=PHDGetData("192.168.32.16", C13, 'DCS Input Data'!$E$1, 'DCS Input Data'!$E$2, "", "Average", "OVERALL REDUCTION", 0, "Before", UNI_RET_TAG+UNI_RET_DESC+UNI_RET_UNIT+UNI_RET_TIME+UNI_RET_VALUE+UNI_RET_CONF, UNI_NOTHING)</v>
          </cell>
          <cell r="H13" t="str">
            <v>INWG</v>
          </cell>
          <cell r="I13" t="str">
            <v>AIR PRHTR 3A INL AIR PRS</v>
          </cell>
          <cell r="J13" t="str">
            <v>Average</v>
          </cell>
          <cell r="K13">
            <v>38906.708333333336</v>
          </cell>
          <cell r="L13">
            <v>12.675439929962158</v>
          </cell>
          <cell r="M13">
            <v>100</v>
          </cell>
        </row>
        <row r="14">
          <cell r="G14" t="str">
            <v>=PHDGetData("192.168.32.16", C14, 'DCS Input Data'!$E$1, 'DCS Input Data'!$E$2, "", "Average", "OVERALL REDUCTION", 0, "Before", UNI_RET_TAG+UNI_RET_DESC+UNI_RET_UNIT+UNI_RET_TIME+UNI_RET_VALUE+UNI_RET_CONF, UNI_NOTHING)</v>
          </cell>
          <cell r="H14" t="str">
            <v>INWG</v>
          </cell>
          <cell r="I14" t="str">
            <v>AIR PRHTR 3B INL AIR PRS</v>
          </cell>
          <cell r="J14" t="str">
            <v>Average</v>
          </cell>
          <cell r="K14">
            <v>38906.708333333336</v>
          </cell>
          <cell r="L14">
            <v>11.591273260116576</v>
          </cell>
          <cell r="M14">
            <v>100</v>
          </cell>
        </row>
        <row r="15">
          <cell r="G15" t="str">
            <v>=PHDGetData("192.168.32.16", C15, 'DCS Input Data'!$E$1, 'DCS Input Data'!$E$2, "", "Average", "OVERALL REDUCTION", 0, "Before", UNI_RET_TAG+UNI_RET_DESC+UNI_RET_UNIT+UNI_RET_TIME+UNI_RET_VALUE+UNI_RET_CONF, UNI_NOTHING)</v>
          </cell>
          <cell r="H15" t="str">
            <v>DEGF</v>
          </cell>
          <cell r="I15" t="str">
            <v>WINDBOX AIR TEMPERATURE</v>
          </cell>
          <cell r="J15" t="str">
            <v>Average</v>
          </cell>
          <cell r="K15">
            <v>38906.708333333336</v>
          </cell>
          <cell r="L15">
            <v>553.41475423177087</v>
          </cell>
          <cell r="M15">
            <v>100</v>
          </cell>
        </row>
        <row r="16">
          <cell r="G16" t="str">
            <v>=PHDGetData("192.168.32.16", C16, 'DCS Input Data'!$E$1, 'DCS Input Data'!$E$2, "", "Average", "OVERALL REDUCTION", 0, "Before", UNI_RET_TAG+UNI_RET_DESC+UNI_RET_UNIT+UNI_RET_TIME+UNI_RET_VALUE+UNI_RET_CONF, UNI_NOTHING)</v>
          </cell>
          <cell r="H16" t="str">
            <v>DEGF</v>
          </cell>
          <cell r="I16" t="str">
            <v>WINDBOX AIR TEMPERATURE</v>
          </cell>
          <cell r="J16" t="str">
            <v>Average</v>
          </cell>
          <cell r="K16">
            <v>38906.708333333336</v>
          </cell>
          <cell r="L16">
            <v>553.41475423177087</v>
          </cell>
          <cell r="M16">
            <v>100</v>
          </cell>
        </row>
        <row r="17">
          <cell r="G17" t="str">
            <v>=PHDGetData("192.168.32.16", C17, 'DCS Input Data'!$E$1, 'DCS Input Data'!$E$2, "", "Average", "OVERALL REDUCTION", 0, "Before", UNI_RET_TAG+UNI_RET_DESC+UNI_RET_UNIT+UNI_RET_TIME+UNI_RET_VALUE+UNI_RET_CONF, UNI_NOTHING)</v>
          </cell>
          <cell r="H17" t="str">
            <v>INWG</v>
          </cell>
          <cell r="I17" t="str">
            <v>WINDBOX AIR PRESSURE</v>
          </cell>
          <cell r="J17" t="str">
            <v>Average</v>
          </cell>
          <cell r="K17">
            <v>38906.708333333336</v>
          </cell>
          <cell r="L17">
            <v>4.7926596959431969</v>
          </cell>
          <cell r="M17">
            <v>100</v>
          </cell>
        </row>
        <row r="18">
          <cell r="G18" t="str">
            <v>=PHDGetData("192.168.32.16", C18, 'DCS Input Data'!$E$1, 'DCS Input Data'!$E$2, "", "Average", "OVERALL REDUCTION", 0, "Before", UNI_RET_TAG+UNI_RET_DESC+UNI_RET_UNIT+UNI_RET_TIME+UNI_RET_VALUE+UNI_RET_CONF, UNI_NOTHING)</v>
          </cell>
          <cell r="H18" t="str">
            <v>INWG</v>
          </cell>
          <cell r="I18" t="str">
            <v>WINDBOX AIR PRESSURE</v>
          </cell>
          <cell r="J18" t="str">
            <v>Average</v>
          </cell>
          <cell r="K18">
            <v>38906.708333333336</v>
          </cell>
          <cell r="L18">
            <v>4.7926596959431969</v>
          </cell>
          <cell r="M18">
            <v>100</v>
          </cell>
        </row>
        <row r="19">
          <cell r="G19" t="str">
            <v>=PHDGetData("192.168.32.16", C19, 'DCS Input Data'!$E$1, 'DCS Input Data'!$E$2, "", "Average", "OVERALL REDUCTION", 0, "Before", UNI_RET_TAG+UNI_RET_DESC+UNI_RET_UNIT+UNI_RET_TIME+UNI_RET_VALUE+UNI_RET_CONF, UNI_NOTHING)</v>
          </cell>
          <cell r="H19" t="str">
            <v>INWG</v>
          </cell>
          <cell r="I19" t="str">
            <v>REHEATER OUT FLUGAS PRES</v>
          </cell>
          <cell r="J19" t="str">
            <v>Average</v>
          </cell>
          <cell r="K19">
            <v>38906.708333333336</v>
          </cell>
          <cell r="L19">
            <v>-2.6296175161997479</v>
          </cell>
          <cell r="M19">
            <v>100</v>
          </cell>
        </row>
        <row r="20">
          <cell r="G20" t="str">
            <v>=PHDGetData("192.168.32.16", C20, 'DCS Input Data'!$E$1, 'DCS Input Data'!$E$2, "", "Average", "OVERALL REDUCTION", 0, "Before", UNI_RET_TAG+UNI_RET_DESC+UNI_RET_UNIT+UNI_RET_TIME+UNI_RET_VALUE+UNI_RET_CONF, UNI_NOTHING)</v>
          </cell>
          <cell r="H20" t="str">
            <v>INWG</v>
          </cell>
          <cell r="I20" t="str">
            <v>PSH OUTLET FLUGAS PRESS</v>
          </cell>
          <cell r="J20" t="str">
            <v>Average</v>
          </cell>
          <cell r="K20">
            <v>38906.708333333336</v>
          </cell>
          <cell r="L20">
            <v>-5.0025520801544188</v>
          </cell>
          <cell r="M20">
            <v>100</v>
          </cell>
        </row>
        <row r="21">
          <cell r="G21" t="str">
            <v>=PHDGetData("192.168.32.16", C21, 'DCS Input Data'!$E$1, 'DCS Input Data'!$E$2, "", "Average", "OVERALL REDUCTION", 0, "Before", UNI_RET_TAG+UNI_RET_DESC+UNI_RET_UNIT+UNI_RET_TIME+UNI_RET_VALUE+UNI_RET_CONF, UNI_NOTHING)</v>
          </cell>
          <cell r="H21" t="str">
            <v>DEGF</v>
          </cell>
          <cell r="I21" t="str">
            <v>GAS TEMP TO HEATER 3A</v>
          </cell>
          <cell r="J21" t="str">
            <v>Average</v>
          </cell>
          <cell r="K21">
            <v>38906.708333333336</v>
          </cell>
          <cell r="L21">
            <v>493.22729226006402</v>
          </cell>
          <cell r="M21">
            <v>100</v>
          </cell>
        </row>
        <row r="22">
          <cell r="G22" t="str">
            <v>=PHDGetData("192.168.32.16", C22, 'DCS Input Data'!$E$1, 'DCS Input Data'!$E$2, "", "Average", "OVERALL REDUCTION", 0, "Before", UNI_RET_TAG+UNI_RET_DESC+UNI_RET_UNIT+UNI_RET_TIME+UNI_RET_VALUE+UNI_RET_CONF, UNI_NOTHING)</v>
          </cell>
          <cell r="H22" t="str">
            <v>DEGF</v>
          </cell>
          <cell r="I22" t="str">
            <v>GAS TEMP TO HEATER 3A</v>
          </cell>
          <cell r="J22" t="str">
            <v>Average</v>
          </cell>
          <cell r="K22">
            <v>38906.708333333336</v>
          </cell>
          <cell r="L22">
            <v>634.86115188598637</v>
          </cell>
          <cell r="M22">
            <v>100</v>
          </cell>
        </row>
        <row r="23">
          <cell r="G23" t="str">
            <v>=PHDGetData("192.168.32.16", C23, 'DCS Input Data'!$E$1, 'DCS Input Data'!$E$2, "", "Average", "OVERALL REDUCTION", 0, "Before", UNI_RET_TAG+UNI_RET_DESC+UNI_RET_UNIT+UNI_RET_TIME+UNI_RET_VALUE+UNI_RET_CONF, UNI_NOTHING)</v>
          </cell>
          <cell r="H23" t="str">
            <v>DEGF</v>
          </cell>
          <cell r="I23" t="str">
            <v>GAS TEMP TO HEATER 3A</v>
          </cell>
          <cell r="J23" t="str">
            <v>Average</v>
          </cell>
          <cell r="K23">
            <v>38906.708333333336</v>
          </cell>
          <cell r="L23">
            <v>631.56646728515625</v>
          </cell>
          <cell r="M23">
            <v>0</v>
          </cell>
        </row>
        <row r="24">
          <cell r="G24" t="str">
            <v>=PHDGetData("192.168.32.16", C24, 'DCS Input Data'!$E$1, 'DCS Input Data'!$E$2, "", "Average", "OVERALL REDUCTION", 0, "Before", UNI_RET_TAG+UNI_RET_DESC+UNI_RET_UNIT+UNI_RET_TIME+UNI_RET_VALUE+UNI_RET_CONF, UNI_NOTHING)</v>
          </cell>
          <cell r="H24" t="str">
            <v>DEGF</v>
          </cell>
          <cell r="I24" t="str">
            <v>GAS TEMP TO HEATER 3B</v>
          </cell>
          <cell r="J24" t="str">
            <v>Average</v>
          </cell>
          <cell r="K24">
            <v>38906.708333333336</v>
          </cell>
          <cell r="L24">
            <v>630.2879638671875</v>
          </cell>
          <cell r="M24">
            <v>0</v>
          </cell>
        </row>
        <row r="25">
          <cell r="G25" t="str">
            <v>=PHDGetData("192.168.32.16", C25, 'DCS Input Data'!$E$1, 'DCS Input Data'!$E$2, "", "Average", "OVERALL REDUCTION", 0, "Before", UNI_RET_TAG+UNI_RET_DESC+UNI_RET_UNIT+UNI_RET_TIME+UNI_RET_VALUE+UNI_RET_CONF, UNI_NOTHING)</v>
          </cell>
          <cell r="H25" t="str">
            <v>DEGF</v>
          </cell>
          <cell r="I25" t="str">
            <v>GAS TEMP TO HEATER 3B</v>
          </cell>
          <cell r="J25" t="str">
            <v>Average</v>
          </cell>
          <cell r="K25">
            <v>38906.708333333336</v>
          </cell>
          <cell r="L25">
            <v>626.08676147460938</v>
          </cell>
          <cell r="M25">
            <v>0</v>
          </cell>
        </row>
        <row r="26">
          <cell r="G26" t="str">
            <v>=PHDGetData("192.168.32.16", C26, 'DCS Input Data'!$E$1, 'DCS Input Data'!$E$2, "", "Average", "OVERALL REDUCTION", 0, "Before", UNI_RET_TAG+UNI_RET_DESC+UNI_RET_UNIT+UNI_RET_TIME+UNI_RET_VALUE+UNI_RET_CONF, UNI_NOTHING)</v>
          </cell>
          <cell r="H26" t="str">
            <v>DEGF</v>
          </cell>
          <cell r="I26" t="str">
            <v>GAS TEMP TO HEATER 3B</v>
          </cell>
          <cell r="J26" t="str">
            <v>Average</v>
          </cell>
          <cell r="K26">
            <v>38906.708333333336</v>
          </cell>
          <cell r="L26">
            <v>630.99860790676541</v>
          </cell>
          <cell r="M26">
            <v>100</v>
          </cell>
        </row>
        <row r="27">
          <cell r="G27" t="str">
            <v>=PHDGetData("192.168.32.16", C27, 'DCS Input Data'!$E$1, 'DCS Input Data'!$E$2, "", "Average", "OVERALL REDUCTION", 0, "Before", UNI_RET_TAG+UNI_RET_DESC+UNI_RET_UNIT+UNI_RET_TIME+UNI_RET_VALUE+UNI_RET_CONF, UNI_NOTHING)</v>
          </cell>
          <cell r="H27" t="str">
            <v>DEGF</v>
          </cell>
          <cell r="I27" t="str">
            <v>GAS TEMP TO HEATER 3B</v>
          </cell>
          <cell r="J27" t="str">
            <v>Average</v>
          </cell>
          <cell r="K27">
            <v>38906.708333333336</v>
          </cell>
          <cell r="L27">
            <v>634.14891815185547</v>
          </cell>
          <cell r="M27">
            <v>100</v>
          </cell>
        </row>
        <row r="28">
          <cell r="G28" t="str">
            <v>=PHDGetData("192.168.32.16", C28, 'DCS Input Data'!$E$1, 'DCS Input Data'!$E$2, "", "Average", "OVERALL REDUCTION", 0, "Before", UNI_RET_TAG+UNI_RET_DESC+UNI_RET_UNIT+UNI_RET_TIME+UNI_RET_VALUE+UNI_RET_CONF, UNI_NOTHING)</v>
          </cell>
          <cell r="H28" t="str">
            <v>DEGF</v>
          </cell>
          <cell r="I28" t="str">
            <v>GAS TEMP TO HEATER 3B</v>
          </cell>
          <cell r="J28" t="str">
            <v>Average</v>
          </cell>
          <cell r="K28">
            <v>38906.708333333336</v>
          </cell>
          <cell r="L28">
            <v>630.61977767944336</v>
          </cell>
          <cell r="M28">
            <v>100</v>
          </cell>
        </row>
        <row r="29">
          <cell r="G29" t="str">
            <v>=PHDGetData("192.168.32.16", C29, 'DCS Input Data'!$E$1, 'DCS Input Data'!$E$2, "", "Average", "OVERALL REDUCTION", 0, "Before", UNI_RET_TAG+UNI_RET_DESC+UNI_RET_UNIT+UNI_RET_TIME+UNI_RET_VALUE+UNI_RET_CONF, UNI_NOTHING)</v>
          </cell>
          <cell r="H29" t="str">
            <v>INWG</v>
          </cell>
          <cell r="I29" t="str">
            <v>AIR PRHT 3B IN FLUGAS PR</v>
          </cell>
          <cell r="J29" t="str">
            <v>Average</v>
          </cell>
          <cell r="K29">
            <v>38906.708333333336</v>
          </cell>
          <cell r="L29">
            <v>17.935299587249755</v>
          </cell>
          <cell r="M29">
            <v>100</v>
          </cell>
        </row>
        <row r="30">
          <cell r="G30" t="str">
            <v>=PHDGetData("192.168.32.16", C30, 'DCS Input Data'!$E$1, 'DCS Input Data'!$E$2, "", "Average", "OVERALL REDUCTION", 0, "Before", UNI_RET_TAG+UNI_RET_DESC+UNI_RET_UNIT+UNI_RET_TIME+UNI_RET_VALUE+UNI_RET_CONF, UNI_NOTHING)</v>
          </cell>
          <cell r="H30" t="str">
            <v>INWG</v>
          </cell>
          <cell r="I30" t="str">
            <v>AIR PRHT 3B IN FLUGAS PR</v>
          </cell>
          <cell r="J30" t="str">
            <v>Average</v>
          </cell>
          <cell r="K30">
            <v>38906.708333333336</v>
          </cell>
          <cell r="L30">
            <v>18.165007527669271</v>
          </cell>
          <cell r="M30">
            <v>100</v>
          </cell>
        </row>
        <row r="31">
          <cell r="G31" t="str">
            <v>=PHDGetData("192.168.32.16", C31, 'DCS Input Data'!$E$1, 'DCS Input Data'!$E$2, "", "Average", "OVERALL REDUCTION", 0, "Before", UNI_RET_TAG+UNI_RET_DESC+UNI_RET_UNIT+UNI_RET_TIME+UNI_RET_VALUE+UNI_RET_CONF, UNI_NOTHING)</v>
          </cell>
          <cell r="H31" t="str">
            <v>DEGF</v>
          </cell>
          <cell r="I31" t="str">
            <v>AIRHTR 3A OT FLUGAS TEMP</v>
          </cell>
          <cell r="J31" t="str">
            <v>Average</v>
          </cell>
          <cell r="K31">
            <v>38906.708333333336</v>
          </cell>
          <cell r="L31">
            <v>306.41910807291669</v>
          </cell>
          <cell r="M31">
            <v>100</v>
          </cell>
        </row>
        <row r="32">
          <cell r="G32" t="str">
            <v>=PHDGetData("192.168.32.16", C32, 'DCS Input Data'!$E$1, 'DCS Input Data'!$E$2, "", "Average", "OVERALL REDUCTION", 0, "Before", UNI_RET_TAG+UNI_RET_DESC+UNI_RET_UNIT+UNI_RET_TIME+UNI_RET_VALUE+UNI_RET_CONF, UNI_NOTHING)</v>
          </cell>
          <cell r="H32" t="str">
            <v>DEGF</v>
          </cell>
          <cell r="I32" t="str">
            <v>AIRHTR 3B OT FLUGAS TEMP</v>
          </cell>
          <cell r="J32" t="str">
            <v>Average</v>
          </cell>
          <cell r="K32">
            <v>38906.708333333336</v>
          </cell>
          <cell r="L32">
            <v>324.7740427652995</v>
          </cell>
          <cell r="M32">
            <v>100</v>
          </cell>
        </row>
        <row r="33">
          <cell r="G33" t="str">
            <v>=PHDGetData("192.168.32.16", C33, 'DCS Input Data'!$E$1, 'DCS Input Data'!$E$2, "", "Average", "OVERALL REDUCTION", 0, "Before", UNI_RET_TAG+UNI_RET_DESC+UNI_RET_UNIT+UNI_RET_TIME+UNI_RET_VALUE+UNI_RET_CONF, UNI_NOTHING)</v>
          </cell>
          <cell r="H33" t="str">
            <v>INWG</v>
          </cell>
          <cell r="I33" t="str">
            <v>AIR PRHT 3A OT FLUGAS PR</v>
          </cell>
          <cell r="J33" t="str">
            <v>Average</v>
          </cell>
          <cell r="K33">
            <v>38906.708333333336</v>
          </cell>
          <cell r="L33">
            <v>26.869386831919353</v>
          </cell>
          <cell r="M33">
            <v>100</v>
          </cell>
        </row>
        <row r="34">
          <cell r="G34" t="str">
            <v>=PHDGetData("192.168.32.16", C34, 'DCS Input Data'!$E$1, 'DCS Input Data'!$E$2, "", "Average", "OVERALL REDUCTION", 0, "Before", UNI_RET_TAG+UNI_RET_DESC+UNI_RET_UNIT+UNI_RET_TIME+UNI_RET_VALUE+UNI_RET_CONF, UNI_NOTHING)</v>
          </cell>
          <cell r="H34" t="str">
            <v>INWG</v>
          </cell>
          <cell r="I34" t="str">
            <v>AIR HTR 3B OUT FLUE GAS</v>
          </cell>
          <cell r="J34" t="str">
            <v>Average</v>
          </cell>
          <cell r="K34">
            <v>38906.708333333336</v>
          </cell>
          <cell r="L34">
            <v>28.401844120025636</v>
          </cell>
          <cell r="M34">
            <v>100</v>
          </cell>
        </row>
        <row r="35">
          <cell r="G35" t="str">
            <v>=PHDGetData("192.168.32.16", C35, 'DCS Input Data'!$E$1, 'DCS Input Data'!$E$2, "", "Average", "OVERALL REDUCTION", 0, "Before", UNI_RET_TAG+UNI_RET_DESC+UNI_RET_UNIT+UNI_RET_TIME+UNI_RET_VALUE+UNI_RET_CONF, UNI_NOTHING)</v>
          </cell>
          <cell r="H35" t="str">
            <v>DEGF</v>
          </cell>
          <cell r="I35" t="str">
            <v>COND PUMP 3A SUCT TEMP</v>
          </cell>
          <cell r="J35" t="str">
            <v>Average</v>
          </cell>
          <cell r="K35">
            <v>38906.708333333336</v>
          </cell>
          <cell r="L35">
            <v>122.45210647583008</v>
          </cell>
          <cell r="M35">
            <v>100</v>
          </cell>
        </row>
        <row r="36">
          <cell r="G36" t="str">
            <v>=PHDGetData("192.168.32.16", C36, 'DCS Input Data'!$E$1, 'DCS Input Data'!$E$2, "", "Average", "OVERALL REDUCTION", 0, "Before", UNI_RET_TAG+UNI_RET_DESC+UNI_RET_UNIT+UNI_RET_TIME+UNI_RET_VALUE+UNI_RET_CONF, UNI_NOTHING)</v>
          </cell>
          <cell r="H36" t="str">
            <v>DEGF</v>
          </cell>
          <cell r="I36" t="str">
            <v>COND PUMP 3B SUCT TEMP</v>
          </cell>
          <cell r="J36" t="str">
            <v>Average</v>
          </cell>
          <cell r="K36">
            <v>38906.708333333336</v>
          </cell>
          <cell r="L36">
            <v>122.33963012695313</v>
          </cell>
          <cell r="M36">
            <v>100</v>
          </cell>
        </row>
        <row r="37">
          <cell r="G37" t="str">
            <v>=PHDGetData("192.168.32.16", C37, 'DCS Input Data'!$E$1, 'DCS Input Data'!$E$2, "", "Average", "OVERALL REDUCTION", 0, "Before", UNI_RET_TAG+UNI_RET_DESC+UNI_RET_UNIT+UNI_RET_TIME+UNI_RET_VALUE+UNI_RET_CONF, UNI_NOTHING)</v>
          </cell>
          <cell r="H37" t="str">
            <v>PSIG</v>
          </cell>
          <cell r="I37" t="str">
            <v>CONDENSATE HEADER PRESS</v>
          </cell>
          <cell r="J37" t="str">
            <v>Average</v>
          </cell>
          <cell r="K37">
            <v>38906.708333333336</v>
          </cell>
          <cell r="L37">
            <v>355.62936808268228</v>
          </cell>
          <cell r="M37">
            <v>100</v>
          </cell>
        </row>
        <row r="38">
          <cell r="G38" t="str">
            <v>=PHDGetData("192.168.32.16", C38, 'DCS Input Data'!$E$1, 'DCS Input Data'!$E$2, "", "Average", "OVERALL REDUCTION", 0, "Before", UNI_RET_TAG+UNI_RET_DESC+UNI_RET_UNIT+UNI_RET_TIME+UNI_RET_VALUE+UNI_RET_CONF, UNI_NOTHING)</v>
          </cell>
          <cell r="H38" t="str">
            <v>DEGF</v>
          </cell>
          <cell r="I38" t="str">
            <v>FWHTR 36 COND IN TEMP</v>
          </cell>
          <cell r="J38" t="str">
            <v>Average</v>
          </cell>
          <cell r="K38">
            <v>38906.708333333336</v>
          </cell>
          <cell r="L38">
            <v>124.36077880859375</v>
          </cell>
          <cell r="M38">
            <v>100</v>
          </cell>
        </row>
        <row r="39">
          <cell r="G39" t="str">
            <v>=PHDGetData("192.168.32.16", C39, 'DCS Input Data'!$E$1, 'DCS Input Data'!$E$2, "", "Average", "OVERALL REDUCTION", 0, "Before", UNI_RET_TAG+UNI_RET_DESC+UNI_RET_UNIT+UNI_RET_TIME+UNI_RET_VALUE+UNI_RET_CONF, UNI_NOTHING)</v>
          </cell>
          <cell r="H39" t="str">
            <v>DEGF</v>
          </cell>
          <cell r="I39" t="str">
            <v>FWHTR 35 COND IN TEMP</v>
          </cell>
          <cell r="J39" t="str">
            <v>Average</v>
          </cell>
          <cell r="K39">
            <v>38906.708333333336</v>
          </cell>
          <cell r="L39">
            <v>177.51473185221354</v>
          </cell>
          <cell r="M39">
            <v>100</v>
          </cell>
        </row>
        <row r="40">
          <cell r="G40" t="str">
            <v>=PHDGetData("192.168.32.16", C40, 'DCS Input Data'!$E$1, 'DCS Input Data'!$E$2, "", "Average", "OVERALL REDUCTION", 0, "Before", UNI_RET_TAG+UNI_RET_DESC+UNI_RET_UNIT+UNI_RET_TIME+UNI_RET_VALUE+UNI_RET_CONF, UNI_NOTHING)</v>
          </cell>
          <cell r="H40" t="str">
            <v>DEGF</v>
          </cell>
          <cell r="I40" t="str">
            <v>FWHTR 34 COND IN TEMP</v>
          </cell>
          <cell r="J40" t="str">
            <v>Average</v>
          </cell>
          <cell r="K40">
            <v>38906.708333333336</v>
          </cell>
          <cell r="L40">
            <v>242.40965627034504</v>
          </cell>
          <cell r="M40">
            <v>100</v>
          </cell>
        </row>
        <row r="41">
          <cell r="G41" t="str">
            <v>=PHDGetData("192.168.32.16", C41, 'DCS Input Data'!$E$1, 'DCS Input Data'!$E$2, "", "Average", "OVERALL REDUCTION", 0, "Before", UNI_RET_TAG+UNI_RET_DESC+UNI_RET_UNIT+UNI_RET_TIME+UNI_RET_VALUE+UNI_RET_CONF, UNI_NOTHING)</v>
          </cell>
          <cell r="H41" t="str">
            <v>DEGF</v>
          </cell>
          <cell r="I41" t="str">
            <v>DEAREATOR COND IN TEMP</v>
          </cell>
          <cell r="J41" t="str">
            <v>Average</v>
          </cell>
          <cell r="K41">
            <v>38906.708333333336</v>
          </cell>
          <cell r="L41">
            <v>299.61233673095705</v>
          </cell>
          <cell r="M41">
            <v>100</v>
          </cell>
        </row>
        <row r="42">
          <cell r="G42" t="str">
            <v>=PHDGetData("192.168.32.16", C42, 'DCS Input Data'!$E$1, 'DCS Input Data'!$E$2, "", "Average", "OVERALL REDUCTION", 0, "Before", UNI_RET_TAG+UNI_RET_DESC+UNI_RET_UNIT+UNI_RET_TIME+UNI_RET_VALUE+UNI_RET_CONF, UNI_NOTHING)</v>
          </cell>
          <cell r="H42" t="str">
            <v>DEGF</v>
          </cell>
          <cell r="I42" t="str">
            <v>DEA OUTLET WATER TEMP</v>
          </cell>
          <cell r="J42" t="str">
            <v>Average</v>
          </cell>
          <cell r="K42">
            <v>38906.708333333336</v>
          </cell>
          <cell r="L42">
            <v>376.0406463623047</v>
          </cell>
          <cell r="M42">
            <v>100</v>
          </cell>
        </row>
        <row r="43">
          <cell r="G43" t="str">
            <v>=PHDGetData("192.168.32.16", C43, 'DCS Input Data'!$E$1, 'DCS Input Data'!$E$2, "", "Average", "OVERALL REDUCTION", 0, "Before", UNI_RET_TAG+UNI_RET_DESC+UNI_RET_UNIT+UNI_RET_TIME+UNI_RET_VALUE+UNI_RET_CONF, UNI_NOTHING)</v>
          </cell>
          <cell r="H43" t="str">
            <v>KPPH</v>
          </cell>
          <cell r="I43" t="str">
            <v>WATER TO DEAREATOR FLOW</v>
          </cell>
          <cell r="J43" t="str">
            <v>Average</v>
          </cell>
          <cell r="K43">
            <v>38906.708333333336</v>
          </cell>
          <cell r="L43">
            <v>1738.2004007975261</v>
          </cell>
          <cell r="M43">
            <v>100</v>
          </cell>
        </row>
        <row r="45">
          <cell r="G45" t="str">
            <v>=PHDGetData("192.168.32.16", C45, 'DCS Input Data'!$E$1, 'DCS Input Data'!$E$2, "", "Average", "OVERALL REDUCTION", 0, "Before", UNI_RET_TAG+UNI_RET_DESC+UNI_RET_UNIT+UNI_RET_TIME+UNI_RET_VALUE+UNI_RET_CONF, UNI_NOTHING)</v>
          </cell>
          <cell r="H45" t="str">
            <v>DEGF</v>
          </cell>
          <cell r="I45" t="str">
            <v>BFP3 DISCHARGE FW TEMP</v>
          </cell>
          <cell r="J45" t="str">
            <v>Average</v>
          </cell>
          <cell r="K45">
            <v>38906.708333333336</v>
          </cell>
          <cell r="L45">
            <v>383.11655324300131</v>
          </cell>
          <cell r="M45">
            <v>100</v>
          </cell>
        </row>
        <row r="46">
          <cell r="G46" t="str">
            <v>=PHDGetData("192.168.32.16", C46, 'DCS Input Data'!$E$1, 'DCS Input Data'!$E$2, "", "Average", "OVERALL REDUCTION", 0, "Before", UNI_RET_TAG+UNI_RET_DESC+UNI_RET_UNIT+UNI_RET_TIME+UNI_RET_VALUE+UNI_RET_CONF, UNI_NOTHING)</v>
          </cell>
          <cell r="H46" t="str">
            <v>DEGF</v>
          </cell>
          <cell r="I46" t="str">
            <v>FWHTR 32 FEEDWTR IN TEMP</v>
          </cell>
          <cell r="J46" t="str">
            <v>Average</v>
          </cell>
          <cell r="K46">
            <v>38906.708333333336</v>
          </cell>
          <cell r="L46">
            <v>383.65053812662762</v>
          </cell>
          <cell r="M46">
            <v>100</v>
          </cell>
        </row>
        <row r="47">
          <cell r="G47" t="str">
            <v>=PHDGetData("192.168.32.16", C47, 'DCS Input Data'!$E$1, 'DCS Input Data'!$E$2, "", "Average", "OVERALL REDUCTION", 0, "Before", UNI_RET_TAG+UNI_RET_DESC+UNI_RET_UNIT+UNI_RET_TIME+UNI_RET_VALUE+UNI_RET_CONF, UNI_NOTHING)</v>
          </cell>
          <cell r="H47" t="str">
            <v>DEGF</v>
          </cell>
          <cell r="I47" t="str">
            <v>FWHTR 31 FEEDWTR IN TEMP</v>
          </cell>
          <cell r="J47" t="str">
            <v>Average</v>
          </cell>
          <cell r="K47">
            <v>38906.708333333336</v>
          </cell>
          <cell r="L47">
            <v>408.49393717447919</v>
          </cell>
          <cell r="M47">
            <v>100</v>
          </cell>
        </row>
        <row r="48">
          <cell r="G48" t="str">
            <v>=PHDGetData("192.168.32.16", C48, 'DCS Input Data'!$E$1, 'DCS Input Data'!$E$2, "", "Average", "OVERALL REDUCTION", 0, "Before", UNI_RET_TAG+UNI_RET_DESC+UNI_RET_UNIT+UNI_RET_TIME+UNI_RET_VALUE+UNI_RET_CONF, UNI_NOTHING)</v>
          </cell>
          <cell r="H48" t="str">
            <v>DEGF</v>
          </cell>
          <cell r="I48" t="str">
            <v>FWHTR 31 OUTLET FW TEMP</v>
          </cell>
          <cell r="J48" t="str">
            <v>Average</v>
          </cell>
          <cell r="K48">
            <v>38906.708333333336</v>
          </cell>
          <cell r="L48">
            <v>467.27963155110677</v>
          </cell>
          <cell r="M48">
            <v>100</v>
          </cell>
        </row>
        <row r="49">
          <cell r="G49" t="str">
            <v>=PHDGetData("192.168.32.16", C49, 'DCS Input Data'!$E$1, 'DCS Input Data'!$E$2, "", "Average", "OVERALL REDUCTION", 0, "Before", UNI_RET_TAG+UNI_RET_DESC+UNI_RET_UNIT+UNI_RET_TIME+UNI_RET_VALUE+UNI_RET_CONF, UNI_NOTHING)</v>
          </cell>
          <cell r="H49" t="str">
            <v>DEGF</v>
          </cell>
          <cell r="I49" t="str">
            <v>ECON FEEDWATER IN TEMP</v>
          </cell>
          <cell r="J49" t="str">
            <v>Average</v>
          </cell>
          <cell r="K49">
            <v>38906.708333333336</v>
          </cell>
          <cell r="L49">
            <v>460.05247141520181</v>
          </cell>
          <cell r="M49">
            <v>100</v>
          </cell>
        </row>
        <row r="50">
          <cell r="G50" t="str">
            <v>=PHDGetData("192.168.32.16", C50, 'DCS Input Data'!$E$1, 'DCS Input Data'!$E$2, "", "Average", "OVERALL REDUCTION", 0, "Before", UNI_RET_TAG+UNI_RET_DESC+UNI_RET_UNIT+UNI_RET_TIME+UNI_RET_VALUE+UNI_RET_CONF, UNI_NOTHING)</v>
          </cell>
          <cell r="H50" t="str">
            <v>DEGF</v>
          </cell>
          <cell r="I50" t="str">
            <v>ECON FW EAST OUT TEMP</v>
          </cell>
          <cell r="J50" t="str">
            <v>Average</v>
          </cell>
          <cell r="K50">
            <v>38906.708333333336</v>
          </cell>
          <cell r="L50">
            <v>527.09891866048179</v>
          </cell>
          <cell r="M50">
            <v>100</v>
          </cell>
        </row>
        <row r="51">
          <cell r="G51" t="str">
            <v>=PHDGetData("192.168.32.16", C51, 'DCS Input Data'!$E$1, 'DCS Input Data'!$E$2, "", "Average", "OVERALL REDUCTION", 0, "Before", UNI_RET_TAG+UNI_RET_DESC+UNI_RET_UNIT+UNI_RET_TIME+UNI_RET_VALUE+UNI_RET_CONF, UNI_NOTHING)</v>
          </cell>
          <cell r="H51" t="str">
            <v>DEGF</v>
          </cell>
          <cell r="I51" t="str">
            <v>ECON FW WEST OUT TEMP</v>
          </cell>
          <cell r="J51" t="str">
            <v>Average</v>
          </cell>
          <cell r="K51">
            <v>38906.708333333336</v>
          </cell>
          <cell r="L51">
            <v>512.24968109130862</v>
          </cell>
          <cell r="M51">
            <v>100</v>
          </cell>
        </row>
        <row r="52">
          <cell r="G52" t="str">
            <v>=PHDGetData("192.168.32.16", C52, 'DCS Input Data'!$E$1, 'DCS Input Data'!$E$2, "", "Average", "OVERALL REDUCTION", 0, "Before", UNI_RET_TAG+UNI_RET_DESC+UNI_RET_UNIT+UNI_RET_TIME+UNI_RET_VALUE+UNI_RET_CONF, UNI_NOTHING)</v>
          </cell>
          <cell r="H52" t="str">
            <v>PSIG</v>
          </cell>
          <cell r="I52" t="str">
            <v>BFP DISCHARGE PRESSURE</v>
          </cell>
          <cell r="J52" t="str">
            <v>Average</v>
          </cell>
          <cell r="K52">
            <v>38906.708333333336</v>
          </cell>
          <cell r="L52">
            <v>2291.588651529948</v>
          </cell>
          <cell r="M52">
            <v>100</v>
          </cell>
        </row>
        <row r="53">
          <cell r="G53" t="str">
            <v>=PHDGetData("192.168.32.16", C53, 'DCS Input Data'!$E$1, 'DCS Input Data'!$E$2, "", "Average", "OVERALL REDUCTION", 0, "Before", UNI_RET_TAG+UNI_RET_DESC+UNI_RET_UNIT+UNI_RET_TIME+UNI_RET_VALUE+UNI_RET_CONF, UNI_NOTHING)</v>
          </cell>
          <cell r="H53" t="str">
            <v>PSIG</v>
          </cell>
          <cell r="I53" t="str">
            <v>ECON INLET FW PRESSURE</v>
          </cell>
          <cell r="J53" t="str">
            <v>Average</v>
          </cell>
          <cell r="K53">
            <v>38906.708333333336</v>
          </cell>
          <cell r="L53">
            <v>2212.6755696614582</v>
          </cell>
          <cell r="M53">
            <v>100</v>
          </cell>
        </row>
        <row r="54">
          <cell r="G54" t="str">
            <v>=PHDGetData("192.168.32.16", C54, 'DCS Input Data'!$E$1, 'DCS Input Data'!$E$2, "", "Average", "OVERALL REDUCTION", 0, "Before", UNI_RET_TAG+UNI_RET_DESC+UNI_RET_UNIT+UNI_RET_TIME+UNI_RET_VALUE+UNI_RET_CONF, UNI_NOTHING)</v>
          </cell>
          <cell r="H54" t="str">
            <v>KPPH</v>
          </cell>
          <cell r="I54" t="str">
            <v>FEEDWATER FLOW XMTR B</v>
          </cell>
          <cell r="J54" t="str">
            <v>Average</v>
          </cell>
          <cell r="K54">
            <v>38906.708333333336</v>
          </cell>
          <cell r="L54">
            <v>1965.1762430826823</v>
          </cell>
          <cell r="M54">
            <v>100</v>
          </cell>
        </row>
        <row r="55">
          <cell r="G55" t="str">
            <v>=PHDGetData("192.168.32.16", C55, 'DCS Input Data'!$E$1, 'DCS Input Data'!$E$2, "", "Average", "OVERALL REDUCTION", 0, "Before", UNI_RET_TAG+UNI_RET_DESC+UNI_RET_UNIT+UNI_RET_TIME+UNI_RET_VALUE+UNI_RET_CONF, UNI_NOTHING)</v>
          </cell>
          <cell r="H55" t="str">
            <v>INHG</v>
          </cell>
          <cell r="I55" t="str">
            <v>CONDENSER BACKPRESSURE</v>
          </cell>
          <cell r="J55" t="str">
            <v>Average</v>
          </cell>
          <cell r="K55">
            <v>38906.708333333336</v>
          </cell>
          <cell r="L55">
            <v>3.3569846153259277</v>
          </cell>
          <cell r="M55">
            <v>100</v>
          </cell>
        </row>
        <row r="56">
          <cell r="G56" t="str">
            <v>=PHDGetData("192.168.32.16", C56, 'DCS Input Data'!$E$1, 'DCS Input Data'!$E$2, "", "Average", "OVERALL REDUCTION", 0, "Before", UNI_RET_TAG+UNI_RET_DESC+UNI_RET_UNIT+UNI_RET_TIME+UNI_RET_VALUE+UNI_RET_CONF, UNI_NOTHING)</v>
          </cell>
          <cell r="H56" t="str">
            <v>MW</v>
          </cell>
          <cell r="I56" t="str">
            <v>GEN GROSS MW</v>
          </cell>
          <cell r="J56" t="str">
            <v>Average</v>
          </cell>
          <cell r="K56">
            <v>38906.708333333336</v>
          </cell>
          <cell r="L56">
            <v>284.99747645060222</v>
          </cell>
          <cell r="M56">
            <v>100</v>
          </cell>
        </row>
        <row r="57">
          <cell r="G57" t="str">
            <v>=PHDGetData("192.168.32.16", C57, 'DCS Input Data'!$E$1, 'DCS Input Data'!$E$2, "", "Average", "OVERALL REDUCTION", 0, "Before", UNI_RET_TAG+UNI_RET_DESC+UNI_RET_UNIT+UNI_RET_TIME+UNI_RET_VALUE+UNI_RET_CONF, UNI_NOTHING)</v>
          </cell>
          <cell r="H57" t="str">
            <v>MVAR</v>
          </cell>
          <cell r="I57" t="str">
            <v>GENERATOR MEGAVARS</v>
          </cell>
          <cell r="J57" t="str">
            <v>Average</v>
          </cell>
          <cell r="K57">
            <v>38906.708333333336</v>
          </cell>
          <cell r="L57">
            <v>86.843930816650385</v>
          </cell>
          <cell r="M57">
            <v>100</v>
          </cell>
        </row>
        <row r="58">
          <cell r="G58" t="str">
            <v>=PHDGetData("192.168.32.16", C58, 'DCS Input Data'!$E$1, 'DCS Input Data'!$E$2, "", "Average", "OVERALL REDUCTION", 0, "Before", UNI_RET_TAG+UNI_RET_DESC+UNI_RET_UNIT+UNI_RET_TIME+UNI_RET_VALUE+UNI_RET_CONF, UNI_NOTHING)</v>
          </cell>
          <cell r="H58" t="str">
            <v>MW</v>
          </cell>
          <cell r="I58" t="str">
            <v>UNIT AUX. XFMR MEGAWATTS</v>
          </cell>
          <cell r="J58" t="str">
            <v>Average</v>
          </cell>
          <cell r="K58">
            <v>38906.708333333336</v>
          </cell>
          <cell r="L58">
            <v>9.6129369735717773</v>
          </cell>
          <cell r="M58">
            <v>100</v>
          </cell>
        </row>
        <row r="59">
          <cell r="G59" t="str">
            <v>=PHDGetData("192.168.32.16", C59, 'DCS Input Data'!$E$1, 'DCS Input Data'!$E$2, "", "Average", "OVERALL REDUCTION", 0, "Before", UNI_RET_TAG+UNI_RET_DESC+UNI_RET_UNIT+UNI_RET_TIME+UNI_RET_VALUE+UNI_RET_CONF, UNI_NOTHING)</v>
          </cell>
          <cell r="H59" t="str">
            <v>MW</v>
          </cell>
          <cell r="I59" t="str">
            <v>R.S. XFMR MEGAWATTS</v>
          </cell>
          <cell r="J59" t="str">
            <v>Average</v>
          </cell>
          <cell r="K59">
            <v>38906.708333333336</v>
          </cell>
          <cell r="L59">
            <v>0.15234375</v>
          </cell>
          <cell r="M59">
            <v>100</v>
          </cell>
        </row>
        <row r="60">
          <cell r="G60" t="str">
            <v>=PHDGetData("192.168.32.16", C60, 'DCS Input Data'!$E$1, 'DCS Input Data'!$E$2, "", "Average", "OVERALL REDUCTION", 0, "Before", UNI_RET_TAG+UNI_RET_DESC+UNI_RET_UNIT+UNI_RET_TIME+UNI_RET_VALUE+UNI_RET_CONF, UNI_NOTHING)</v>
          </cell>
          <cell r="H60" t="str">
            <v>DEGF</v>
          </cell>
          <cell r="I60" t="str">
            <v>PULV 3A COAL-AIR TEMP</v>
          </cell>
          <cell r="J60" t="str">
            <v>Average</v>
          </cell>
          <cell r="K60">
            <v>38906.708333333336</v>
          </cell>
          <cell r="L60">
            <v>144.98988444010416</v>
          </cell>
          <cell r="M60">
            <v>100</v>
          </cell>
        </row>
        <row r="61">
          <cell r="G61" t="str">
            <v>=PHDGetData("192.168.32.16", C61, 'DCS Input Data'!$E$1, 'DCS Input Data'!$E$2, "", "Average", "OVERALL REDUCTION", 0, "Before", UNI_RET_TAG+UNI_RET_DESC+UNI_RET_UNIT+UNI_RET_TIME+UNI_RET_VALUE+UNI_RET_CONF, UNI_NOTHING)</v>
          </cell>
          <cell r="H61" t="str">
            <v>DEGF</v>
          </cell>
          <cell r="I61" t="str">
            <v>PULV 3B COAL-AIR TEMP</v>
          </cell>
          <cell r="J61" t="str">
            <v>Average</v>
          </cell>
          <cell r="K61">
            <v>38906.708333333336</v>
          </cell>
          <cell r="L61">
            <v>145.00868326822916</v>
          </cell>
          <cell r="M61">
            <v>100</v>
          </cell>
        </row>
        <row r="62">
          <cell r="G62" t="str">
            <v>=PHDGetData("192.168.32.16", C62, 'DCS Input Data'!$E$1, 'DCS Input Data'!$E$2, "", "Average", "OVERALL REDUCTION", 0, "Before", UNI_RET_TAG+UNI_RET_DESC+UNI_RET_UNIT+UNI_RET_TIME+UNI_RET_VALUE+UNI_RET_CONF, UNI_NOTHING)</v>
          </cell>
          <cell r="H62" t="str">
            <v>DEGF</v>
          </cell>
          <cell r="I62" t="str">
            <v>PULV 3C COAL-AIR TEMP</v>
          </cell>
          <cell r="J62" t="str">
            <v>Average</v>
          </cell>
          <cell r="K62">
            <v>38906.708333333336</v>
          </cell>
          <cell r="L62">
            <v>144.98954925537109</v>
          </cell>
          <cell r="M62">
            <v>100</v>
          </cell>
        </row>
        <row r="63">
          <cell r="G63" t="str">
            <v>=PHDGetData("192.168.32.16", C63, 'DCS Input Data'!$E$1, 'DCS Input Data'!$E$2, "", "Average", "OVERALL REDUCTION", 0, "Before", UNI_RET_TAG+UNI_RET_DESC+UNI_RET_UNIT+UNI_RET_TIME+UNI_RET_VALUE+UNI_RET_CONF, UNI_NOTHING)</v>
          </cell>
          <cell r="H63" t="str">
            <v>DEGF</v>
          </cell>
          <cell r="I63" t="str">
            <v>PULV 3D COAL-AIR TEMP</v>
          </cell>
          <cell r="J63" t="str">
            <v>Average</v>
          </cell>
          <cell r="K63">
            <v>38906.708333333336</v>
          </cell>
          <cell r="L63">
            <v>144.95888773600259</v>
          </cell>
          <cell r="M63">
            <v>100</v>
          </cell>
        </row>
        <row r="64">
          <cell r="G64" t="str">
            <v>=PHDGetData("192.168.32.16", C64, 'DCS Input Data'!$E$1, 'DCS Input Data'!$E$2, "", "Average", "OVERALL REDUCTION", 0, "Before", UNI_RET_TAG+UNI_RET_DESC+UNI_RET_UNIT+UNI_RET_TIME+UNI_RET_VALUE+UNI_RET_CONF, UNI_NOTHING)</v>
          </cell>
          <cell r="H64" t="str">
            <v>DEGF</v>
          </cell>
          <cell r="I64" t="str">
            <v>PULV 3E COAL-AIR TEMP</v>
          </cell>
          <cell r="J64" t="str">
            <v>Average</v>
          </cell>
          <cell r="K64">
            <v>38906.708333333336</v>
          </cell>
          <cell r="L64">
            <v>144.93505401611327</v>
          </cell>
          <cell r="M64">
            <v>100</v>
          </cell>
        </row>
        <row r="65">
          <cell r="G65" t="str">
            <v>=PHDGetData("192.168.32.16", C65, 'DCS Input Data'!$E$1, 'DCS Input Data'!$E$2, "", "Average", "OVERALL REDUCTION", 0, "Before", UNI_RET_TAG+UNI_RET_DESC+UNI_RET_UNIT+UNI_RET_TIME+UNI_RET_VALUE+UNI_RET_CONF, UNI_NOTHING)</v>
          </cell>
          <cell r="H65" t="str">
            <v>DEGF</v>
          </cell>
          <cell r="I65" t="str">
            <v>PULV 3F COAL-AIR TEMP</v>
          </cell>
          <cell r="J65" t="str">
            <v>Average</v>
          </cell>
          <cell r="K65">
            <v>38906.708333333336</v>
          </cell>
          <cell r="L65">
            <v>145.03139979044596</v>
          </cell>
          <cell r="M65">
            <v>100</v>
          </cell>
        </row>
        <row r="66">
          <cell r="G66" t="str">
            <v>=PHDGetData("192.168.32.16", C66, 'DCS Input Data'!$E$1, 'DCS Input Data'!$E$2, "", "Average", "OVERALL REDUCTION", 0, "Before", UNI_RET_TAG+UNI_RET_DESC+UNI_RET_UNIT+UNI_RET_TIME+UNI_RET_VALUE+UNI_RET_CONF, UNI_NOTHING)</v>
          </cell>
          <cell r="H66" t="str">
            <v>INWG</v>
          </cell>
          <cell r="I66" t="str">
            <v>PA 3A DIFFERENTIAL PRESS</v>
          </cell>
          <cell r="J66" t="str">
            <v>Average</v>
          </cell>
          <cell r="K66">
            <v>38906.708333333336</v>
          </cell>
          <cell r="L66">
            <v>3.3180253065956964</v>
          </cell>
          <cell r="M66">
            <v>100</v>
          </cell>
        </row>
        <row r="67">
          <cell r="G67" t="str">
            <v>=PHDGetData("192.168.32.16", C67, 'DCS Input Data'!$E$1, 'DCS Input Data'!$E$2, "", "Average", "OVERALL REDUCTION", 0, "Before", UNI_RET_TAG+UNI_RET_DESC+UNI_RET_UNIT+UNI_RET_TIME+UNI_RET_VALUE+UNI_RET_CONF, UNI_NOTHING)</v>
          </cell>
          <cell r="H67" t="str">
            <v>INWG</v>
          </cell>
          <cell r="I67" t="str">
            <v>PA 3B DIFFERENTIAL PRESS</v>
          </cell>
          <cell r="J67" t="str">
            <v>Average</v>
          </cell>
          <cell r="K67">
            <v>38906.708333333336</v>
          </cell>
          <cell r="L67">
            <v>3.8710552112923726</v>
          </cell>
          <cell r="M67">
            <v>100</v>
          </cell>
        </row>
        <row r="68">
          <cell r="G68" t="str">
            <v>=PHDGetData("192.168.32.16", C68, 'DCS Input Data'!$E$1, 'DCS Input Data'!$E$2, "", "Average", "OVERALL REDUCTION", 0, "Before", UNI_RET_TAG+UNI_RET_DESC+UNI_RET_UNIT+UNI_RET_TIME+UNI_RET_VALUE+UNI_RET_CONF, UNI_NOTHING)</v>
          </cell>
          <cell r="H68" t="str">
            <v>INWG</v>
          </cell>
          <cell r="I68" t="str">
            <v>PA 3C DIFFERENTIAL PRESS</v>
          </cell>
          <cell r="J68" t="str">
            <v>Average</v>
          </cell>
          <cell r="K68">
            <v>38906.708333333336</v>
          </cell>
          <cell r="L68">
            <v>3.4785076389047833</v>
          </cell>
          <cell r="M68">
            <v>100</v>
          </cell>
        </row>
        <row r="69">
          <cell r="G69" t="str">
            <v>=PHDGetData("192.168.32.16", C69, 'DCS Input Data'!$E$1, 'DCS Input Data'!$E$2, "", "Average", "OVERALL REDUCTION", 0, "Before", UNI_RET_TAG+UNI_RET_DESC+UNI_RET_UNIT+UNI_RET_TIME+UNI_RET_VALUE+UNI_RET_CONF, UNI_NOTHING)</v>
          </cell>
          <cell r="H69" t="str">
            <v>INWG</v>
          </cell>
          <cell r="I69" t="str">
            <v>PA 3D DIFFERENTIAL PRESS</v>
          </cell>
          <cell r="J69" t="str">
            <v>Average</v>
          </cell>
          <cell r="K69">
            <v>38906.708333333336</v>
          </cell>
          <cell r="L69">
            <v>3.3232305966483224</v>
          </cell>
          <cell r="M69">
            <v>100</v>
          </cell>
        </row>
        <row r="70">
          <cell r="G70" t="str">
            <v>=PHDGetData("192.168.32.16", C70, 'DCS Input Data'!$E$1, 'DCS Input Data'!$E$2, "", "Average", "OVERALL REDUCTION", 0, "Before", UNI_RET_TAG+UNI_RET_DESC+UNI_RET_UNIT+UNI_RET_TIME+UNI_RET_VALUE+UNI_RET_CONF, UNI_NOTHING)</v>
          </cell>
          <cell r="H70" t="str">
            <v>INWG</v>
          </cell>
          <cell r="I70" t="str">
            <v>PA 3E DIFFERENTIAL PRESS</v>
          </cell>
          <cell r="J70" t="str">
            <v>Average</v>
          </cell>
          <cell r="K70">
            <v>38906.708333333336</v>
          </cell>
          <cell r="L70">
            <v>3.4321974341736898</v>
          </cell>
          <cell r="M70">
            <v>100</v>
          </cell>
        </row>
        <row r="71">
          <cell r="G71" t="str">
            <v>=PHDGetData("192.168.32.16", C71, 'DCS Input Data'!$E$1, 'DCS Input Data'!$E$2, "", "Average", "OVERALL REDUCTION", 0, "Before", UNI_RET_TAG+UNI_RET_DESC+UNI_RET_UNIT+UNI_RET_TIME+UNI_RET_VALUE+UNI_RET_CONF, UNI_NOTHING)</v>
          </cell>
          <cell r="H71" t="str">
            <v>INWG</v>
          </cell>
          <cell r="I71" t="str">
            <v>PA 3F DIFFERENTIAL PRESS</v>
          </cell>
          <cell r="J71" t="str">
            <v>Average</v>
          </cell>
          <cell r="K71">
            <v>38906.708333333336</v>
          </cell>
          <cell r="L71">
            <v>2.9299862276845507</v>
          </cell>
          <cell r="M71">
            <v>100</v>
          </cell>
        </row>
        <row r="72">
          <cell r="G72" t="str">
            <v>=PHDGetData("192.168.32.16", C72, 'DCS Input Data'!$E$1, 'DCS Input Data'!$E$2, "", "Average", "OVERALL REDUCTION", 0, "Before", UNI_RET_TAG+UNI_RET_DESC+UNI_RET_UNIT+UNI_RET_TIME+UNI_RET_VALUE+UNI_RET_CONF, UNI_NOTHING)</v>
          </cell>
          <cell r="H72" t="str">
            <v>INWG</v>
          </cell>
          <cell r="I72" t="str">
            <v>PULV3A DIFFERENTIAL PRES</v>
          </cell>
          <cell r="J72" t="str">
            <v>Average</v>
          </cell>
          <cell r="K72">
            <v>38906.708333333336</v>
          </cell>
          <cell r="L72">
            <v>16.416795333226521</v>
          </cell>
          <cell r="M72">
            <v>100</v>
          </cell>
        </row>
        <row r="73">
          <cell r="G73" t="str">
            <v>=PHDGetData("192.168.32.16", C73, 'DCS Input Data'!$E$1, 'DCS Input Data'!$E$2, "", "Average", "OVERALL REDUCTION", 0, "Before", UNI_RET_TAG+UNI_RET_DESC+UNI_RET_UNIT+UNI_RET_TIME+UNI_RET_VALUE+UNI_RET_CONF, UNI_NOTHING)</v>
          </cell>
          <cell r="H73" t="str">
            <v>INWG</v>
          </cell>
          <cell r="I73" t="str">
            <v>PULV3B DIFFERENTIAL PRES</v>
          </cell>
          <cell r="J73" t="str">
            <v>Average</v>
          </cell>
          <cell r="K73">
            <v>38906.708333333336</v>
          </cell>
          <cell r="L73">
            <v>14.571684659851922</v>
          </cell>
          <cell r="M73">
            <v>100</v>
          </cell>
        </row>
        <row r="74">
          <cell r="G74" t="str">
            <v>=PHDGetData("192.168.32.16", C74, 'DCS Input Data'!$E$1, 'DCS Input Data'!$E$2, "", "Average", "OVERALL REDUCTION", 0, "Before", UNI_RET_TAG+UNI_RET_DESC+UNI_RET_UNIT+UNI_RET_TIME+UNI_RET_VALUE+UNI_RET_CONF, UNI_NOTHING)</v>
          </cell>
          <cell r="H74" t="str">
            <v>INWG</v>
          </cell>
          <cell r="I74" t="str">
            <v>PULV3C DIFFERENTIAL PRES</v>
          </cell>
          <cell r="J74" t="str">
            <v>Average</v>
          </cell>
          <cell r="K74">
            <v>38906.708333333336</v>
          </cell>
          <cell r="L74">
            <v>16.595012377103171</v>
          </cell>
          <cell r="M74">
            <v>100</v>
          </cell>
        </row>
        <row r="75">
          <cell r="G75" t="str">
            <v>=PHDGetData("192.168.32.16", C75, 'DCS Input Data'!$E$1, 'DCS Input Data'!$E$2, "", "Average", "OVERALL REDUCTION", 0, "Before", UNI_RET_TAG+UNI_RET_DESC+UNI_RET_UNIT+UNI_RET_TIME+UNI_RET_VALUE+UNI_RET_CONF, UNI_NOTHING)</v>
          </cell>
          <cell r="H75" t="str">
            <v>INWG</v>
          </cell>
          <cell r="I75" t="str">
            <v>PULV3D DIFFERENTIAL PRES</v>
          </cell>
          <cell r="J75" t="str">
            <v>Average</v>
          </cell>
          <cell r="K75">
            <v>38906.708333333336</v>
          </cell>
          <cell r="L75">
            <v>18.168851028548346</v>
          </cell>
          <cell r="M75">
            <v>100</v>
          </cell>
        </row>
        <row r="76">
          <cell r="G76" t="str">
            <v>=PHDGetData("192.168.32.16", C76, 'DCS Input Data'!$E$1, 'DCS Input Data'!$E$2, "", "Average", "OVERALL REDUCTION", 0, "Before", UNI_RET_TAG+UNI_RET_DESC+UNI_RET_UNIT+UNI_RET_TIME+UNI_RET_VALUE+UNI_RET_CONF, UNI_NOTHING)</v>
          </cell>
          <cell r="H76" t="str">
            <v>INWG</v>
          </cell>
          <cell r="I76" t="str">
            <v>PULV3E DIFFERENTIAL PRES</v>
          </cell>
          <cell r="J76" t="str">
            <v>Average</v>
          </cell>
          <cell r="K76">
            <v>38906.708333333336</v>
          </cell>
          <cell r="L76">
            <v>16.136294860310024</v>
          </cell>
          <cell r="M76">
            <v>100</v>
          </cell>
        </row>
        <row r="77">
          <cell r="G77" t="str">
            <v>=PHDGetData("192.168.32.16", C77, 'DCS Input Data'!$E$1, 'DCS Input Data'!$E$2, "", "Average", "OVERALL REDUCTION", 0, "Before", UNI_RET_TAG+UNI_RET_DESC+UNI_RET_UNIT+UNI_RET_TIME+UNI_RET_VALUE+UNI_RET_CONF, UNI_NOTHING)</v>
          </cell>
          <cell r="H77" t="str">
            <v>INWG</v>
          </cell>
          <cell r="I77" t="str">
            <v>PULV3F DIFFERENTIAL PRES</v>
          </cell>
          <cell r="J77" t="str">
            <v>Average</v>
          </cell>
          <cell r="K77">
            <v>38906.708333333336</v>
          </cell>
          <cell r="L77">
            <v>15.985525180763668</v>
          </cell>
          <cell r="M77">
            <v>100</v>
          </cell>
        </row>
        <row r="78">
          <cell r="G78" t="str">
            <v>=PHDGetData("192.168.32.16", C78, 'DCS Input Data'!$E$1, 'DCS Input Data'!$E$2, "", "Average", "OVERALL REDUCTION", 0, "Before", UNI_RET_TAG+UNI_RET_DESC+UNI_RET_UNIT+UNI_RET_TIME+UNI_RET_VALUE+UNI_RET_CONF, UNI_NOTHING)</v>
          </cell>
          <cell r="H78" t="str">
            <v>INWG</v>
          </cell>
          <cell r="I78" t="str">
            <v>PULV 3A DISCHARGE PRESS</v>
          </cell>
          <cell r="J78" t="str">
            <v>Average</v>
          </cell>
          <cell r="K78">
            <v>38906.708333333336</v>
          </cell>
          <cell r="L78">
            <v>19.128575715488857</v>
          </cell>
          <cell r="M78">
            <v>100</v>
          </cell>
        </row>
        <row r="79">
          <cell r="G79" t="str">
            <v>=PHDGetData("192.168.32.16", C79, 'DCS Input Data'!$E$1, 'DCS Input Data'!$E$2, "", "Average", "OVERALL REDUCTION", 0, "Before", UNI_RET_TAG+UNI_RET_DESC+UNI_RET_UNIT+UNI_RET_TIME+UNI_RET_VALUE+UNI_RET_CONF, UNI_NOTHING)</v>
          </cell>
          <cell r="H79" t="str">
            <v>INWG</v>
          </cell>
          <cell r="I79" t="str">
            <v>PULV 3B DISCHARGE PRESS</v>
          </cell>
          <cell r="J79" t="str">
            <v>Average</v>
          </cell>
          <cell r="K79">
            <v>38906.708333333336</v>
          </cell>
          <cell r="L79">
            <v>15.970614976618025</v>
          </cell>
          <cell r="M79">
            <v>100</v>
          </cell>
        </row>
        <row r="80">
          <cell r="G80" t="str">
            <v>=PHDGetData("192.168.32.16", C80, 'DCS Input Data'!$E$1, 'DCS Input Data'!$E$2, "", "Average", "OVERALL REDUCTION", 0, "Before", UNI_RET_TAG+UNI_RET_DESC+UNI_RET_UNIT+UNI_RET_TIME+UNI_RET_VALUE+UNI_RET_CONF, UNI_NOTHING)</v>
          </cell>
          <cell r="H80" t="str">
            <v>INWG</v>
          </cell>
          <cell r="I80" t="str">
            <v>PULV 3C DISCHARGE PRESS</v>
          </cell>
          <cell r="J80" t="str">
            <v>Average</v>
          </cell>
          <cell r="K80">
            <v>38906.708333333336</v>
          </cell>
          <cell r="L80">
            <v>12.355793483257294</v>
          </cell>
          <cell r="M80">
            <v>100</v>
          </cell>
        </row>
        <row r="81">
          <cell r="G81" t="str">
            <v>=PHDGetData("192.168.32.16", C81, 'DCS Input Data'!$E$1, 'DCS Input Data'!$E$2, "", "Average", "OVERALL REDUCTION", 0, "Before", UNI_RET_TAG+UNI_RET_DESC+UNI_RET_UNIT+UNI_RET_TIME+UNI_RET_VALUE+UNI_RET_CONF, UNI_NOTHING)</v>
          </cell>
          <cell r="H81" t="str">
            <v>INWG</v>
          </cell>
          <cell r="I81" t="str">
            <v>PULV 3D DISCHARGE PRESS</v>
          </cell>
          <cell r="J81" t="str">
            <v>Average</v>
          </cell>
          <cell r="K81">
            <v>38906.708333333336</v>
          </cell>
          <cell r="L81">
            <v>12.397278325557709</v>
          </cell>
          <cell r="M81">
            <v>100</v>
          </cell>
        </row>
        <row r="82">
          <cell r="G82" t="str">
            <v>=PHDGetData("192.168.32.16", C82, 'DCS Input Data'!$E$1, 'DCS Input Data'!$E$2, "", "Average", "OVERALL REDUCTION", 0, "Before", UNI_RET_TAG+UNI_RET_DESC+UNI_RET_UNIT+UNI_RET_TIME+UNI_RET_VALUE+UNI_RET_CONF, UNI_NOTHING)</v>
          </cell>
          <cell r="H82" t="str">
            <v>INWG</v>
          </cell>
          <cell r="I82" t="str">
            <v>PULV 3E DISCHARGE PRESS</v>
          </cell>
          <cell r="J82" t="str">
            <v>Average</v>
          </cell>
          <cell r="K82">
            <v>38906.708333333336</v>
          </cell>
          <cell r="L82">
            <v>15.110181508594088</v>
          </cell>
          <cell r="M82">
            <v>100</v>
          </cell>
        </row>
        <row r="83">
          <cell r="G83" t="str">
            <v>=PHDGetData("192.168.32.16", C83, 'DCS Input Data'!$E$1, 'DCS Input Data'!$E$2, "", "Average", "OVERALL REDUCTION", 0, "Before", UNI_RET_TAG+UNI_RET_DESC+UNI_RET_UNIT+UNI_RET_TIME+UNI_RET_VALUE+UNI_RET_CONF, UNI_NOTHING)</v>
          </cell>
          <cell r="H83" t="str">
            <v>INWG</v>
          </cell>
          <cell r="I83" t="str">
            <v>PULV 3F DISCHARGE PRESS</v>
          </cell>
          <cell r="J83" t="str">
            <v>Average</v>
          </cell>
          <cell r="K83">
            <v>38906.708333333336</v>
          </cell>
          <cell r="L83">
            <v>16.062703793048858</v>
          </cell>
          <cell r="M83">
            <v>100</v>
          </cell>
        </row>
        <row r="84">
          <cell r="G84" t="str">
            <v>=PHDGetData("192.168.32.16", C84, 'DCS Input Data'!$E$1, 'DCS Input Data'!$E$2, "", "Average", "OVERALL REDUCTION", 0, "Before", UNI_RET_TAG+UNI_RET_DESC+UNI_RET_UNIT+UNI_RET_TIME+UNI_RET_VALUE+UNI_RET_CONF, UNI_NOTHING)</v>
          </cell>
          <cell r="H84" t="str">
            <v>DEGF</v>
          </cell>
          <cell r="I84" t="str">
            <v>PULV 3A INLET AIR TEMP</v>
          </cell>
          <cell r="J84" t="str">
            <v>Average</v>
          </cell>
          <cell r="K84">
            <v>38906.708333333336</v>
          </cell>
          <cell r="L84">
            <v>370.68718450758195</v>
          </cell>
          <cell r="M84">
            <v>100</v>
          </cell>
        </row>
        <row r="85">
          <cell r="G85" t="str">
            <v>=PHDGetData("192.168.32.16", C85, 'DCS Input Data'!$E$1, 'DCS Input Data'!$E$2, "", "Average", "OVERALL REDUCTION", 0, "Before", UNI_RET_TAG+UNI_RET_DESC+UNI_RET_UNIT+UNI_RET_TIME+UNI_RET_VALUE+UNI_RET_CONF, UNI_NOTHING)</v>
          </cell>
          <cell r="H85" t="str">
            <v>DEGF</v>
          </cell>
          <cell r="I85" t="str">
            <v>PULV 3B INLET AIR TEMP</v>
          </cell>
          <cell r="J85" t="str">
            <v>Average</v>
          </cell>
          <cell r="K85">
            <v>38906.708333333336</v>
          </cell>
          <cell r="L85">
            <v>384.75917995876733</v>
          </cell>
          <cell r="M85">
            <v>100</v>
          </cell>
        </row>
        <row r="86">
          <cell r="G86" t="str">
            <v>=PHDGetData("192.168.32.16", C86, 'DCS Input Data'!$E$1, 'DCS Input Data'!$E$2, "", "Average", "OVERALL REDUCTION", 0, "Before", UNI_RET_TAG+UNI_RET_DESC+UNI_RET_UNIT+UNI_RET_TIME+UNI_RET_VALUE+UNI_RET_CONF, UNI_NOTHING)</v>
          </cell>
          <cell r="H86" t="str">
            <v>DEGF</v>
          </cell>
          <cell r="I86" t="str">
            <v>PULV 3C INLET AIR TEMP</v>
          </cell>
          <cell r="J86" t="str">
            <v>Average</v>
          </cell>
          <cell r="K86">
            <v>38906.708333333336</v>
          </cell>
          <cell r="L86">
            <v>362.7864525095622</v>
          </cell>
          <cell r="M86">
            <v>100</v>
          </cell>
        </row>
        <row r="87">
          <cell r="G87" t="str">
            <v>=PHDGetData("192.168.32.16", C87, 'DCS Input Data'!$E$1, 'DCS Input Data'!$E$2, "", "Average", "OVERALL REDUCTION", 0, "Before", UNI_RET_TAG+UNI_RET_DESC+UNI_RET_UNIT+UNI_RET_TIME+UNI_RET_VALUE+UNI_RET_CONF, UNI_NOTHING)</v>
          </cell>
          <cell r="H87" t="str">
            <v>DEGF</v>
          </cell>
          <cell r="I87" t="str">
            <v>PULV 3D INLET AIR TEMP</v>
          </cell>
          <cell r="J87" t="str">
            <v>Average</v>
          </cell>
          <cell r="K87">
            <v>38906.708333333336</v>
          </cell>
          <cell r="L87">
            <v>347.67297812567818</v>
          </cell>
          <cell r="M87">
            <v>100</v>
          </cell>
        </row>
        <row r="88">
          <cell r="G88" t="str">
            <v>=PHDGetData("192.168.32.16", C88, 'DCS Input Data'!$E$1, 'DCS Input Data'!$E$2, "", "Average", "OVERALL REDUCTION", 0, "Before", UNI_RET_TAG+UNI_RET_DESC+UNI_RET_UNIT+UNI_RET_TIME+UNI_RET_VALUE+UNI_RET_CONF, UNI_NOTHING)</v>
          </cell>
          <cell r="H88" t="str">
            <v>DEGF</v>
          </cell>
          <cell r="I88" t="str">
            <v>PULV 3E INLET AIR TEMP</v>
          </cell>
          <cell r="J88" t="str">
            <v>Average</v>
          </cell>
          <cell r="K88">
            <v>38906.708333333336</v>
          </cell>
          <cell r="L88">
            <v>379.98283512539336</v>
          </cell>
          <cell r="M88">
            <v>100</v>
          </cell>
        </row>
        <row r="89">
          <cell r="G89" t="str">
            <v>=PHDGetData("192.168.32.16", C89, 'DCS Input Data'!$E$1, 'DCS Input Data'!$E$2, "", "Average", "OVERALL REDUCTION", 0, "Before", UNI_RET_TAG+UNI_RET_DESC+UNI_RET_UNIT+UNI_RET_TIME+UNI_RET_VALUE+UNI_RET_CONF, UNI_NOTHING)</v>
          </cell>
          <cell r="H89" t="str">
            <v>DEGF</v>
          </cell>
          <cell r="I89" t="str">
            <v>PULV 3F INLET AIR TEMP</v>
          </cell>
          <cell r="J89" t="str">
            <v>Average</v>
          </cell>
          <cell r="K89">
            <v>38906.708333333336</v>
          </cell>
          <cell r="L89">
            <v>344.53559794108071</v>
          </cell>
          <cell r="M89">
            <v>100</v>
          </cell>
        </row>
        <row r="91">
          <cell r="G91" t="str">
            <v>=PHDGetData("192.168.32.16", C91, 'DCS Input Data'!$E$1, 'DCS Input Data'!$E$2, "", "Average", "OVERALL REDUCTION", 0, "Before", UNI_RET_TAG+UNI_RET_DESC+UNI_RET_UNIT+UNI_RET_TIME+UNI_RET_VALUE+UNI_RET_CONF, UNI_NOTHING)</v>
          </cell>
          <cell r="I91" t="str">
            <v>EAST O2 PROBES AVERAGE</v>
          </cell>
          <cell r="J91" t="str">
            <v>Average</v>
          </cell>
          <cell r="K91">
            <v>38906.708333333336</v>
          </cell>
          <cell r="L91">
            <v>3.8464500029881794</v>
          </cell>
          <cell r="M91">
            <v>100</v>
          </cell>
        </row>
        <row r="92">
          <cell r="G92" t="str">
            <v>=PHDGetData("192.168.32.16", C92, 'DCS Input Data'!$E$1, 'DCS Input Data'!$E$2, "", "Average", "OVERALL REDUCTION", 0, "Before", UNI_RET_TAG+UNI_RET_DESC+UNI_RET_UNIT+UNI_RET_TIME+UNI_RET_VALUE+UNI_RET_CONF, UNI_NOTHING)</v>
          </cell>
          <cell r="I92" t="str">
            <v>WEST O2 PROBES AVERAGE</v>
          </cell>
          <cell r="J92" t="str">
            <v>Average</v>
          </cell>
          <cell r="K92">
            <v>38906.708333333336</v>
          </cell>
          <cell r="L92">
            <v>3.0162073612213134</v>
          </cell>
          <cell r="M92">
            <v>100</v>
          </cell>
        </row>
        <row r="93">
          <cell r="G93" t="str">
            <v>=PHDGetData("192.168.32.16", C93, 'DCS Input Data'!$E$1, 'DCS Input Data'!$E$2, "", "Average", "OVERALL REDUCTION", 0, "Before", UNI_RET_TAG+UNI_RET_DESC+UNI_RET_UNIT+UNI_RET_TIME+UNI_RET_VALUE+UNI_RET_CONF, UNI_NOTHING)</v>
          </cell>
          <cell r="H93" t="str">
            <v>%</v>
          </cell>
          <cell r="I93" t="str">
            <v>T/G CTL VALVE POSITION</v>
          </cell>
          <cell r="J93" t="str">
            <v>Average</v>
          </cell>
          <cell r="K93">
            <v>38906.708333333336</v>
          </cell>
          <cell r="L93">
            <v>27.008220672607422</v>
          </cell>
          <cell r="M93">
            <v>100</v>
          </cell>
        </row>
        <row r="94">
          <cell r="G94" t="str">
            <v>=PHDGetData("192.168.32.16", C94, 'DCS Input Data'!$E$1, 'DCS Input Data'!$E$2, "", "Average", "OVERALL REDUCTION", 0, "Before", UNI_RET_TAG+UNI_RET_DESC+UNI_RET_UNIT+UNI_RET_TIME+UNI_RET_VALUE+UNI_RET_CONF, UNI_NOTHING)</v>
          </cell>
          <cell r="H94" t="str">
            <v>DEGF</v>
          </cell>
          <cell r="I94" t="str">
            <v>T/G CROSSOVER STEAM TEMP</v>
          </cell>
          <cell r="J94" t="str">
            <v>Average</v>
          </cell>
          <cell r="K94">
            <v>38906.708333333336</v>
          </cell>
          <cell r="L94">
            <v>750.55668538411453</v>
          </cell>
          <cell r="M94">
            <v>100</v>
          </cell>
        </row>
        <row r="95">
          <cell r="G95" t="str">
            <v>=PHDGetData("192.168.32.16", C95, 'DCS Input Data'!$E$1, 'DCS Input Data'!$E$2, "", "Average", "OVERALL REDUCTION", 0, "Before", UNI_RET_TAG+UNI_RET_DESC+UNI_RET_UNIT+UNI_RET_TIME+UNI_RET_VALUE+UNI_RET_CONF, UNI_NOTHING)</v>
          </cell>
          <cell r="H95" t="str">
            <v>PSIG</v>
          </cell>
          <cell r="I95" t="str">
            <v>TG CROSSOVER STEAM PRESS</v>
          </cell>
          <cell r="J95" t="str">
            <v>Average</v>
          </cell>
          <cell r="K95">
            <v>38906.708333333336</v>
          </cell>
          <cell r="L95">
            <v>176.78438262939454</v>
          </cell>
          <cell r="M95">
            <v>100</v>
          </cell>
        </row>
        <row r="98">
          <cell r="G98" t="str">
            <v>=PHDGetData("192.168.32.16", C98, 'DCS Input Data'!$E$1, 'DCS Input Data'!$E$2, "", "Average", "OVERALL REDUCTION", 0, "Before", UNI_RET_TAG+UNI_RET_DESC+UNI_RET_UNIT+UNI_RET_TIME+UNI_RET_VALUE+UNI_RET_CONF, UNI_NOTHING)</v>
          </cell>
          <cell r="H98" t="str">
            <v>PSIG</v>
          </cell>
          <cell r="I98" t="str">
            <v>AIRHTR COIL STM HDR PRES</v>
          </cell>
          <cell r="J98" t="str">
            <v>Average</v>
          </cell>
          <cell r="K98">
            <v>38906.708333333336</v>
          </cell>
          <cell r="L98">
            <v>171.28646825154621</v>
          </cell>
          <cell r="M98">
            <v>100</v>
          </cell>
        </row>
        <row r="99">
          <cell r="G99" t="str">
            <v>=PHDGetData("192.168.32.16", C99, 'DCS Input Data'!$E$1, 'DCS Input Data'!$E$2, "", "Average", "OVERALL REDUCTION", 0, "Before", UNI_RET_TAG+UNI_RET_DESC+UNI_RET_UNIT+UNI_RET_TIME+UNI_RET_VALUE+UNI_RET_CONF, UNI_NOTHING)</v>
          </cell>
          <cell r="H99" t="str">
            <v>DEGF</v>
          </cell>
          <cell r="I99" t="str">
            <v>EAST SSH OUTLET STM TEMP</v>
          </cell>
          <cell r="J99" t="str">
            <v>Average</v>
          </cell>
          <cell r="K99">
            <v>38906.708333333336</v>
          </cell>
          <cell r="L99">
            <v>999.94743245442703</v>
          </cell>
          <cell r="M99">
            <v>100</v>
          </cell>
        </row>
        <row r="100">
          <cell r="G100" t="str">
            <v>=PHDGetData("192.168.32.16", C100, 'DCS Input Data'!$E$1, 'DCS Input Data'!$E$2, "", "Average", "OVERALL REDUCTION", 0, "Before", UNI_RET_TAG+UNI_RET_DESC+UNI_RET_UNIT+UNI_RET_TIME+UNI_RET_VALUE+UNI_RET_CONF, UNI_NOTHING)</v>
          </cell>
          <cell r="H100" t="str">
            <v>DEGF</v>
          </cell>
          <cell r="I100" t="str">
            <v>WEST SSH OUTLET STM TEMP</v>
          </cell>
          <cell r="J100" t="str">
            <v>Average</v>
          </cell>
          <cell r="K100">
            <v>38906.708333333336</v>
          </cell>
          <cell r="L100">
            <v>1014.6622914632161</v>
          </cell>
          <cell r="M100">
            <v>100</v>
          </cell>
        </row>
        <row r="101">
          <cell r="G101" t="str">
            <v>=PHDGetData("192.168.32.16", C101, 'DCS Input Data'!$E$1, 'DCS Input Data'!$E$2, "", "Average", "OVERALL REDUCTION", 0, "Before", UNI_RET_TAG+UNI_RET_DESC+UNI_RET_UNIT+UNI_RET_TIME+UNI_RET_VALUE+UNI_RET_CONF, UNI_NOTHING)</v>
          </cell>
          <cell r="H101" t="str">
            <v>DEGF</v>
          </cell>
          <cell r="I101" t="str">
            <v>CIRC WTR INLET EAST TEMP</v>
          </cell>
          <cell r="J101" t="str">
            <v>Average</v>
          </cell>
          <cell r="K101">
            <v>38906.708333333336</v>
          </cell>
          <cell r="L101">
            <v>74.921546936035156</v>
          </cell>
          <cell r="M101">
            <v>100</v>
          </cell>
        </row>
        <row r="102">
          <cell r="G102" t="str">
            <v>=PHDGetData("192.168.32.16", C102, 'DCS Input Data'!$E$1, 'DCS Input Data'!$E$2, "", "Average", "OVERALL REDUCTION", 0, "Before", UNI_RET_TAG+UNI_RET_DESC+UNI_RET_UNIT+UNI_RET_TIME+UNI_RET_VALUE+UNI_RET_CONF, UNI_NOTHING)</v>
          </cell>
          <cell r="H102" t="str">
            <v>DEGF</v>
          </cell>
          <cell r="I102" t="str">
            <v>CIRC WTR INLET WEST TEMP</v>
          </cell>
          <cell r="J102" t="str">
            <v>Average</v>
          </cell>
          <cell r="K102">
            <v>38906.708333333336</v>
          </cell>
          <cell r="L102">
            <v>73.593116760253906</v>
          </cell>
          <cell r="M102">
            <v>100</v>
          </cell>
        </row>
        <row r="103">
          <cell r="G103" t="str">
            <v>=PHDGetData("192.168.32.16", C103, 'DCS Input Data'!$E$1, 'DCS Input Data'!$E$2, "", "Average", "OVERALL REDUCTION", 0, "Before", UNI_RET_TAG+UNI_RET_DESC+UNI_RET_UNIT+UNI_RET_TIME+UNI_RET_VALUE+UNI_RET_CONF, UNI_NOTHING)</v>
          </cell>
          <cell r="H103" t="str">
            <v>DEGF</v>
          </cell>
          <cell r="I103" t="str">
            <v>CIRC WTR OTLET EAST TEMP</v>
          </cell>
          <cell r="J103" t="str">
            <v>Average</v>
          </cell>
          <cell r="K103">
            <v>38906.708333333336</v>
          </cell>
          <cell r="L103">
            <v>100.86188507080078</v>
          </cell>
          <cell r="M103">
            <v>100</v>
          </cell>
        </row>
        <row r="104">
          <cell r="G104" t="str">
            <v>=PHDGetData("192.168.32.16", C104, 'DCS Input Data'!$E$1, 'DCS Input Data'!$E$2, "", "Average", "OVERALL REDUCTION", 0, "Before", UNI_RET_TAG+UNI_RET_DESC+UNI_RET_UNIT+UNI_RET_TIME+UNI_RET_VALUE+UNI_RET_CONF, UNI_NOTHING)</v>
          </cell>
          <cell r="H104" t="str">
            <v>DEGF</v>
          </cell>
          <cell r="I104" t="str">
            <v>CIRC WTR OTLET WEST TEMP</v>
          </cell>
          <cell r="J104" t="str">
            <v>Average</v>
          </cell>
          <cell r="K104">
            <v>38906.708333333336</v>
          </cell>
          <cell r="L104">
            <v>119.06674677530924</v>
          </cell>
          <cell r="M104">
            <v>100</v>
          </cell>
        </row>
        <row r="105">
          <cell r="G105" t="str">
            <v>=PHDGetData("192.168.32.16", C105, 'DCS Input Data'!$E$1, 'DCS Input Data'!$E$2, "", "Average", "OVERALL REDUCTION", 0, "Before", UNI_RET_TAG+UNI_RET_DESC+UNI_RET_UNIT+UNI_RET_TIME+UNI_RET_VALUE+UNI_RET_CONF, UNI_NOTHING)</v>
          </cell>
          <cell r="H105" t="str">
            <v>DEGF</v>
          </cell>
          <cell r="I105" t="str">
            <v>FWHTR 31 SHEL DRAIN TEMP</v>
          </cell>
          <cell r="J105" t="str">
            <v>Average</v>
          </cell>
          <cell r="K105">
            <v>38906.708333333336</v>
          </cell>
          <cell r="L105">
            <v>416.87876434326171</v>
          </cell>
          <cell r="M105">
            <v>100</v>
          </cell>
        </row>
        <row r="106">
          <cell r="G106" t="str">
            <v>=PHDGetData("192.168.32.16", C106, 'DCS Input Data'!$E$1, 'DCS Input Data'!$E$2, "", "Average", "OVERALL REDUCTION", 0, "Before", UNI_RET_TAG+UNI_RET_DESC+UNI_RET_UNIT+UNI_RET_TIME+UNI_RET_VALUE+UNI_RET_CONF, UNI_NOTHING)</v>
          </cell>
          <cell r="H106" t="str">
            <v>DEGF</v>
          </cell>
          <cell r="I106" t="str">
            <v>FWHTR 32 SHEL DRAIN TEMP</v>
          </cell>
          <cell r="J106" t="str">
            <v>Average</v>
          </cell>
          <cell r="K106">
            <v>38906.708333333336</v>
          </cell>
          <cell r="L106">
            <v>391.81073557535808</v>
          </cell>
          <cell r="M106">
            <v>100</v>
          </cell>
        </row>
        <row r="107">
          <cell r="G107" t="str">
            <v>=PHDGetData("192.168.32.16", C107, 'DCS Input Data'!$E$1, 'DCS Input Data'!$E$2, "", "Average", "OVERALL REDUCTION", 0, "Before", UNI_RET_TAG+UNI_RET_DESC+UNI_RET_UNIT+UNI_RET_TIME+UNI_RET_VALUE+UNI_RET_CONF, UNI_NOTHING)</v>
          </cell>
          <cell r="H107" t="str">
            <v>DEGF</v>
          </cell>
          <cell r="I107" t="str">
            <v>FWHTR 34 SHEL DRAIN TEMP</v>
          </cell>
          <cell r="J107" t="str">
            <v>Average</v>
          </cell>
          <cell r="K107">
            <v>38906.708333333336</v>
          </cell>
          <cell r="L107">
            <v>253.11979395548502</v>
          </cell>
          <cell r="M107">
            <v>100</v>
          </cell>
        </row>
        <row r="108">
          <cell r="G108" t="str">
            <v>=PHDGetData("192.168.32.16", C108, 'DCS Input Data'!$E$1, 'DCS Input Data'!$E$2, "", "Average", "OVERALL REDUCTION", 0, "Before", UNI_RET_TAG+UNI_RET_DESC+UNI_RET_UNIT+UNI_RET_TIME+UNI_RET_VALUE+UNI_RET_CONF, UNI_NOTHING)</v>
          </cell>
          <cell r="H108" t="str">
            <v>DEGF</v>
          </cell>
          <cell r="I108" t="str">
            <v>FWHTR 35 SHEL DRAIN TEMP</v>
          </cell>
          <cell r="J108" t="str">
            <v>Average</v>
          </cell>
          <cell r="K108">
            <v>38906.708333333336</v>
          </cell>
          <cell r="L108">
            <v>197.5989959716797</v>
          </cell>
          <cell r="M108">
            <v>100</v>
          </cell>
        </row>
        <row r="109">
          <cell r="G109" t="str">
            <v>=PHDGetData("192.168.32.16", C109, 'DCS Input Data'!$E$1, 'DCS Input Data'!$E$2, "", "Average", "OVERALL REDUCTION", 0, "Before", UNI_RET_TAG+UNI_RET_DESC+UNI_RET_UNIT+UNI_RET_TIME+UNI_RET_VALUE+UNI_RET_CONF, UNI_NOTHING)</v>
          </cell>
          <cell r="H109" t="str">
            <v>DEGF</v>
          </cell>
          <cell r="I109" t="str">
            <v>FWHTR 36 SHEL DRAIN TEMP</v>
          </cell>
          <cell r="J109" t="str">
            <v>Average</v>
          </cell>
          <cell r="K109">
            <v>38906.708333333336</v>
          </cell>
          <cell r="L109">
            <v>141.56617075602213</v>
          </cell>
          <cell r="M109">
            <v>100</v>
          </cell>
        </row>
        <row r="110">
          <cell r="G110" t="str">
            <v>=PHDGetData("192.168.32.16", C110, 'DCS Input Data'!$E$1, 'DCS Input Data'!$E$2, "", "Average", "OVERALL REDUCTION", 0, "Before", UNI_RET_TAG+UNI_RET_DESC+UNI_RET_UNIT+UNI_RET_TIME+UNI_RET_VALUE+UNI_RET_CONF, UNI_NOTHING)</v>
          </cell>
          <cell r="H110" t="str">
            <v>PSIG</v>
          </cell>
          <cell r="I110" t="str">
            <v>FWHTR 31 SHELL PRESSURE</v>
          </cell>
          <cell r="J110" t="str">
            <v>Average</v>
          </cell>
          <cell r="K110">
            <v>38906.708333333336</v>
          </cell>
          <cell r="L110">
            <v>517.74528503417969</v>
          </cell>
          <cell r="M110">
            <v>100</v>
          </cell>
        </row>
        <row r="111">
          <cell r="G111" t="str">
            <v>=PHDGetData("192.168.32.16", C111, 'DCS Input Data'!$E$1, 'DCS Input Data'!$E$2, "", "Average", "OVERALL REDUCTION", 0, "Before", UNI_RET_TAG+UNI_RET_DESC+UNI_RET_UNIT+UNI_RET_TIME+UNI_RET_VALUE+UNI_RET_CONF, UNI_NOTHING)</v>
          </cell>
          <cell r="H111" t="str">
            <v>PSIG</v>
          </cell>
          <cell r="I111" t="str">
            <v>FWHTR 32 SHELL PRESSURE</v>
          </cell>
          <cell r="J111" t="str">
            <v>Average</v>
          </cell>
          <cell r="K111">
            <v>38906.708333333336</v>
          </cell>
          <cell r="L111">
            <v>204.53239440917969</v>
          </cell>
          <cell r="M111">
            <v>50</v>
          </cell>
        </row>
        <row r="112">
          <cell r="G112" t="str">
            <v>=PHDGetData("192.168.32.16", C112, 'DCS Input Data'!$E$1, 'DCS Input Data'!$E$2, "", "Average", "OVERALL REDUCTION", 0, "Before", UNI_RET_TAG+UNI_RET_DESC+UNI_RET_UNIT+UNI_RET_TIME+UNI_RET_VALUE+UNI_RET_CONF, UNI_NOTHING)</v>
          </cell>
          <cell r="H112" t="str">
            <v>PSIG</v>
          </cell>
          <cell r="I112" t="str">
            <v>FWHTR 34 SHELL PRESSURE</v>
          </cell>
          <cell r="J112" t="str">
            <v>Average</v>
          </cell>
          <cell r="K112">
            <v>38906.708333333336</v>
          </cell>
          <cell r="L112">
            <v>57.130633672078453</v>
          </cell>
          <cell r="M112">
            <v>100</v>
          </cell>
        </row>
        <row r="113">
          <cell r="G113" t="str">
            <v>=PHDGetData("192.168.32.16", C113, 'DCS Input Data'!$E$1, 'DCS Input Data'!$E$2, "", "Average", "OVERALL REDUCTION", 0, "Before", UNI_RET_TAG+UNI_RET_DESC+UNI_RET_UNIT+UNI_RET_TIME+UNI_RET_VALUE+UNI_RET_CONF, UNI_NOTHING)</v>
          </cell>
          <cell r="H113" t="str">
            <v>PSIG</v>
          </cell>
          <cell r="I113" t="str">
            <v>FWHTR 35 SHELL PRESSURE</v>
          </cell>
          <cell r="J113" t="str">
            <v>Average</v>
          </cell>
          <cell r="K113">
            <v>38906.708333333336</v>
          </cell>
          <cell r="L113">
            <v>14.204614909489949</v>
          </cell>
          <cell r="M113">
            <v>100</v>
          </cell>
        </row>
        <row r="114">
          <cell r="G114" t="str">
            <v>=PHDGetData("192.168.32.16", C114, 'DCS Input Data'!$E$1, 'DCS Input Data'!$E$2, "", "Average", "OVERALL REDUCTION", 0, "Before", UNI_RET_TAG+UNI_RET_DESC+UNI_RET_UNIT+UNI_RET_TIME+UNI_RET_VALUE+UNI_RET_CONF, UNI_NOTHING)</v>
          </cell>
          <cell r="H114" t="str">
            <v>PSIG</v>
          </cell>
          <cell r="I114" t="str">
            <v>FWHTR 36 SHELL PRESSURE</v>
          </cell>
          <cell r="J114" t="str">
            <v>Average</v>
          </cell>
          <cell r="K114">
            <v>38906.708333333336</v>
          </cell>
          <cell r="L114">
            <v>-5.6392261187235517</v>
          </cell>
          <cell r="M114">
            <v>100</v>
          </cell>
        </row>
        <row r="115">
          <cell r="G115" t="str">
            <v>=PHDGetData("192.168.32.16", C115, 'DCS Input Data'!$E$1, 'DCS Input Data'!$E$2, "", "Average", "OVERALL REDUCTION", 0, "Before", UNI_RET_TAG+UNI_RET_DESC+UNI_RET_UNIT+UNI_RET_TIME+UNI_RET_VALUE+UNI_RET_CONF, UNI_NOTHING)</v>
          </cell>
          <cell r="H115" t="str">
            <v>PSIG</v>
          </cell>
          <cell r="I115" t="str">
            <v>DEAERATOR PRESSURE</v>
          </cell>
          <cell r="J115" t="str">
            <v>Average</v>
          </cell>
          <cell r="K115">
            <v>38906.708333333336</v>
          </cell>
          <cell r="L115">
            <v>176.31618169148763</v>
          </cell>
          <cell r="M115">
            <v>100</v>
          </cell>
        </row>
        <row r="116">
          <cell r="G116" t="str">
            <v>=PHDGetData("192.168.32.16", C116, 'DCS Input Data'!$E$1, 'DCS Input Data'!$E$2, "", "Average", "OVERALL REDUCTION", 0, "Before", UNI_RET_TAG+UNI_RET_DESC+UNI_RET_UNIT+UNI_RET_TIME+UNI_RET_VALUE+UNI_RET_CONF, UNI_NOTHING)</v>
          </cell>
          <cell r="H116" t="str">
            <v>DEGF</v>
          </cell>
          <cell r="I116" t="str">
            <v>PSH EAST OUTLET STM TEMP</v>
          </cell>
          <cell r="J116" t="str">
            <v>Average</v>
          </cell>
          <cell r="K116">
            <v>38906.708333333336</v>
          </cell>
          <cell r="L116">
            <v>795.27960815429685</v>
          </cell>
          <cell r="M116">
            <v>100</v>
          </cell>
        </row>
        <row r="117">
          <cell r="G117" t="str">
            <v>=PHDGetData("192.168.32.16", C117, 'DCS Input Data'!$E$1, 'DCS Input Data'!$E$2, "", "Average", "OVERALL REDUCTION", 0, "Before", UNI_RET_TAG+UNI_RET_DESC+UNI_RET_UNIT+UNI_RET_TIME+UNI_RET_VALUE+UNI_RET_CONF, UNI_NOTHING)</v>
          </cell>
          <cell r="H117" t="str">
            <v>DEGF</v>
          </cell>
          <cell r="I117" t="str">
            <v>PSH WEST OUTLET STM TEMP</v>
          </cell>
          <cell r="J117" t="str">
            <v>Average</v>
          </cell>
          <cell r="K117">
            <v>38906.708333333336</v>
          </cell>
          <cell r="L117">
            <v>793.41291402180991</v>
          </cell>
          <cell r="M117">
            <v>100</v>
          </cell>
        </row>
        <row r="118">
          <cell r="G118" t="str">
            <v>=PHDGetData("192.168.32.16", C118, 'DCS Input Data'!$E$1, 'DCS Input Data'!$E$2, "", "Average", "OVERALL REDUCTION", 0, "Before", UNI_RET_TAG+UNI_RET_DESC+UNI_RET_UNIT+UNI_RET_TIME+UNI_RET_VALUE+UNI_RET_CONF, UNI_NOTHING)</v>
          </cell>
          <cell r="H118" t="str">
            <v>DEGF</v>
          </cell>
          <cell r="I118" t="str">
            <v>REHEATER INLET STM TEMP</v>
          </cell>
          <cell r="J118" t="str">
            <v>Average</v>
          </cell>
          <cell r="K118">
            <v>38906.708333333336</v>
          </cell>
          <cell r="L118">
            <v>660.42949625651045</v>
          </cell>
          <cell r="M118">
            <v>100</v>
          </cell>
        </row>
        <row r="119">
          <cell r="G119" t="str">
            <v>=PHDGetData("192.168.32.16", C119, 'DCS Input Data'!$E$1, 'DCS Input Data'!$E$2, "", "Average", "OVERALL REDUCTION", 0, "Before", UNI_RET_TAG+UNI_RET_DESC+UNI_RET_UNIT+UNI_RET_TIME+UNI_RET_VALUE+UNI_RET_CONF, UNI_NOTHING)</v>
          </cell>
          <cell r="H119" t="str">
            <v>DEGF</v>
          </cell>
          <cell r="I119" t="str">
            <v>#1 EXTRACTION STEAM TEMP</v>
          </cell>
          <cell r="J119" t="str">
            <v>Average</v>
          </cell>
          <cell r="K119">
            <v>38906.708333333336</v>
          </cell>
          <cell r="L119">
            <v>696.42658487955725</v>
          </cell>
          <cell r="M119">
            <v>100</v>
          </cell>
        </row>
        <row r="120">
          <cell r="G120" t="str">
            <v>=PHDGetData("192.168.32.16", C120, 'DCS Input Data'!$E$1, 'DCS Input Data'!$E$2, "", "Average", "OVERALL REDUCTION", 0, "Before", UNI_RET_TAG+UNI_RET_DESC+UNI_RET_UNIT+UNI_RET_TIME+UNI_RET_VALUE+UNI_RET_CONF, UNI_NOTHING)</v>
          </cell>
          <cell r="H120" t="str">
            <v>DEGF</v>
          </cell>
          <cell r="I120" t="str">
            <v>#2 EXTRACTION STEAM TEMP</v>
          </cell>
          <cell r="J120" t="str">
            <v>Average</v>
          </cell>
          <cell r="K120">
            <v>38906.708333333336</v>
          </cell>
          <cell r="L120">
            <v>917.67985127766929</v>
          </cell>
          <cell r="M120">
            <v>100</v>
          </cell>
        </row>
        <row r="121">
          <cell r="G121" t="str">
            <v>=PHDGetData("192.168.32.16", C121, 'DCS Input Data'!$E$1, 'DCS Input Data'!$E$2, "", "Average", "OVERALL REDUCTION", 0, "Before", UNI_RET_TAG+UNI_RET_DESC+UNI_RET_UNIT+UNI_RET_TIME+UNI_RET_VALUE+UNI_RET_CONF, UNI_NOTHING)</v>
          </cell>
          <cell r="H121" t="str">
            <v>DEGF</v>
          </cell>
          <cell r="I121" t="str">
            <v>#2 EXTRACTION STEAM TEMP</v>
          </cell>
          <cell r="J121" t="str">
            <v>Average</v>
          </cell>
          <cell r="K121">
            <v>38906.708333333336</v>
          </cell>
          <cell r="L121">
            <v>721.77181091308591</v>
          </cell>
          <cell r="M121">
            <v>100</v>
          </cell>
        </row>
        <row r="122">
          <cell r="G122" t="str">
            <v>=PHDGetData("192.168.32.16", C122, 'DCS Input Data'!$E$1, 'DCS Input Data'!$E$2, "", "Average", "OVERALL REDUCTION", 0, "Before", UNI_RET_TAG+UNI_RET_DESC+UNI_RET_UNIT+UNI_RET_TIME+UNI_RET_VALUE+UNI_RET_CONF, UNI_NOTHING)</v>
          </cell>
          <cell r="H122" t="str">
            <v>DEGF</v>
          </cell>
          <cell r="I122" t="str">
            <v>#4 EXTRACTION STEAM TEMP</v>
          </cell>
          <cell r="J122" t="str">
            <v>Average</v>
          </cell>
          <cell r="K122">
            <v>38906.708333333336</v>
          </cell>
          <cell r="L122">
            <v>600.72200520833337</v>
          </cell>
          <cell r="M122">
            <v>100</v>
          </cell>
        </row>
        <row r="123">
          <cell r="G123" t="str">
            <v>=PHDGetData("192.168.32.16", C123, 'DCS Input Data'!$E$1, 'DCS Input Data'!$E$2, "", "Average", "OVERALL REDUCTION", 0, "Before", UNI_RET_TAG+UNI_RET_DESC+UNI_RET_UNIT+UNI_RET_TIME+UNI_RET_VALUE+UNI_RET_CONF, UNI_NOTHING)</v>
          </cell>
          <cell r="H123" t="str">
            <v>DEGF</v>
          </cell>
          <cell r="I123" t="str">
            <v>#5 NORTH EXT STEAM TEMP</v>
          </cell>
          <cell r="J123" t="str">
            <v>Average</v>
          </cell>
          <cell r="K123">
            <v>38906.708333333336</v>
          </cell>
          <cell r="L123">
            <v>390.57306009928385</v>
          </cell>
          <cell r="M123">
            <v>100</v>
          </cell>
        </row>
        <row r="124">
          <cell r="G124" t="str">
            <v>=PHDGetData("192.168.32.16", C124, 'DCS Input Data'!$E$1, 'DCS Input Data'!$E$2, "", "Average", "OVERALL REDUCTION", 0, "Before", UNI_RET_TAG+UNI_RET_DESC+UNI_RET_UNIT+UNI_RET_TIME+UNI_RET_VALUE+UNI_RET_CONF, UNI_NOTHING)</v>
          </cell>
          <cell r="H124" t="str">
            <v>DEGF</v>
          </cell>
          <cell r="I124" t="str">
            <v>#5 SOUTH EXT STEAM TEMP</v>
          </cell>
          <cell r="J124" t="str">
            <v>Average</v>
          </cell>
          <cell r="K124">
            <v>38906.708333333336</v>
          </cell>
          <cell r="L124">
            <v>128.35981648763021</v>
          </cell>
          <cell r="M124">
            <v>100</v>
          </cell>
        </row>
        <row r="125">
          <cell r="G125" t="str">
            <v>=PHDGetData("192.168.32.16", C125, 'DCS Input Data'!$E$1, 'DCS Input Data'!$E$2, "", "Average", "OVERALL REDUCTION", 0, "Before", UNI_RET_TAG+UNI_RET_DESC+UNI_RET_UNIT+UNI_RET_TIME+UNI_RET_VALUE+UNI_RET_CONF, UNI_NOTHING)</v>
          </cell>
          <cell r="H125" t="str">
            <v>DEGF</v>
          </cell>
          <cell r="I125" t="str">
            <v>#6 NORTH EXT STEAM TEMP</v>
          </cell>
          <cell r="J125" t="str">
            <v>Average</v>
          </cell>
          <cell r="K125">
            <v>38906.708333333336</v>
          </cell>
          <cell r="L125">
            <v>511.35676574707031</v>
          </cell>
          <cell r="M125">
            <v>0</v>
          </cell>
        </row>
        <row r="126">
          <cell r="G126" t="str">
            <v>=PHDGetData("192.168.32.16", C126, 'DCS Input Data'!$E$1, 'DCS Input Data'!$E$2, "", "Average", "OVERALL REDUCTION", 0, "Before", UNI_RET_TAG+UNI_RET_DESC+UNI_RET_UNIT+UNI_RET_TIME+UNI_RET_VALUE+UNI_RET_CONF, UNI_NOTHING)</v>
          </cell>
          <cell r="H126" t="str">
            <v>DEGF</v>
          </cell>
          <cell r="I126" t="str">
            <v>#6 SOUTH EXT STEAM TEMP</v>
          </cell>
          <cell r="J126" t="str">
            <v>Average</v>
          </cell>
          <cell r="K126">
            <v>38906.708333333336</v>
          </cell>
          <cell r="L126">
            <v>182.15686721801757</v>
          </cell>
          <cell r="M126">
            <v>100</v>
          </cell>
        </row>
        <row r="127">
          <cell r="G127" t="str">
            <v>=PHDGetData("192.168.32.16", C127, 'DCS Input Data'!$E$1, 'DCS Input Data'!$E$2, "", "Average", "OVERALL REDUCTION", 0, "Before", UNI_RET_TAG+UNI_RET_DESC+UNI_RET_UNIT+UNI_RET_TIME+UNI_RET_VALUE+UNI_RET_CONF, UNI_NOTHING)</v>
          </cell>
          <cell r="H127" t="str">
            <v>DEGF</v>
          </cell>
          <cell r="I127" t="str">
            <v>BFPT EXHAUST STEAM TEMP</v>
          </cell>
          <cell r="J127" t="str">
            <v>Average</v>
          </cell>
          <cell r="K127">
            <v>38906.708333333336</v>
          </cell>
          <cell r="L127">
            <v>88.0443115234375</v>
          </cell>
          <cell r="M127">
            <v>0</v>
          </cell>
        </row>
        <row r="128">
          <cell r="G128" t="str">
            <v>=PHDGetData("192.168.32.16", C128, 'DCS Input Data'!$E$1, 'DCS Input Data'!$E$2, "", "Average", "OVERALL REDUCTION", 0, "Before", UNI_RET_TAG+UNI_RET_DESC+UNI_RET_UNIT+UNI_RET_TIME+UNI_RET_VALUE+UNI_RET_CONF, UNI_NOTHING)</v>
          </cell>
          <cell r="H128" t="str">
            <v>PSIG</v>
          </cell>
          <cell r="I128" t="str">
            <v>MAIN/THROTTLE STM PRESS</v>
          </cell>
          <cell r="J128" t="str">
            <v>Average</v>
          </cell>
          <cell r="K128">
            <v>38906.708333333336</v>
          </cell>
          <cell r="L128">
            <v>1859.3792683919271</v>
          </cell>
          <cell r="M128">
            <v>100</v>
          </cell>
        </row>
        <row r="129">
          <cell r="G129" t="str">
            <v>=PHDGetData("192.168.32.16", C129, 'DCS Input Data'!$E$1, 'DCS Input Data'!$E$2, "", "Average", "OVERALL REDUCTION", 0, "Before", UNI_RET_TAG+UNI_RET_DESC+UNI_RET_UNIT+UNI_RET_TIME+UNI_RET_VALUE+UNI_RET_CONF, UNI_NOTHING)</v>
          </cell>
          <cell r="H129" t="str">
            <v>PSIG</v>
          </cell>
          <cell r="I129" t="str">
            <v>MAIN/THROTTLE STM PRESS</v>
          </cell>
          <cell r="J129" t="str">
            <v>Average</v>
          </cell>
          <cell r="K129">
            <v>38906.708333333336</v>
          </cell>
          <cell r="L129">
            <v>1859.3792683919271</v>
          </cell>
          <cell r="M129">
            <v>100</v>
          </cell>
        </row>
        <row r="130">
          <cell r="G130" t="str">
            <v>=PHDGetData("192.168.32.16", C130, 'DCS Input Data'!$E$1, 'DCS Input Data'!$E$2, "", "Average", "OVERALL REDUCTION", 0, "Before", UNI_RET_TAG+UNI_RET_DESC+UNI_RET_UNIT+UNI_RET_TIME+UNI_RET_VALUE+UNI_RET_CONF, UNI_NOTHING)</v>
          </cell>
          <cell r="H130" t="str">
            <v>PSIG</v>
          </cell>
          <cell r="I130" t="str">
            <v>TG STEAM CHEST PRESSURE</v>
          </cell>
          <cell r="J130" t="str">
            <v>Average</v>
          </cell>
          <cell r="K130">
            <v>38906.708333333336</v>
          </cell>
          <cell r="L130">
            <v>1817.1361043294271</v>
          </cell>
          <cell r="M130">
            <v>100</v>
          </cell>
        </row>
        <row r="132">
          <cell r="G132" t="str">
            <v>=PHDGetData("192.168.32.16", C132, 'DCS Input Data'!$E$1, 'DCS Input Data'!$E$2, "", "Average", "OVERALL REDUCTION", 0, "Before", UNI_RET_TAG+UNI_RET_DESC+UNI_RET_UNIT+UNI_RET_TIME+UNI_RET_VALUE+UNI_RET_CONF, UNI_NOTHING)</v>
          </cell>
          <cell r="H132" t="str">
            <v>PSIG</v>
          </cell>
          <cell r="I132" t="str">
            <v>COLD REHEAT STEAM PRESS</v>
          </cell>
          <cell r="J132" t="str">
            <v>Average</v>
          </cell>
          <cell r="K132">
            <v>38906.708333333336</v>
          </cell>
          <cell r="L132">
            <v>464.42897796630859</v>
          </cell>
          <cell r="M132">
            <v>100</v>
          </cell>
        </row>
        <row r="133">
          <cell r="G133" t="str">
            <v>=PHDGetData("192.168.32.16", C133, 'DCS Input Data'!$E$1, 'DCS Input Data'!$E$2, "", "Average", "OVERALL REDUCTION", 0, "Before", UNI_RET_TAG+UNI_RET_DESC+UNI_RET_UNIT+UNI_RET_TIME+UNI_RET_VALUE+UNI_RET_CONF, UNI_NOTHING)</v>
          </cell>
          <cell r="H133" t="str">
            <v>PSIG</v>
          </cell>
          <cell r="I133" t="str">
            <v>HOT REHEAT STEAM PRESS</v>
          </cell>
          <cell r="J133" t="str">
            <v>Average</v>
          </cell>
          <cell r="K133">
            <v>38906.708333333336</v>
          </cell>
          <cell r="L133">
            <v>384.33855895996095</v>
          </cell>
          <cell r="M133">
            <v>100</v>
          </cell>
        </row>
        <row r="134">
          <cell r="G134" t="str">
            <v>=PHDGetData("192.168.32.16", C134, 'DCS Input Data'!$E$1, 'DCS Input Data'!$E$2, "", "Average", "OVERALL REDUCTION", 0, "Before", UNI_RET_TAG+UNI_RET_DESC+UNI_RET_UNIT+UNI_RET_TIME+UNI_RET_VALUE+UNI_RET_CONF, UNI_NOTHING)</v>
          </cell>
          <cell r="H134" t="str">
            <v>PSIG</v>
          </cell>
          <cell r="I134" t="str">
            <v>TG REHEAT BOWL STM PRESS</v>
          </cell>
          <cell r="J134" t="str">
            <v>Average</v>
          </cell>
          <cell r="K134">
            <v>38906.708333333336</v>
          </cell>
          <cell r="L134">
            <v>494.93151499430337</v>
          </cell>
          <cell r="M134">
            <v>100</v>
          </cell>
        </row>
        <row r="135">
          <cell r="G135" t="str">
            <v>=PHDGetData("192.168.32.16", C135, 'DCS Input Data'!$E$1, 'DCS Input Data'!$E$2, "", "Average", "OVERALL REDUCTION", 0, "Before", UNI_RET_TAG+UNI_RET_DESC+UNI_RET_UNIT+UNI_RET_TIME+UNI_RET_VALUE+UNI_RET_CONF, UNI_NOTHING)</v>
          </cell>
          <cell r="H135" t="str">
            <v>DEGF</v>
          </cell>
          <cell r="I135" t="str">
            <v>T/G TURB EXH HOOD TEMP</v>
          </cell>
          <cell r="J135" t="str">
            <v>Average</v>
          </cell>
          <cell r="K135">
            <v>38906.708333333336</v>
          </cell>
          <cell r="L135">
            <v>116.58630765279135</v>
          </cell>
          <cell r="M135">
            <v>100</v>
          </cell>
        </row>
        <row r="136">
          <cell r="G136" t="str">
            <v>=PHDGetData("192.168.32.16", C136, 'DCS Input Data'!$E$1, 'DCS Input Data'!$E$2, "", "Average", "OVERALL REDUCTION", 0, "Before", UNI_RET_TAG+UNI_RET_DESC+UNI_RET_UNIT+UNI_RET_TIME+UNI_RET_VALUE+UNI_RET_CONF, UNI_NOTHING)</v>
          </cell>
          <cell r="H136" t="str">
            <v>KPPH</v>
          </cell>
          <cell r="I136" t="str">
            <v>AH 3A COILS STM FLOW RTE</v>
          </cell>
          <cell r="J136" t="str">
            <v>Average</v>
          </cell>
          <cell r="K136">
            <v>38906.708333333336</v>
          </cell>
          <cell r="L136">
            <v>25.944014517466226</v>
          </cell>
          <cell r="M136">
            <v>100</v>
          </cell>
        </row>
        <row r="137">
          <cell r="G137" t="str">
            <v>=PHDGetData("192.168.32.16", C137, 'DCS Input Data'!$E$1, 'DCS Input Data'!$E$2, "", "Average", "OVERALL REDUCTION", 0, "Before", UNI_RET_TAG+UNI_RET_DESC+UNI_RET_UNIT+UNI_RET_TIME+UNI_RET_VALUE+UNI_RET_CONF, UNI_NOTHING)</v>
          </cell>
          <cell r="H137" t="str">
            <v>DEGF</v>
          </cell>
          <cell r="I137" t="str">
            <v>AH 3A COILS SUP STM TEMP</v>
          </cell>
          <cell r="J137" t="str">
            <v>Average</v>
          </cell>
          <cell r="K137">
            <v>38906.708333333336</v>
          </cell>
          <cell r="L137">
            <v>711.72681376139326</v>
          </cell>
          <cell r="M137">
            <v>100</v>
          </cell>
        </row>
        <row r="138">
          <cell r="G138" t="str">
            <v>=PHDGetData("192.168.32.16", C138, 'DCS Input Data'!$E$1, 'DCS Input Data'!$E$2, "", "Average", "OVERALL REDUCTION", 0, "Before", UNI_RET_TAG+UNI_RET_DESC+UNI_RET_UNIT+UNI_RET_TIME+UNI_RET_VALUE+UNI_RET_CONF, UNI_NOTHING)</v>
          </cell>
          <cell r="H138" t="str">
            <v>DEGF</v>
          </cell>
          <cell r="I138" t="str">
            <v>SH STM SPRAY WATER TEMP</v>
          </cell>
          <cell r="J138" t="str">
            <v>Average</v>
          </cell>
          <cell r="K138">
            <v>38906.708333333336</v>
          </cell>
          <cell r="L138">
            <v>384.67290598551432</v>
          </cell>
          <cell r="M138">
            <v>100</v>
          </cell>
        </row>
        <row r="139">
          <cell r="G139" t="str">
            <v>=PHDGetData("192.168.32.16", C139, 'DCS Input Data'!$E$1, 'DCS Input Data'!$E$2, "", "Average", "OVERALL REDUCTION", 0, "Before", UNI_RET_TAG+UNI_RET_DESC+UNI_RET_UNIT+UNI_RET_TIME+UNI_RET_VALUE+UNI_RET_CONF, UNI_NOTHING)</v>
          </cell>
          <cell r="H139" t="str">
            <v>PSIG</v>
          </cell>
          <cell r="I139" t="str">
            <v>SUPRHT SPRAY WATER PRESS</v>
          </cell>
          <cell r="J139" t="str">
            <v>Average</v>
          </cell>
          <cell r="K139">
            <v>38906.708333333336</v>
          </cell>
          <cell r="L139">
            <v>2434.70947265625</v>
          </cell>
          <cell r="M139">
            <v>100</v>
          </cell>
        </row>
        <row r="140">
          <cell r="G140" t="str">
            <v>=PHDGetData("192.168.32.16", C140, 'DCS Input Data'!$E$1, 'DCS Input Data'!$E$2, "", "Average", "OVERALL REDUCTION", 0, "Before", UNI_RET_TAG+UNI_RET_DESC+UNI_RET_UNIT+UNI_RET_TIME+UNI_RET_VALUE+UNI_RET_CONF, UNI_NOTHING)</v>
          </cell>
          <cell r="H140" t="str">
            <v>KPPH</v>
          </cell>
          <cell r="I140" t="str">
            <v>SUPERHEAT SPRAY WTR FLOW</v>
          </cell>
          <cell r="J140" t="str">
            <v>Average</v>
          </cell>
          <cell r="K140">
            <v>38906.708333333336</v>
          </cell>
          <cell r="L140">
            <v>74.52121276855469</v>
          </cell>
          <cell r="M140">
            <v>100</v>
          </cell>
        </row>
        <row r="141">
          <cell r="G141" t="str">
            <v>=PHDGetData("192.168.32.16", C141, 'DCS Input Data'!$E$1, 'DCS Input Data'!$E$2, "", "Average", "OVERALL REDUCTION", 0, "Before", UNI_RET_TAG+UNI_RET_DESC+UNI_RET_UNIT+UNI_RET_TIME+UNI_RET_VALUE+UNI_RET_CONF, UNI_NOTHING)</v>
          </cell>
          <cell r="H141" t="str">
            <v>DEGF</v>
          </cell>
          <cell r="I141" t="str">
            <v>RH STM SPRAY WATER TEMP</v>
          </cell>
          <cell r="J141" t="str">
            <v>Average</v>
          </cell>
          <cell r="K141">
            <v>38906.708333333336</v>
          </cell>
          <cell r="L141">
            <v>379.7891805013021</v>
          </cell>
          <cell r="M141">
            <v>100</v>
          </cell>
        </row>
        <row r="142">
          <cell r="G142" t="str">
            <v>=PHDGetData("192.168.32.16", C142, 'DCS Input Data'!$E$1, 'DCS Input Data'!$E$2, "", "Average", "OVERALL REDUCTION", 0, "Before", UNI_RET_TAG+UNI_RET_DESC+UNI_RET_UNIT+UNI_RET_TIME+UNI_RET_VALUE+UNI_RET_CONF, UNI_NOTHING)</v>
          </cell>
          <cell r="H142" t="str">
            <v>PSIG</v>
          </cell>
          <cell r="I142" t="str">
            <v>REHEAT SPRAY WATER PRESS</v>
          </cell>
          <cell r="J142" t="str">
            <v>Average</v>
          </cell>
          <cell r="K142">
            <v>38906.708333333336</v>
          </cell>
          <cell r="L142">
            <v>1002.2320058186849</v>
          </cell>
          <cell r="M142">
            <v>100</v>
          </cell>
        </row>
        <row r="143">
          <cell r="G143" t="str">
            <v>=PHDGetData("192.168.32.16", C143, 'DCS Input Data'!$E$1, 'DCS Input Data'!$E$2, "", "Average", "OVERALL REDUCTION", 0, "Before", UNI_RET_TAG+UNI_RET_DESC+UNI_RET_UNIT+UNI_RET_TIME+UNI_RET_VALUE+UNI_RET_CONF, UNI_NOTHING)</v>
          </cell>
          <cell r="H143" t="str">
            <v>KPPH</v>
          </cell>
          <cell r="I143" t="str">
            <v>REHEAT SPRAY WATER FLOW</v>
          </cell>
          <cell r="J143" t="str">
            <v>Average</v>
          </cell>
          <cell r="K143">
            <v>38906.708333333336</v>
          </cell>
          <cell r="L143">
            <v>36.328792126973468</v>
          </cell>
          <cell r="M143">
            <v>100</v>
          </cell>
        </row>
        <row r="144">
          <cell r="G144" t="str">
            <v>=PHDGetData("192.168.32.16", C144, 'DCS Input Data'!$E$1, 'DCS Input Data'!$E$2, "", "Average", "OVERALL REDUCTION", 0, "Before", UNI_RET_TAG+UNI_RET_DESC+UNI_RET_UNIT+UNI_RET_TIME+UNI_RET_VALUE+UNI_RET_CONF, UNI_NOTHING)</v>
          </cell>
          <cell r="H144" t="str">
            <v>DEGF</v>
          </cell>
          <cell r="I144" t="str">
            <v>MAIN/THROTTLE STEAM TEMP</v>
          </cell>
          <cell r="J144" t="str">
            <v>Average</v>
          </cell>
          <cell r="K144">
            <v>38906.708333333336</v>
          </cell>
          <cell r="L144">
            <v>996.37730407714844</v>
          </cell>
          <cell r="M144">
            <v>100</v>
          </cell>
        </row>
        <row r="145">
          <cell r="G145" t="str">
            <v>=PHDGetData("192.168.32.16", C145, 'DCS Input Data'!$E$1, 'DCS Input Data'!$E$2, "", "Average", "OVERALL REDUCTION", 0, "Before", UNI_RET_TAG+UNI_RET_DESC+UNI_RET_UNIT+UNI_RET_TIME+UNI_RET_VALUE+UNI_RET_CONF, UNI_NOTHING)</v>
          </cell>
          <cell r="H145" t="str">
            <v>DEGF</v>
          </cell>
          <cell r="I145" t="str">
            <v>COLD RH STM AT TURB TEMP</v>
          </cell>
          <cell r="J145" t="str">
            <v>Average</v>
          </cell>
          <cell r="K145">
            <v>38906.708333333336</v>
          </cell>
          <cell r="L145">
            <v>697.18106689453123</v>
          </cell>
          <cell r="M145">
            <v>100</v>
          </cell>
        </row>
        <row r="146">
          <cell r="G146" t="str">
            <v>=PHDGetData("192.168.32.16", C146, 'DCS Input Data'!$E$1, 'DCS Input Data'!$E$2, "", "Average", "OVERALL REDUCTION", 0, "Before", UNI_RET_TAG+UNI_RET_DESC+UNI_RET_UNIT+UNI_RET_TIME+UNI_RET_VALUE+UNI_RET_CONF, UNI_NOTHING)</v>
          </cell>
          <cell r="H146" t="str">
            <v>DEGF</v>
          </cell>
          <cell r="I146" t="str">
            <v>RH STM TEMP</v>
          </cell>
          <cell r="J146" t="str">
            <v>Average</v>
          </cell>
          <cell r="K146">
            <v>38906.708333333336</v>
          </cell>
          <cell r="L146">
            <v>1002.6955362955729</v>
          </cell>
          <cell r="M146">
            <v>100</v>
          </cell>
        </row>
        <row r="147">
          <cell r="G147" t="str">
            <v>=PHDGetData("192.168.32.16", C147, 'DCS Input Data'!$E$1, 'DCS Input Data'!$E$2, "", "Average", "OVERALL REDUCTION", 0, "Before", UNI_RET_TAG+UNI_RET_DESC+UNI_RET_UNIT+UNI_RET_TIME+UNI_RET_VALUE+UNI_RET_CONF, UNI_NOTHING)</v>
          </cell>
          <cell r="H147" t="str">
            <v>PSIG</v>
          </cell>
          <cell r="I147" t="str">
            <v>BOILER STM DRUM PRESS B</v>
          </cell>
          <cell r="J147" t="str">
            <v>Average</v>
          </cell>
          <cell r="K147">
            <v>38906.708333333336</v>
          </cell>
          <cell r="L147">
            <v>2100.8529907226562</v>
          </cell>
          <cell r="M147">
            <v>100</v>
          </cell>
        </row>
        <row r="148">
          <cell r="G148" t="str">
            <v>=PHDGetData("192.168.32.16", C148, 'DCS Input Data'!$E$1, 'DCS Input Data'!$E$2, "", "Average", "OVERALL REDUCTION", 0, "Before", UNI_RET_TAG+UNI_RET_DESC+UNI_RET_UNIT+UNI_RET_TIME+UNI_RET_VALUE+UNI_RET_CONF, UNI_NOTHING)</v>
          </cell>
          <cell r="H148" t="str">
            <v>PSIG</v>
          </cell>
          <cell r="I148" t="str">
            <v>BOILER STM DRUM PRESS C</v>
          </cell>
          <cell r="J148" t="str">
            <v>Average</v>
          </cell>
          <cell r="K148">
            <v>38906.708333333336</v>
          </cell>
          <cell r="L148">
            <v>2104.613496907552</v>
          </cell>
          <cell r="M148">
            <v>100</v>
          </cell>
        </row>
      </sheetData>
      <sheetData sheetId="13"/>
      <sheetData sheetId="14"/>
      <sheetData sheetId="15"/>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ly Pricing"/>
      <sheetName val="Base Case Optimization"/>
      <sheetName val="Change Case Optimization"/>
      <sheetName val="Steam IC Cost Chart"/>
      <sheetName val="CT IC Cost Chart"/>
      <sheetName val="Unit Cost Tables"/>
    </sheetNames>
    <sheetDataSet>
      <sheetData sheetId="0" refreshError="1">
        <row r="4">
          <cell r="I4">
            <v>0</v>
          </cell>
        </row>
        <row r="22">
          <cell r="D22">
            <v>0</v>
          </cell>
          <cell r="E22">
            <v>0</v>
          </cell>
        </row>
      </sheetData>
      <sheetData sheetId="1"/>
      <sheetData sheetId="2"/>
      <sheetData sheetId="3" refreshError="1"/>
      <sheetData sheetId="4" refreshError="1"/>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Inputs"/>
      <sheetName val="North Reports"/>
      <sheetName val="South Gas Rev"/>
      <sheetName val="South Elec Rev"/>
      <sheetName val="Dispatch"/>
      <sheetName val="WPM"/>
      <sheetName val="South Reports"/>
      <sheetName val="VEDO Reports"/>
      <sheetName val="VUHI Exec Summary Report"/>
      <sheetName val="dispatch lookup"/>
      <sheetName val="Start RP"/>
      <sheetName val="base_RP"/>
      <sheetName val="End RP"/>
      <sheetName val="NoJH_RP"/>
      <sheetName val="Dispatch Report"/>
      <sheetName val="WPM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U4">
            <v>11.866381608607661</v>
          </cell>
          <cell r="V4">
            <v>0</v>
          </cell>
          <cell r="W4">
            <v>0</v>
          </cell>
          <cell r="X4">
            <v>2.6333561510386589</v>
          </cell>
        </row>
        <row r="5">
          <cell r="U5">
            <v>12.121731778882516</v>
          </cell>
          <cell r="V5">
            <v>0</v>
          </cell>
          <cell r="W5">
            <v>0</v>
          </cell>
          <cell r="X5">
            <v>1.46728515722432</v>
          </cell>
        </row>
        <row r="6">
          <cell r="U6">
            <v>15.598506093679697</v>
          </cell>
          <cell r="V6">
            <v>0</v>
          </cell>
          <cell r="W6">
            <v>0</v>
          </cell>
          <cell r="X6">
            <v>5.5113371851268065</v>
          </cell>
        </row>
        <row r="7">
          <cell r="U7">
            <v>13.711618014934729</v>
          </cell>
          <cell r="V7">
            <v>0</v>
          </cell>
          <cell r="W7">
            <v>0</v>
          </cell>
          <cell r="X7">
            <v>1.7193970090622048</v>
          </cell>
        </row>
        <row r="8">
          <cell r="U8">
            <v>10.809183655462363</v>
          </cell>
          <cell r="V8">
            <v>0</v>
          </cell>
          <cell r="W8">
            <v>0</v>
          </cell>
          <cell r="X8">
            <v>1.3554401841827073</v>
          </cell>
        </row>
        <row r="9">
          <cell r="U9">
            <v>13.968791646947647</v>
          </cell>
          <cell r="V9">
            <v>0</v>
          </cell>
          <cell r="W9">
            <v>0</v>
          </cell>
          <cell r="X9">
            <v>9.0846952907595089</v>
          </cell>
        </row>
        <row r="10">
          <cell r="U10">
            <v>66.128190397332958</v>
          </cell>
          <cell r="V10">
            <v>0</v>
          </cell>
          <cell r="W10">
            <v>0</v>
          </cell>
          <cell r="X10">
            <v>2.4822894293293155E-3</v>
          </cell>
        </row>
        <row r="14">
          <cell r="U14">
            <v>12.103709240779814</v>
          </cell>
          <cell r="V14">
            <v>0</v>
          </cell>
          <cell r="W14">
            <v>0</v>
          </cell>
          <cell r="X14">
            <v>2.6860232740594321</v>
          </cell>
        </row>
        <row r="15">
          <cell r="U15">
            <v>12.364166414460167</v>
          </cell>
          <cell r="V15">
            <v>0</v>
          </cell>
          <cell r="W15">
            <v>0</v>
          </cell>
          <cell r="X15">
            <v>1.4966308603688063</v>
          </cell>
        </row>
        <row r="16">
          <cell r="U16">
            <v>15.910476215553292</v>
          </cell>
          <cell r="V16">
            <v>0</v>
          </cell>
          <cell r="W16">
            <v>0</v>
          </cell>
          <cell r="X16">
            <v>5.6215639288293424</v>
          </cell>
        </row>
        <row r="17">
          <cell r="U17">
            <v>13.985850375233424</v>
          </cell>
          <cell r="V17">
            <v>0</v>
          </cell>
          <cell r="W17">
            <v>0</v>
          </cell>
          <cell r="X17">
            <v>1.753784949243449</v>
          </cell>
        </row>
        <row r="18">
          <cell r="U18">
            <v>11.02536732857161</v>
          </cell>
          <cell r="V18">
            <v>0</v>
          </cell>
          <cell r="W18">
            <v>0</v>
          </cell>
          <cell r="X18">
            <v>1.3825489878663615</v>
          </cell>
        </row>
        <row r="19">
          <cell r="U19">
            <v>14.2481674798866</v>
          </cell>
          <cell r="V19">
            <v>0</v>
          </cell>
          <cell r="W19">
            <v>0</v>
          </cell>
          <cell r="X19">
            <v>9.2663891965746998</v>
          </cell>
        </row>
        <row r="20">
          <cell r="U20">
            <v>67.450754205279623</v>
          </cell>
          <cell r="V20">
            <v>0</v>
          </cell>
          <cell r="W20">
            <v>0</v>
          </cell>
          <cell r="X20">
            <v>2.5319352179159018E-3</v>
          </cell>
        </row>
        <row r="24">
          <cell r="U24">
            <v>12.34578342559541</v>
          </cell>
          <cell r="V24">
            <v>0</v>
          </cell>
          <cell r="W24">
            <v>0</v>
          </cell>
          <cell r="X24">
            <v>2.7397437395406206</v>
          </cell>
        </row>
        <row r="25">
          <cell r="U25">
            <v>12.61144974274937</v>
          </cell>
          <cell r="V25">
            <v>0</v>
          </cell>
          <cell r="W25">
            <v>0</v>
          </cell>
          <cell r="X25">
            <v>1.5265634775761825</v>
          </cell>
        </row>
        <row r="26">
          <cell r="U26">
            <v>0</v>
          </cell>
          <cell r="V26">
            <v>0</v>
          </cell>
          <cell r="W26">
            <v>0</v>
          </cell>
          <cell r="X26">
            <v>0</v>
          </cell>
        </row>
        <row r="27">
          <cell r="U27">
            <v>14.265567382738093</v>
          </cell>
          <cell r="V27">
            <v>0</v>
          </cell>
          <cell r="W27">
            <v>0</v>
          </cell>
          <cell r="X27">
            <v>1.788860648228318</v>
          </cell>
        </row>
        <row r="28">
          <cell r="U28">
            <v>11.245874675143043</v>
          </cell>
          <cell r="V28">
            <v>0</v>
          </cell>
          <cell r="W28">
            <v>0</v>
          </cell>
          <cell r="X28">
            <v>1.4101999676236887</v>
          </cell>
        </row>
        <row r="29">
          <cell r="U29">
            <v>14.533130829484332</v>
          </cell>
          <cell r="V29">
            <v>0</v>
          </cell>
          <cell r="W29">
            <v>0</v>
          </cell>
          <cell r="X29">
            <v>9.4517169805061947</v>
          </cell>
        </row>
        <row r="30">
          <cell r="U30">
            <v>68.79976928938521</v>
          </cell>
          <cell r="V30">
            <v>0</v>
          </cell>
          <cell r="W30">
            <v>0</v>
          </cell>
          <cell r="X30">
            <v>2.58257392227422E-3</v>
          </cell>
        </row>
        <row r="34">
          <cell r="U34">
            <v>12.592699094107319</v>
          </cell>
          <cell r="V34">
            <v>0</v>
          </cell>
          <cell r="W34">
            <v>0</v>
          </cell>
          <cell r="X34">
            <v>2.794538614331433</v>
          </cell>
        </row>
        <row r="35">
          <cell r="U35">
            <v>12.863678737604358</v>
          </cell>
          <cell r="V35">
            <v>0</v>
          </cell>
          <cell r="W35">
            <v>0</v>
          </cell>
          <cell r="X35">
            <v>1.5570947471277061</v>
          </cell>
        </row>
        <row r="36">
          <cell r="U36">
            <v>0</v>
          </cell>
          <cell r="V36">
            <v>0</v>
          </cell>
          <cell r="W36">
            <v>0</v>
          </cell>
          <cell r="X36">
            <v>0</v>
          </cell>
        </row>
        <row r="37">
          <cell r="U37">
            <v>14.550878730392855</v>
          </cell>
          <cell r="V37">
            <v>0</v>
          </cell>
          <cell r="W37">
            <v>0</v>
          </cell>
          <cell r="X37">
            <v>1.8246378611928844</v>
          </cell>
        </row>
        <row r="38">
          <cell r="U38">
            <v>11.470792168645904</v>
          </cell>
          <cell r="V38">
            <v>0</v>
          </cell>
          <cell r="W38">
            <v>0</v>
          </cell>
          <cell r="X38">
            <v>1.4384039669761626</v>
          </cell>
        </row>
        <row r="39">
          <cell r="U39">
            <v>14.823793446074019</v>
          </cell>
          <cell r="V39">
            <v>0</v>
          </cell>
          <cell r="W39">
            <v>0</v>
          </cell>
          <cell r="X39">
            <v>9.6407513201163191</v>
          </cell>
        </row>
        <row r="40">
          <cell r="U40">
            <v>70.175764675172914</v>
          </cell>
          <cell r="V40">
            <v>0</v>
          </cell>
          <cell r="W40">
            <v>0</v>
          </cell>
          <cell r="X40">
            <v>2.6342254007197044E-3</v>
          </cell>
        </row>
        <row r="44">
          <cell r="U44">
            <v>12.844553075989465</v>
          </cell>
          <cell r="V44">
            <v>0</v>
          </cell>
          <cell r="W44">
            <v>0</v>
          </cell>
          <cell r="X44">
            <v>2.8504293866180617</v>
          </cell>
        </row>
        <row r="45">
          <cell r="U45">
            <v>13.120952312356446</v>
          </cell>
          <cell r="V45">
            <v>0</v>
          </cell>
          <cell r="W45">
            <v>0</v>
          </cell>
          <cell r="X45">
            <v>1.5882366420702603</v>
          </cell>
        </row>
        <row r="46">
          <cell r="U46">
            <v>0</v>
          </cell>
          <cell r="V46">
            <v>0</v>
          </cell>
          <cell r="W46">
            <v>0</v>
          </cell>
          <cell r="X46">
            <v>0</v>
          </cell>
        </row>
        <row r="47">
          <cell r="U47">
            <v>14.841896305000711</v>
          </cell>
          <cell r="V47">
            <v>0</v>
          </cell>
          <cell r="W47">
            <v>0</v>
          </cell>
          <cell r="X47">
            <v>1.8611306184167422</v>
          </cell>
        </row>
        <row r="48">
          <cell r="U48">
            <v>11.700208012018821</v>
          </cell>
          <cell r="V48">
            <v>0</v>
          </cell>
          <cell r="W48">
            <v>0</v>
          </cell>
          <cell r="X48">
            <v>1.4671720463156859</v>
          </cell>
        </row>
        <row r="49">
          <cell r="U49">
            <v>15.1202693149955</v>
          </cell>
          <cell r="V49">
            <v>0</v>
          </cell>
          <cell r="W49">
            <v>0</v>
          </cell>
          <cell r="X49">
            <v>9.833566346518646</v>
          </cell>
        </row>
        <row r="50">
          <cell r="U50">
            <v>71.579279968676374</v>
          </cell>
          <cell r="V50">
            <v>0</v>
          </cell>
          <cell r="W50">
            <v>0</v>
          </cell>
          <cell r="X50">
            <v>2.6869099087340987E-3</v>
          </cell>
        </row>
        <row r="54">
          <cell r="U54">
            <v>11.866381608607661</v>
          </cell>
          <cell r="V54">
            <v>0</v>
          </cell>
          <cell r="W54">
            <v>0</v>
          </cell>
          <cell r="X54">
            <v>2.7866174790291098</v>
          </cell>
        </row>
        <row r="55">
          <cell r="U55">
            <v>12.121731778882516</v>
          </cell>
          <cell r="V55">
            <v>0</v>
          </cell>
          <cell r="W55">
            <v>0</v>
          </cell>
          <cell r="X55">
            <v>1.5526811533747751</v>
          </cell>
        </row>
        <row r="56">
          <cell r="U56">
            <v>0</v>
          </cell>
          <cell r="V56">
            <v>0</v>
          </cell>
          <cell r="W56">
            <v>0</v>
          </cell>
          <cell r="X56">
            <v>0</v>
          </cell>
        </row>
        <row r="57">
          <cell r="U57">
            <v>13.711618014934729</v>
          </cell>
          <cell r="V57">
            <v>0</v>
          </cell>
          <cell r="W57">
            <v>0</v>
          </cell>
          <cell r="X57">
            <v>1.8194659149896251</v>
          </cell>
        </row>
        <row r="58">
          <cell r="U58">
            <v>10.809183655462363</v>
          </cell>
          <cell r="V58">
            <v>0</v>
          </cell>
          <cell r="W58">
            <v>0</v>
          </cell>
          <cell r="X58">
            <v>1.4343268029021405</v>
          </cell>
        </row>
        <row r="59">
          <cell r="U59">
            <v>13.968791646947647</v>
          </cell>
          <cell r="V59">
            <v>0</v>
          </cell>
          <cell r="W59">
            <v>0</v>
          </cell>
          <cell r="X59">
            <v>9.6134245566817125</v>
          </cell>
        </row>
        <row r="60">
          <cell r="U60">
            <v>66.128190397332958</v>
          </cell>
          <cell r="V60">
            <v>0</v>
          </cell>
          <cell r="W60">
            <v>0</v>
          </cell>
          <cell r="X60">
            <v>2.6267586741162818E-3</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A Revenues"/>
      <sheetName val="Meter Study"/>
      <sheetName val="Special Studies"/>
      <sheetName val="Zero Inch Mains"/>
      <sheetName val="Design Day"/>
      <sheetName val="Functionalization"/>
      <sheetName val="Depr"/>
      <sheetName val="Transfer"/>
      <sheetName val="Migrations"/>
      <sheetName val="Allocators"/>
      <sheetName val="RB"/>
      <sheetName val="OM"/>
      <sheetName val="Tax"/>
      <sheetName val="Subsidy"/>
      <sheetName val="Customer Costs"/>
      <sheetName val="NOI"/>
      <sheetName val="Rate60"/>
      <sheetName val="RTDS"/>
      <sheetName val="Sch E-4"/>
      <sheetName val="Bill_Impt"/>
      <sheetName val="Exhibits"/>
      <sheetName val="Unused Lge Gen Svc  Bill Comp"/>
      <sheetName val="Large Volume Bill Comparison"/>
      <sheetName val="LV Bill Impacts Exhibit"/>
      <sheetName val="Sch1B"/>
      <sheetName val="Unused Avg. Res. Cust."/>
      <sheetName val="Unit Costs"/>
      <sheetName val="Rate B Bill Freq"/>
      <sheetName val="Rate 110 Functional Allocators"/>
      <sheetName val="Rate 110 Functionalization"/>
      <sheetName val="Rate 120 Functionalization"/>
      <sheetName val="Rate 130 Functionalization"/>
      <sheetName val="Rate 140 Functionalization"/>
      <sheetName val="Rate 145 Functionalization"/>
      <sheetName val="Rate 160 Functionaliz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Allocators"/>
      <sheetName val="Functionalization"/>
      <sheetName val="Inputs"/>
      <sheetName val="Class Allocators"/>
      <sheetName val="RB"/>
      <sheetName val="OM"/>
      <sheetName val="Tax"/>
      <sheetName val="Functional Unit Cost"/>
      <sheetName val="NOI"/>
      <sheetName val="Subsidy"/>
      <sheetName val="Sch1B"/>
      <sheetName val="Trans"/>
      <sheetName val="Exhibits"/>
      <sheetName val="Coscomp"/>
      <sheetName val="RTDS"/>
      <sheetName val="Bill_Impt"/>
      <sheetName val="Rate A Unit Cost"/>
      <sheetName val=""/>
    </sheetNames>
    <sheetDataSet>
      <sheetData sheetId="0" refreshError="1"/>
      <sheetData sheetId="1" refreshError="1"/>
      <sheetData sheetId="2" refreshError="1"/>
      <sheetData sheetId="3"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2">
          <cell r="A2" t="str">
            <v>[NOTE THAT ALLOCATORS MUST BE IN NUMERICAL ORDER FOR VLOOKUP TO WORK]</v>
          </cell>
        </row>
        <row r="3">
          <cell r="A3" t="str">
            <v>NO.</v>
          </cell>
          <cell r="C3" t="str">
            <v>ALLOCATORS</v>
          </cell>
          <cell r="D3" t="str">
            <v>A</v>
          </cell>
          <cell r="E3" t="str">
            <v>B</v>
          </cell>
          <cell r="F3" t="str">
            <v>C</v>
          </cell>
          <cell r="G3" t="str">
            <v>D</v>
          </cell>
          <cell r="H3" t="str">
            <v>E</v>
          </cell>
          <cell r="I3" t="str">
            <v>F</v>
          </cell>
          <cell r="J3" t="str">
            <v>G</v>
          </cell>
          <cell r="K3" t="str">
            <v>H</v>
          </cell>
          <cell r="L3" t="str">
            <v>I</v>
          </cell>
          <cell r="M3" t="str">
            <v>J</v>
          </cell>
          <cell r="N3" t="str">
            <v>K</v>
          </cell>
          <cell r="O3" t="str">
            <v>L</v>
          </cell>
          <cell r="P3" t="str">
            <v>M</v>
          </cell>
          <cell r="Q3" t="str">
            <v>N</v>
          </cell>
          <cell r="R3" t="str">
            <v>O</v>
          </cell>
          <cell r="S3" t="str">
            <v>P</v>
          </cell>
          <cell r="T3" t="str">
            <v>TOTAL</v>
          </cell>
        </row>
        <row r="6">
          <cell r="B6" t="str">
            <v>Old</v>
          </cell>
          <cell r="C6" t="str">
            <v>Annual Sales</v>
          </cell>
          <cell r="D6">
            <v>76777839</v>
          </cell>
          <cell r="E6">
            <v>37933709</v>
          </cell>
          <cell r="F6">
            <v>0</v>
          </cell>
          <cell r="G6">
            <v>0</v>
          </cell>
          <cell r="H6">
            <v>0</v>
          </cell>
          <cell r="I6">
            <v>0</v>
          </cell>
          <cell r="J6">
            <v>0</v>
          </cell>
          <cell r="K6">
            <v>0</v>
          </cell>
          <cell r="L6">
            <v>0</v>
          </cell>
          <cell r="M6">
            <v>0</v>
          </cell>
          <cell r="N6">
            <v>0</v>
          </cell>
          <cell r="O6">
            <v>0</v>
          </cell>
          <cell r="P6">
            <v>0</v>
          </cell>
          <cell r="Q6">
            <v>0</v>
          </cell>
          <cell r="R6">
            <v>0</v>
          </cell>
          <cell r="S6">
            <v>0</v>
          </cell>
          <cell r="T6">
            <v>114711548</v>
          </cell>
          <cell r="U6">
            <v>0</v>
          </cell>
        </row>
        <row r="7">
          <cell r="A7">
            <v>1</v>
          </cell>
          <cell r="B7" t="str">
            <v>COM1</v>
          </cell>
          <cell r="D7">
            <v>0.66931220400000002</v>
          </cell>
          <cell r="E7">
            <v>0.33068779599999998</v>
          </cell>
          <cell r="F7">
            <v>0</v>
          </cell>
          <cell r="G7">
            <v>0</v>
          </cell>
          <cell r="H7">
            <v>0</v>
          </cell>
          <cell r="I7">
            <v>0</v>
          </cell>
          <cell r="J7">
            <v>0</v>
          </cell>
          <cell r="K7">
            <v>0</v>
          </cell>
          <cell r="L7">
            <v>0</v>
          </cell>
          <cell r="M7">
            <v>0</v>
          </cell>
          <cell r="N7">
            <v>0</v>
          </cell>
          <cell r="O7">
            <v>0</v>
          </cell>
          <cell r="P7">
            <v>0</v>
          </cell>
          <cell r="Q7">
            <v>0</v>
          </cell>
          <cell r="R7">
            <v>0</v>
          </cell>
          <cell r="S7">
            <v>0</v>
          </cell>
          <cell r="T7">
            <v>1</v>
          </cell>
          <cell r="U7" t="str">
            <v>Annual Sales</v>
          </cell>
        </row>
        <row r="9">
          <cell r="C9" t="str">
            <v>Annual Throughput</v>
          </cell>
          <cell r="D9">
            <v>76777839</v>
          </cell>
          <cell r="E9">
            <v>41750629</v>
          </cell>
          <cell r="F9">
            <v>44614660</v>
          </cell>
          <cell r="G9">
            <v>125372970</v>
          </cell>
          <cell r="H9">
            <v>0</v>
          </cell>
          <cell r="I9">
            <v>0</v>
          </cell>
          <cell r="J9">
            <v>0</v>
          </cell>
          <cell r="K9">
            <v>0</v>
          </cell>
          <cell r="L9">
            <v>0</v>
          </cell>
          <cell r="M9">
            <v>0</v>
          </cell>
          <cell r="N9">
            <v>0</v>
          </cell>
          <cell r="O9">
            <v>0</v>
          </cell>
          <cell r="P9">
            <v>0</v>
          </cell>
          <cell r="Q9">
            <v>0</v>
          </cell>
          <cell r="R9">
            <v>0</v>
          </cell>
          <cell r="S9">
            <v>0</v>
          </cell>
          <cell r="T9">
            <v>288516098</v>
          </cell>
          <cell r="U9">
            <v>0</v>
          </cell>
        </row>
        <row r="10">
          <cell r="A10">
            <v>2</v>
          </cell>
          <cell r="B10" t="str">
            <v>COM2</v>
          </cell>
          <cell r="D10">
            <v>0.26611284299999999</v>
          </cell>
          <cell r="E10">
            <v>0.14470814400000001</v>
          </cell>
          <cell r="F10">
            <v>0.15463490699999999</v>
          </cell>
          <cell r="G10">
            <v>0.43454410599999999</v>
          </cell>
          <cell r="H10">
            <v>0</v>
          </cell>
          <cell r="I10">
            <v>0</v>
          </cell>
          <cell r="J10">
            <v>0</v>
          </cell>
          <cell r="K10">
            <v>0</v>
          </cell>
          <cell r="L10">
            <v>0</v>
          </cell>
          <cell r="M10">
            <v>0</v>
          </cell>
          <cell r="N10">
            <v>0</v>
          </cell>
          <cell r="O10">
            <v>0</v>
          </cell>
          <cell r="P10">
            <v>0</v>
          </cell>
          <cell r="Q10">
            <v>0</v>
          </cell>
          <cell r="R10">
            <v>0</v>
          </cell>
          <cell r="S10">
            <v>0</v>
          </cell>
          <cell r="T10">
            <v>1</v>
          </cell>
          <cell r="U10" t="str">
            <v>Annual Throughput</v>
          </cell>
        </row>
        <row r="12">
          <cell r="C12" t="str">
            <v>Annual Throughput</v>
          </cell>
          <cell r="D12">
            <v>76777839</v>
          </cell>
          <cell r="E12">
            <v>41750629</v>
          </cell>
          <cell r="F12">
            <v>44614660</v>
          </cell>
          <cell r="G12">
            <v>125372970</v>
          </cell>
          <cell r="H12">
            <v>0</v>
          </cell>
          <cell r="I12">
            <v>0</v>
          </cell>
          <cell r="J12">
            <v>0</v>
          </cell>
          <cell r="K12">
            <v>0</v>
          </cell>
          <cell r="L12">
            <v>0</v>
          </cell>
          <cell r="M12">
            <v>0</v>
          </cell>
          <cell r="N12">
            <v>0</v>
          </cell>
          <cell r="O12">
            <v>0</v>
          </cell>
          <cell r="P12">
            <v>0</v>
          </cell>
          <cell r="Q12">
            <v>0</v>
          </cell>
          <cell r="R12">
            <v>0</v>
          </cell>
          <cell r="S12">
            <v>0</v>
          </cell>
          <cell r="T12">
            <v>288516098</v>
          </cell>
          <cell r="U12">
            <v>0</v>
          </cell>
        </row>
        <row r="13">
          <cell r="A13">
            <v>3</v>
          </cell>
          <cell r="B13" t="str">
            <v>COM3</v>
          </cell>
          <cell r="D13">
            <v>0.26611284299999999</v>
          </cell>
          <cell r="E13">
            <v>0.14470814400000001</v>
          </cell>
          <cell r="F13">
            <v>0.15463490699999999</v>
          </cell>
          <cell r="G13">
            <v>0.43454410599999999</v>
          </cell>
          <cell r="H13">
            <v>0</v>
          </cell>
          <cell r="I13">
            <v>0</v>
          </cell>
          <cell r="J13">
            <v>0</v>
          </cell>
          <cell r="K13">
            <v>0</v>
          </cell>
          <cell r="L13">
            <v>0</v>
          </cell>
          <cell r="M13">
            <v>0</v>
          </cell>
          <cell r="N13">
            <v>0</v>
          </cell>
          <cell r="O13">
            <v>0</v>
          </cell>
          <cell r="P13">
            <v>0</v>
          </cell>
          <cell r="Q13">
            <v>0</v>
          </cell>
          <cell r="R13">
            <v>0</v>
          </cell>
          <cell r="S13">
            <v>0</v>
          </cell>
          <cell r="T13">
            <v>1</v>
          </cell>
          <cell r="U13" t="str">
            <v>Annual Throughput</v>
          </cell>
        </row>
        <row r="15">
          <cell r="C15" t="str">
            <v>Annual Throughput</v>
          </cell>
          <cell r="D15">
            <v>76777839</v>
          </cell>
          <cell r="E15">
            <v>41750629</v>
          </cell>
          <cell r="F15">
            <v>44614660</v>
          </cell>
          <cell r="G15">
            <v>125372970</v>
          </cell>
          <cell r="H15">
            <v>0</v>
          </cell>
          <cell r="I15">
            <v>0</v>
          </cell>
          <cell r="J15">
            <v>0</v>
          </cell>
          <cell r="K15">
            <v>0</v>
          </cell>
          <cell r="L15">
            <v>0</v>
          </cell>
          <cell r="M15">
            <v>0</v>
          </cell>
          <cell r="N15">
            <v>0</v>
          </cell>
          <cell r="O15">
            <v>0</v>
          </cell>
          <cell r="P15">
            <v>0</v>
          </cell>
          <cell r="Q15">
            <v>0</v>
          </cell>
          <cell r="R15">
            <v>0</v>
          </cell>
          <cell r="S15">
            <v>0</v>
          </cell>
          <cell r="T15">
            <v>288516098</v>
          </cell>
          <cell r="U15">
            <v>0</v>
          </cell>
        </row>
        <row r="16">
          <cell r="A16">
            <v>4</v>
          </cell>
          <cell r="B16" t="str">
            <v>COM4</v>
          </cell>
          <cell r="D16">
            <v>0.26611284299999999</v>
          </cell>
          <cell r="E16">
            <v>0.14470814400000001</v>
          </cell>
          <cell r="F16">
            <v>0.15463490699999999</v>
          </cell>
          <cell r="G16">
            <v>0.43454410599999999</v>
          </cell>
          <cell r="H16">
            <v>0</v>
          </cell>
          <cell r="I16">
            <v>0</v>
          </cell>
          <cell r="J16">
            <v>0</v>
          </cell>
          <cell r="K16">
            <v>0</v>
          </cell>
          <cell r="L16">
            <v>0</v>
          </cell>
          <cell r="M16">
            <v>0</v>
          </cell>
          <cell r="N16">
            <v>0</v>
          </cell>
          <cell r="O16">
            <v>0</v>
          </cell>
          <cell r="P16">
            <v>0</v>
          </cell>
          <cell r="Q16">
            <v>0</v>
          </cell>
          <cell r="R16">
            <v>0</v>
          </cell>
          <cell r="S16">
            <v>0</v>
          </cell>
          <cell r="T16">
            <v>1</v>
          </cell>
          <cell r="U16" t="str">
            <v>Annual Throughput</v>
          </cell>
        </row>
        <row r="18">
          <cell r="C18" t="str">
            <v>Procurement Expenses</v>
          </cell>
          <cell r="D18">
            <v>1096155</v>
          </cell>
          <cell r="E18">
            <v>458973</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1555128</v>
          </cell>
          <cell r="U18">
            <v>0</v>
          </cell>
        </row>
        <row r="19">
          <cell r="A19">
            <v>5</v>
          </cell>
          <cell r="B19" t="str">
            <v>DEM01</v>
          </cell>
          <cell r="D19">
            <v>0.70486480900000004</v>
          </cell>
          <cell r="E19">
            <v>0.29513519100000002</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1</v>
          </cell>
          <cell r="U19" t="str">
            <v>Procurement Expenses</v>
          </cell>
        </row>
        <row r="21">
          <cell r="C21" t="str">
            <v>Storage</v>
          </cell>
          <cell r="D21">
            <v>1096155</v>
          </cell>
          <cell r="E21">
            <v>458973</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1555128</v>
          </cell>
          <cell r="U21">
            <v>0</v>
          </cell>
        </row>
        <row r="22">
          <cell r="A22">
            <v>6</v>
          </cell>
          <cell r="B22" t="str">
            <v>DEM02</v>
          </cell>
          <cell r="D22">
            <v>0.70486480900000004</v>
          </cell>
          <cell r="E22">
            <v>0.29513519100000002</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1</v>
          </cell>
          <cell r="U22" t="str">
            <v>Storage</v>
          </cell>
        </row>
        <row r="24">
          <cell r="C24" t="str">
            <v>Transmission</v>
          </cell>
          <cell r="D24">
            <v>1096155</v>
          </cell>
          <cell r="E24">
            <v>485374</v>
          </cell>
          <cell r="F24">
            <v>236838</v>
          </cell>
          <cell r="G24">
            <v>710161</v>
          </cell>
          <cell r="H24">
            <v>0</v>
          </cell>
          <cell r="I24">
            <v>0</v>
          </cell>
          <cell r="J24">
            <v>0</v>
          </cell>
          <cell r="K24">
            <v>0</v>
          </cell>
          <cell r="L24">
            <v>0</v>
          </cell>
          <cell r="M24">
            <v>0</v>
          </cell>
          <cell r="N24">
            <v>0</v>
          </cell>
          <cell r="O24">
            <v>0</v>
          </cell>
          <cell r="P24">
            <v>0</v>
          </cell>
          <cell r="Q24">
            <v>0</v>
          </cell>
          <cell r="R24">
            <v>0</v>
          </cell>
          <cell r="S24">
            <v>0</v>
          </cell>
          <cell r="T24">
            <v>2528528</v>
          </cell>
          <cell r="U24">
            <v>0</v>
          </cell>
        </row>
        <row r="25">
          <cell r="A25">
            <v>7</v>
          </cell>
          <cell r="B25" t="str">
            <v>DEM03</v>
          </cell>
          <cell r="D25">
            <v>0.43351507299999997</v>
          </cell>
          <cell r="E25">
            <v>0.19195911600000001</v>
          </cell>
          <cell r="F25">
            <v>9.3666353999999993E-2</v>
          </cell>
          <cell r="G25">
            <v>0.28085945699999998</v>
          </cell>
          <cell r="H25">
            <v>0</v>
          </cell>
          <cell r="I25">
            <v>0</v>
          </cell>
          <cell r="J25">
            <v>0</v>
          </cell>
          <cell r="K25">
            <v>0</v>
          </cell>
          <cell r="L25">
            <v>0</v>
          </cell>
          <cell r="M25">
            <v>0</v>
          </cell>
          <cell r="N25">
            <v>0</v>
          </cell>
          <cell r="O25">
            <v>0</v>
          </cell>
          <cell r="P25">
            <v>0</v>
          </cell>
          <cell r="Q25">
            <v>0</v>
          </cell>
          <cell r="R25">
            <v>0</v>
          </cell>
          <cell r="S25">
            <v>0</v>
          </cell>
          <cell r="T25">
            <v>1</v>
          </cell>
          <cell r="U25" t="str">
            <v>Transmission</v>
          </cell>
        </row>
        <row r="27">
          <cell r="C27" t="str">
            <v>Distribution Structures</v>
          </cell>
          <cell r="D27">
            <v>1096155</v>
          </cell>
          <cell r="E27">
            <v>485374</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1581529</v>
          </cell>
          <cell r="U27">
            <v>0</v>
          </cell>
        </row>
        <row r="28">
          <cell r="A28">
            <v>8</v>
          </cell>
          <cell r="B28" t="str">
            <v>DEM04</v>
          </cell>
          <cell r="D28">
            <v>0.69309826100000005</v>
          </cell>
          <cell r="E28">
            <v>0.30690173900000001</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1</v>
          </cell>
          <cell r="U28" t="str">
            <v>Distribution Structures</v>
          </cell>
        </row>
        <row r="30">
          <cell r="C30" t="str">
            <v>Distribution Mains</v>
          </cell>
          <cell r="D30">
            <v>1096155</v>
          </cell>
          <cell r="E30">
            <v>485374</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1581529</v>
          </cell>
          <cell r="U30">
            <v>0</v>
          </cell>
        </row>
        <row r="31">
          <cell r="A31">
            <v>9</v>
          </cell>
          <cell r="B31" t="str">
            <v>DEM05</v>
          </cell>
          <cell r="D31">
            <v>0.69309826100000005</v>
          </cell>
          <cell r="E31">
            <v>0.30690173900000001</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t="str">
            <v>Distribution Mains</v>
          </cell>
        </row>
        <row r="33">
          <cell r="C33" t="str">
            <v>Year-End Customers</v>
          </cell>
          <cell r="D33">
            <v>100957</v>
          </cell>
          <cell r="E33">
            <v>10144</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111101</v>
          </cell>
          <cell r="U33">
            <v>0</v>
          </cell>
        </row>
        <row r="34">
          <cell r="A34">
            <v>10</v>
          </cell>
          <cell r="B34" t="str">
            <v>CUST01</v>
          </cell>
          <cell r="D34">
            <v>0.90869569100000003</v>
          </cell>
          <cell r="E34">
            <v>9.1304309E-2</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v>
          </cell>
          <cell r="U34" t="str">
            <v>Year-End Customers</v>
          </cell>
        </row>
        <row r="36">
          <cell r="C36" t="str">
            <v>Services Investment</v>
          </cell>
          <cell r="D36">
            <v>14215755</v>
          </cell>
          <cell r="E36">
            <v>3325710</v>
          </cell>
          <cell r="F36">
            <v>36411</v>
          </cell>
          <cell r="G36">
            <v>5623</v>
          </cell>
          <cell r="H36">
            <v>0</v>
          </cell>
          <cell r="I36">
            <v>0</v>
          </cell>
          <cell r="J36">
            <v>0</v>
          </cell>
          <cell r="K36">
            <v>0</v>
          </cell>
          <cell r="L36">
            <v>0</v>
          </cell>
          <cell r="M36">
            <v>0</v>
          </cell>
          <cell r="N36">
            <v>0</v>
          </cell>
          <cell r="O36">
            <v>0</v>
          </cell>
          <cell r="P36">
            <v>0</v>
          </cell>
          <cell r="Q36">
            <v>0</v>
          </cell>
          <cell r="R36">
            <v>0</v>
          </cell>
          <cell r="S36">
            <v>0</v>
          </cell>
          <cell r="T36">
            <v>17583499</v>
          </cell>
          <cell r="U36">
            <v>0</v>
          </cell>
        </row>
        <row r="37">
          <cell r="A37">
            <v>11</v>
          </cell>
          <cell r="B37" t="str">
            <v>CUST02</v>
          </cell>
          <cell r="D37">
            <v>0.80847133999999998</v>
          </cell>
          <cell r="E37">
            <v>0.18913812299999999</v>
          </cell>
          <cell r="F37">
            <v>2.0707479999999999E-3</v>
          </cell>
          <cell r="G37">
            <v>3.19788E-4</v>
          </cell>
          <cell r="H37">
            <v>0</v>
          </cell>
          <cell r="I37">
            <v>0</v>
          </cell>
          <cell r="J37">
            <v>0</v>
          </cell>
          <cell r="K37">
            <v>0</v>
          </cell>
          <cell r="L37">
            <v>0</v>
          </cell>
          <cell r="M37">
            <v>0</v>
          </cell>
          <cell r="N37">
            <v>0</v>
          </cell>
          <cell r="O37">
            <v>0</v>
          </cell>
          <cell r="P37">
            <v>0</v>
          </cell>
          <cell r="Q37">
            <v>0</v>
          </cell>
          <cell r="R37">
            <v>0</v>
          </cell>
          <cell r="S37">
            <v>0</v>
          </cell>
          <cell r="T37">
            <v>0.99999999899999992</v>
          </cell>
          <cell r="U37" t="str">
            <v>Services Investment</v>
          </cell>
        </row>
        <row r="39">
          <cell r="C39" t="str">
            <v>Meters Investment</v>
          </cell>
          <cell r="D39">
            <v>7218496</v>
          </cell>
          <cell r="E39">
            <v>3404034</v>
          </cell>
          <cell r="F39">
            <v>253497</v>
          </cell>
          <cell r="G39">
            <v>46864</v>
          </cell>
          <cell r="H39">
            <v>0</v>
          </cell>
          <cell r="I39">
            <v>0</v>
          </cell>
          <cell r="J39">
            <v>0</v>
          </cell>
          <cell r="K39">
            <v>0</v>
          </cell>
          <cell r="L39">
            <v>0</v>
          </cell>
          <cell r="M39">
            <v>0</v>
          </cell>
          <cell r="N39">
            <v>0</v>
          </cell>
          <cell r="O39">
            <v>0</v>
          </cell>
          <cell r="P39">
            <v>0</v>
          </cell>
          <cell r="Q39">
            <v>0</v>
          </cell>
          <cell r="R39">
            <v>0</v>
          </cell>
          <cell r="S39">
            <v>0</v>
          </cell>
          <cell r="T39">
            <v>10922891</v>
          </cell>
          <cell r="U39">
            <v>0</v>
          </cell>
        </row>
        <row r="40">
          <cell r="A40">
            <v>12</v>
          </cell>
          <cell r="B40" t="str">
            <v>CUST03</v>
          </cell>
          <cell r="D40">
            <v>0.660859474</v>
          </cell>
          <cell r="E40">
            <v>0.31164222000000003</v>
          </cell>
          <cell r="F40">
            <v>2.3207867E-2</v>
          </cell>
          <cell r="G40">
            <v>4.2904390000000001E-3</v>
          </cell>
          <cell r="H40">
            <v>0</v>
          </cell>
          <cell r="I40">
            <v>0</v>
          </cell>
          <cell r="J40">
            <v>0</v>
          </cell>
          <cell r="K40">
            <v>0</v>
          </cell>
          <cell r="L40">
            <v>0</v>
          </cell>
          <cell r="M40">
            <v>0</v>
          </cell>
          <cell r="N40">
            <v>0</v>
          </cell>
          <cell r="O40">
            <v>0</v>
          </cell>
          <cell r="P40">
            <v>0</v>
          </cell>
          <cell r="Q40">
            <v>0</v>
          </cell>
          <cell r="R40">
            <v>0</v>
          </cell>
          <cell r="S40">
            <v>0</v>
          </cell>
          <cell r="T40">
            <v>1</v>
          </cell>
          <cell r="U40" t="str">
            <v>Meters Investment</v>
          </cell>
        </row>
        <row r="42">
          <cell r="C42" t="str">
            <v>Customer Accounts (Weighted)</v>
          </cell>
          <cell r="D42">
            <v>54596.7</v>
          </cell>
          <cell r="E42">
            <v>6081.97</v>
          </cell>
          <cell r="F42">
            <v>189</v>
          </cell>
          <cell r="G42">
            <v>21.6</v>
          </cell>
          <cell r="H42">
            <v>0</v>
          </cell>
          <cell r="I42">
            <v>0</v>
          </cell>
          <cell r="J42">
            <v>0</v>
          </cell>
          <cell r="K42">
            <v>0</v>
          </cell>
          <cell r="L42">
            <v>0</v>
          </cell>
          <cell r="M42">
            <v>0</v>
          </cell>
          <cell r="N42">
            <v>0</v>
          </cell>
          <cell r="O42">
            <v>0</v>
          </cell>
          <cell r="P42">
            <v>0</v>
          </cell>
          <cell r="Q42">
            <v>0</v>
          </cell>
          <cell r="R42">
            <v>0</v>
          </cell>
          <cell r="S42">
            <v>0</v>
          </cell>
          <cell r="T42">
            <v>60889.266000000003</v>
          </cell>
          <cell r="U42">
            <v>3.9999999935389496E-3</v>
          </cell>
        </row>
        <row r="43">
          <cell r="A43">
            <v>13</v>
          </cell>
          <cell r="B43" t="str">
            <v>CUST04</v>
          </cell>
          <cell r="D43">
            <v>0.89665557799999995</v>
          </cell>
          <cell r="E43">
            <v>9.9885749999999995E-2</v>
          </cell>
          <cell r="F43">
            <v>3.103995E-3</v>
          </cell>
          <cell r="G43">
            <v>3.5474200000000001E-4</v>
          </cell>
          <cell r="H43">
            <v>0</v>
          </cell>
          <cell r="I43">
            <v>0</v>
          </cell>
          <cell r="J43">
            <v>0</v>
          </cell>
          <cell r="K43">
            <v>0</v>
          </cell>
          <cell r="L43">
            <v>0</v>
          </cell>
          <cell r="M43">
            <v>0</v>
          </cell>
          <cell r="N43">
            <v>0</v>
          </cell>
          <cell r="O43">
            <v>0</v>
          </cell>
          <cell r="P43">
            <v>0</v>
          </cell>
          <cell r="Q43">
            <v>0</v>
          </cell>
          <cell r="R43">
            <v>0</v>
          </cell>
          <cell r="S43">
            <v>0</v>
          </cell>
          <cell r="T43">
            <v>1.000000065</v>
          </cell>
          <cell r="U43" t="str">
            <v>Customer Accounts (Weighted)</v>
          </cell>
        </row>
        <row r="45">
          <cell r="C45" t="str">
            <v>Customer Service</v>
          </cell>
          <cell r="D45">
            <v>101105</v>
          </cell>
          <cell r="E45">
            <v>11263</v>
          </cell>
          <cell r="F45">
            <v>350</v>
          </cell>
          <cell r="G45">
            <v>40</v>
          </cell>
          <cell r="H45">
            <v>0</v>
          </cell>
          <cell r="I45">
            <v>0</v>
          </cell>
          <cell r="J45">
            <v>0</v>
          </cell>
          <cell r="K45">
            <v>0</v>
          </cell>
          <cell r="L45">
            <v>0</v>
          </cell>
          <cell r="M45">
            <v>0</v>
          </cell>
          <cell r="N45">
            <v>0</v>
          </cell>
          <cell r="O45">
            <v>0</v>
          </cell>
          <cell r="P45">
            <v>0</v>
          </cell>
          <cell r="Q45">
            <v>0</v>
          </cell>
          <cell r="R45">
            <v>0</v>
          </cell>
          <cell r="S45">
            <v>0</v>
          </cell>
          <cell r="T45">
            <v>112758</v>
          </cell>
          <cell r="U45">
            <v>0</v>
          </cell>
        </row>
        <row r="46">
          <cell r="A46">
            <v>14</v>
          </cell>
          <cell r="B46" t="str">
            <v>CUST05</v>
          </cell>
          <cell r="D46">
            <v>0.89665478300000001</v>
          </cell>
          <cell r="E46">
            <v>9.9886482999999998E-2</v>
          </cell>
          <cell r="F46">
            <v>3.1039930000000002E-3</v>
          </cell>
          <cell r="G46">
            <v>3.5474200000000001E-4</v>
          </cell>
          <cell r="H46">
            <v>0</v>
          </cell>
          <cell r="I46">
            <v>0</v>
          </cell>
          <cell r="J46">
            <v>0</v>
          </cell>
          <cell r="K46">
            <v>0</v>
          </cell>
          <cell r="L46">
            <v>0</v>
          </cell>
          <cell r="M46">
            <v>0</v>
          </cell>
          <cell r="N46">
            <v>0</v>
          </cell>
          <cell r="O46">
            <v>0</v>
          </cell>
          <cell r="P46">
            <v>0</v>
          </cell>
          <cell r="Q46">
            <v>0</v>
          </cell>
          <cell r="R46">
            <v>0</v>
          </cell>
          <cell r="S46">
            <v>0</v>
          </cell>
          <cell r="T46">
            <v>1.0000000010000001</v>
          </cell>
          <cell r="U46" t="str">
            <v>Customer Service</v>
          </cell>
        </row>
        <row r="48">
          <cell r="C48" t="str">
            <v>Forfeited Discounts</v>
          </cell>
          <cell r="D48">
            <v>73</v>
          </cell>
          <cell r="E48">
            <v>27</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100</v>
          </cell>
          <cell r="U48">
            <v>0</v>
          </cell>
        </row>
        <row r="49">
          <cell r="A49">
            <v>15</v>
          </cell>
          <cell r="B49" t="str">
            <v>REVFD</v>
          </cell>
          <cell r="D49">
            <v>0.73</v>
          </cell>
          <cell r="E49">
            <v>0.27</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1</v>
          </cell>
          <cell r="U49" t="str">
            <v>Forfeited Discounts</v>
          </cell>
        </row>
        <row r="51">
          <cell r="C51" t="str">
            <v>Proforma A Revenues w/o Misc. Revenues</v>
          </cell>
          <cell r="D51">
            <v>18929782</v>
          </cell>
          <cell r="E51">
            <v>5946881</v>
          </cell>
          <cell r="F51">
            <v>1942453</v>
          </cell>
          <cell r="G51">
            <v>1110957</v>
          </cell>
          <cell r="H51">
            <v>0</v>
          </cell>
          <cell r="I51">
            <v>0</v>
          </cell>
          <cell r="J51">
            <v>0</v>
          </cell>
          <cell r="K51">
            <v>0</v>
          </cell>
          <cell r="L51">
            <v>0</v>
          </cell>
          <cell r="M51">
            <v>0</v>
          </cell>
          <cell r="N51">
            <v>0</v>
          </cell>
          <cell r="O51">
            <v>0</v>
          </cell>
          <cell r="P51">
            <v>0</v>
          </cell>
          <cell r="Q51">
            <v>0</v>
          </cell>
          <cell r="R51">
            <v>0</v>
          </cell>
          <cell r="S51">
            <v>0</v>
          </cell>
          <cell r="T51">
            <v>27930073</v>
          </cell>
          <cell r="U51">
            <v>0</v>
          </cell>
        </row>
        <row r="52">
          <cell r="A52">
            <v>16</v>
          </cell>
          <cell r="D52">
            <v>0.67775626700000002</v>
          </cell>
          <cell r="E52">
            <v>0.21292035300000001</v>
          </cell>
          <cell r="F52">
            <v>6.9547007999999993E-2</v>
          </cell>
          <cell r="G52">
            <v>3.9776372999999997E-2</v>
          </cell>
          <cell r="H52">
            <v>0</v>
          </cell>
          <cell r="I52">
            <v>0</v>
          </cell>
          <cell r="J52">
            <v>0</v>
          </cell>
          <cell r="K52">
            <v>0</v>
          </cell>
          <cell r="L52">
            <v>0</v>
          </cell>
          <cell r="M52">
            <v>0</v>
          </cell>
          <cell r="N52">
            <v>0</v>
          </cell>
          <cell r="O52">
            <v>0</v>
          </cell>
          <cell r="P52">
            <v>0</v>
          </cell>
          <cell r="Q52">
            <v>0</v>
          </cell>
          <cell r="R52">
            <v>0</v>
          </cell>
          <cell r="S52">
            <v>0</v>
          </cell>
          <cell r="T52">
            <v>1.0000000010000001</v>
          </cell>
          <cell r="U52" t="str">
            <v>Proforma A Revenues w/o Misc. Revenues</v>
          </cell>
        </row>
        <row r="54">
          <cell r="C54" t="str">
            <v>Proforma A Normalized Revenues</v>
          </cell>
          <cell r="D54">
            <v>19777694</v>
          </cell>
          <cell r="E54">
            <v>6227553</v>
          </cell>
          <cell r="F54">
            <v>2003126</v>
          </cell>
          <cell r="G54">
            <v>1145658</v>
          </cell>
          <cell r="H54">
            <v>1219309</v>
          </cell>
          <cell r="I54">
            <v>21337</v>
          </cell>
          <cell r="J54">
            <v>5070017</v>
          </cell>
          <cell r="K54">
            <v>14638606</v>
          </cell>
          <cell r="L54">
            <v>6766306</v>
          </cell>
          <cell r="M54">
            <v>4907375</v>
          </cell>
          <cell r="N54">
            <v>729018</v>
          </cell>
          <cell r="O54">
            <v>0</v>
          </cell>
          <cell r="P54">
            <v>4486760</v>
          </cell>
          <cell r="Q54">
            <v>0</v>
          </cell>
          <cell r="R54">
            <v>4503582</v>
          </cell>
          <cell r="S54">
            <v>17243580</v>
          </cell>
          <cell r="T54">
            <v>88739921</v>
          </cell>
          <cell r="U54">
            <v>0</v>
          </cell>
        </row>
        <row r="55">
          <cell r="A55">
            <v>17</v>
          </cell>
          <cell r="D55">
            <v>0.22287256699999999</v>
          </cell>
          <cell r="E55">
            <v>7.0177581000000003E-2</v>
          </cell>
          <cell r="F55">
            <v>2.2572997000000001E-2</v>
          </cell>
          <cell r="G55">
            <v>1.2910289E-2</v>
          </cell>
          <cell r="H55">
            <v>1.3740252999999999E-2</v>
          </cell>
          <cell r="I55">
            <v>2.40444E-4</v>
          </cell>
          <cell r="J55">
            <v>5.7133441E-2</v>
          </cell>
          <cell r="K55">
            <v>0.164960773</v>
          </cell>
          <cell r="L55">
            <v>7.6248727000000002E-2</v>
          </cell>
          <cell r="M55">
            <v>5.5300646000000002E-2</v>
          </cell>
          <cell r="N55">
            <v>8.2152200000000005E-3</v>
          </cell>
          <cell r="O55">
            <v>0</v>
          </cell>
          <cell r="P55">
            <v>5.0560783999999998E-2</v>
          </cell>
          <cell r="Q55">
            <v>0</v>
          </cell>
          <cell r="R55">
            <v>5.0750349E-2</v>
          </cell>
          <cell r="S55">
            <v>0.194315927</v>
          </cell>
          <cell r="T55">
            <v>0.99999999799999983</v>
          </cell>
          <cell r="U55" t="str">
            <v>Proforma A Normalized Revenues</v>
          </cell>
        </row>
        <row r="57">
          <cell r="D57">
            <v>57272</v>
          </cell>
          <cell r="E57">
            <v>32615237</v>
          </cell>
          <cell r="F57">
            <v>301382</v>
          </cell>
          <cell r="G57">
            <v>12123674</v>
          </cell>
          <cell r="H57">
            <v>215951</v>
          </cell>
          <cell r="I57">
            <v>597</v>
          </cell>
          <cell r="J57">
            <v>906356</v>
          </cell>
          <cell r="K57">
            <v>2499094</v>
          </cell>
          <cell r="L57">
            <v>1559564</v>
          </cell>
          <cell r="M57">
            <v>1057545</v>
          </cell>
          <cell r="N57">
            <v>694760</v>
          </cell>
          <cell r="O57">
            <v>0</v>
          </cell>
          <cell r="P57">
            <v>5155823</v>
          </cell>
          <cell r="Q57">
            <v>0</v>
          </cell>
          <cell r="R57">
            <v>3722220</v>
          </cell>
          <cell r="S57">
            <v>4756857</v>
          </cell>
          <cell r="T57">
            <v>65666332</v>
          </cell>
          <cell r="U57">
            <v>0</v>
          </cell>
        </row>
        <row r="58">
          <cell r="A58">
            <v>18</v>
          </cell>
          <cell r="D58">
            <v>8.7216699999999997E-4</v>
          </cell>
          <cell r="E58">
            <v>0.49668126699999998</v>
          </cell>
          <cell r="F58">
            <v>4.5895969999999999E-3</v>
          </cell>
          <cell r="G58">
            <v>0.18462541800000001</v>
          </cell>
          <cell r="H58">
            <v>3.2886109999999999E-3</v>
          </cell>
          <cell r="I58">
            <v>9.0909999999999999E-6</v>
          </cell>
          <cell r="J58">
            <v>1.3802445999999999E-2</v>
          </cell>
          <cell r="K58">
            <v>3.8057463E-2</v>
          </cell>
          <cell r="L58">
            <v>2.3749827000000001E-2</v>
          </cell>
          <cell r="M58">
            <v>1.6104828000000002E-2</v>
          </cell>
          <cell r="N58">
            <v>1.0580155000000001E-2</v>
          </cell>
          <cell r="O58">
            <v>0</v>
          </cell>
          <cell r="P58">
            <v>7.8515471000000003E-2</v>
          </cell>
          <cell r="Q58">
            <v>0</v>
          </cell>
          <cell r="R58">
            <v>5.6683841999999998E-2</v>
          </cell>
          <cell r="S58">
            <v>7.2439816000000004E-2</v>
          </cell>
          <cell r="T58">
            <v>0.99999999900000003</v>
          </cell>
          <cell r="U58">
            <v>0</v>
          </cell>
        </row>
        <row r="60">
          <cell r="D60">
            <v>115081</v>
          </cell>
          <cell r="E60">
            <v>43616442</v>
          </cell>
          <cell r="F60">
            <v>593139</v>
          </cell>
          <cell r="G60">
            <v>15994878</v>
          </cell>
          <cell r="H60">
            <v>288245</v>
          </cell>
          <cell r="I60">
            <v>4972</v>
          </cell>
          <cell r="J60">
            <v>1490865</v>
          </cell>
          <cell r="K60">
            <v>4409875</v>
          </cell>
          <cell r="L60">
            <v>2193648</v>
          </cell>
          <cell r="M60">
            <v>1744126</v>
          </cell>
          <cell r="N60">
            <v>0</v>
          </cell>
          <cell r="O60">
            <v>0</v>
          </cell>
          <cell r="P60">
            <v>0</v>
          </cell>
          <cell r="Q60">
            <v>0</v>
          </cell>
          <cell r="R60">
            <v>0</v>
          </cell>
          <cell r="S60">
            <v>3806904</v>
          </cell>
          <cell r="T60">
            <v>74258175</v>
          </cell>
          <cell r="U60">
            <v>0</v>
          </cell>
        </row>
        <row r="61">
          <cell r="A61">
            <v>19</v>
          </cell>
          <cell r="D61">
            <v>1.549742E-3</v>
          </cell>
          <cell r="E61">
            <v>0.58736215899999999</v>
          </cell>
          <cell r="F61">
            <v>7.9875250000000005E-3</v>
          </cell>
          <cell r="G61">
            <v>0.21539551700000001</v>
          </cell>
          <cell r="H61">
            <v>3.8816599999999999E-3</v>
          </cell>
          <cell r="I61">
            <v>6.6956000000000001E-5</v>
          </cell>
          <cell r="J61">
            <v>2.0076778999999999E-2</v>
          </cell>
          <cell r="K61">
            <v>5.9385716999999998E-2</v>
          </cell>
          <cell r="L61">
            <v>2.9540828000000002E-2</v>
          </cell>
          <cell r="M61">
            <v>2.3487325999999999E-2</v>
          </cell>
          <cell r="N61">
            <v>0</v>
          </cell>
          <cell r="O61">
            <v>0</v>
          </cell>
          <cell r="P61">
            <v>0</v>
          </cell>
          <cell r="Q61">
            <v>0</v>
          </cell>
          <cell r="R61">
            <v>0</v>
          </cell>
          <cell r="S61">
            <v>5.1265789999999999E-2</v>
          </cell>
          <cell r="T61">
            <v>0.99999999900000003</v>
          </cell>
          <cell r="U61">
            <v>0</v>
          </cell>
        </row>
        <row r="63">
          <cell r="D63">
            <v>115081</v>
          </cell>
          <cell r="E63">
            <v>43616442</v>
          </cell>
          <cell r="F63">
            <v>593139</v>
          </cell>
          <cell r="G63">
            <v>15994878</v>
          </cell>
          <cell r="H63">
            <v>288245</v>
          </cell>
          <cell r="I63">
            <v>4972</v>
          </cell>
          <cell r="J63">
            <v>1490865</v>
          </cell>
          <cell r="K63">
            <v>4409875</v>
          </cell>
          <cell r="L63">
            <v>2193648</v>
          </cell>
          <cell r="M63">
            <v>1744126</v>
          </cell>
          <cell r="N63">
            <v>0</v>
          </cell>
          <cell r="O63">
            <v>0</v>
          </cell>
          <cell r="P63">
            <v>0</v>
          </cell>
          <cell r="Q63">
            <v>0</v>
          </cell>
          <cell r="R63">
            <v>0</v>
          </cell>
          <cell r="S63">
            <v>5267892</v>
          </cell>
          <cell r="T63">
            <v>75719163</v>
          </cell>
          <cell r="U63">
            <v>0</v>
          </cell>
        </row>
        <row r="64">
          <cell r="A64">
            <v>20</v>
          </cell>
          <cell r="D64">
            <v>1.5198399999999999E-3</v>
          </cell>
          <cell r="E64">
            <v>0.57602910900000004</v>
          </cell>
          <cell r="F64">
            <v>7.8334070000000006E-3</v>
          </cell>
          <cell r="G64">
            <v>0.211239498</v>
          </cell>
          <cell r="H64">
            <v>3.8067639999999998E-3</v>
          </cell>
          <cell r="I64">
            <v>6.5664E-5</v>
          </cell>
          <cell r="J64">
            <v>1.9689400999999999E-2</v>
          </cell>
          <cell r="K64">
            <v>5.8239880000000001E-2</v>
          </cell>
          <cell r="L64">
            <v>2.8970843E-2</v>
          </cell>
          <cell r="M64">
            <v>2.3034143E-2</v>
          </cell>
          <cell r="N64">
            <v>0</v>
          </cell>
          <cell r="O64">
            <v>0</v>
          </cell>
          <cell r="P64">
            <v>0</v>
          </cell>
          <cell r="Q64">
            <v>0</v>
          </cell>
          <cell r="R64">
            <v>0</v>
          </cell>
          <cell r="S64">
            <v>6.9571450000000007E-2</v>
          </cell>
          <cell r="T64">
            <v>0.99999999900000003</v>
          </cell>
          <cell r="U64">
            <v>0</v>
          </cell>
        </row>
        <row r="70">
          <cell r="A70" t="str">
            <v>INTERNALLY-GENERATED ALLOCATION FACTORS</v>
          </cell>
          <cell r="B70" t="str">
            <v>INTERNALLY-GENERATED ALLOCATION FACTORS</v>
          </cell>
        </row>
        <row r="71">
          <cell r="C71" t="str">
            <v>TOTAL COMPONENT OF MAINS</v>
          </cell>
          <cell r="D71">
            <v>13358625</v>
          </cell>
          <cell r="E71">
            <v>6031264</v>
          </cell>
          <cell r="F71">
            <v>3305970</v>
          </cell>
          <cell r="G71">
            <v>9787130</v>
          </cell>
          <cell r="H71">
            <v>0</v>
          </cell>
          <cell r="I71">
            <v>0</v>
          </cell>
          <cell r="J71">
            <v>0</v>
          </cell>
          <cell r="K71">
            <v>0</v>
          </cell>
          <cell r="L71">
            <v>0</v>
          </cell>
          <cell r="M71">
            <v>0</v>
          </cell>
          <cell r="N71">
            <v>0</v>
          </cell>
          <cell r="O71">
            <v>0</v>
          </cell>
          <cell r="P71">
            <v>0</v>
          </cell>
          <cell r="Q71">
            <v>0</v>
          </cell>
          <cell r="R71">
            <v>0</v>
          </cell>
          <cell r="S71">
            <v>0</v>
          </cell>
          <cell r="T71">
            <v>32482989</v>
          </cell>
        </row>
        <row r="72">
          <cell r="A72">
            <v>105</v>
          </cell>
          <cell r="B72">
            <v>15</v>
          </cell>
          <cell r="D72">
            <v>0.41124987000000002</v>
          </cell>
          <cell r="E72">
            <v>0.185674539</v>
          </cell>
          <cell r="F72">
            <v>0.101775425</v>
          </cell>
          <cell r="G72">
            <v>0.30130016700000001</v>
          </cell>
          <cell r="H72">
            <v>0</v>
          </cell>
          <cell r="I72">
            <v>0</v>
          </cell>
          <cell r="J72">
            <v>0</v>
          </cell>
          <cell r="K72">
            <v>0</v>
          </cell>
          <cell r="L72">
            <v>0</v>
          </cell>
          <cell r="M72">
            <v>0</v>
          </cell>
          <cell r="N72">
            <v>0</v>
          </cell>
          <cell r="O72">
            <v>0</v>
          </cell>
          <cell r="P72">
            <v>0</v>
          </cell>
          <cell r="Q72">
            <v>0</v>
          </cell>
          <cell r="R72">
            <v>0</v>
          </cell>
          <cell r="S72">
            <v>0</v>
          </cell>
          <cell r="T72">
            <v>1.0000000010000001</v>
          </cell>
          <cell r="U72" t="str">
            <v>TOTAL COMPONENT OF MAINS</v>
          </cell>
        </row>
        <row r="74">
          <cell r="C74" t="str">
            <v>GROSS PLANT EXCL. GEN &amp; INTAN</v>
          </cell>
          <cell r="D74">
            <v>121141446</v>
          </cell>
          <cell r="E74">
            <v>40647902</v>
          </cell>
          <cell r="F74">
            <v>3706248</v>
          </cell>
          <cell r="G74">
            <v>9882229</v>
          </cell>
          <cell r="H74">
            <v>0</v>
          </cell>
          <cell r="I74">
            <v>0</v>
          </cell>
          <cell r="J74">
            <v>0</v>
          </cell>
          <cell r="K74">
            <v>0</v>
          </cell>
          <cell r="L74">
            <v>0</v>
          </cell>
          <cell r="M74">
            <v>0</v>
          </cell>
          <cell r="N74">
            <v>0</v>
          </cell>
          <cell r="O74">
            <v>0</v>
          </cell>
          <cell r="P74">
            <v>0</v>
          </cell>
          <cell r="Q74">
            <v>0</v>
          </cell>
          <cell r="R74">
            <v>0</v>
          </cell>
          <cell r="S74">
            <v>0</v>
          </cell>
          <cell r="T74">
            <v>175377825</v>
          </cell>
        </row>
        <row r="75">
          <cell r="A75">
            <v>106</v>
          </cell>
          <cell r="B75">
            <v>16</v>
          </cell>
          <cell r="D75">
            <v>0.69074551500000003</v>
          </cell>
          <cell r="E75">
            <v>0.231773327</v>
          </cell>
          <cell r="F75">
            <v>2.1132933999999999E-2</v>
          </cell>
          <cell r="G75">
            <v>5.6348224000000002E-2</v>
          </cell>
          <cell r="H75">
            <v>0</v>
          </cell>
          <cell r="I75">
            <v>0</v>
          </cell>
          <cell r="J75">
            <v>0</v>
          </cell>
          <cell r="K75">
            <v>0</v>
          </cell>
          <cell r="L75">
            <v>0</v>
          </cell>
          <cell r="M75">
            <v>0</v>
          </cell>
          <cell r="N75">
            <v>0</v>
          </cell>
          <cell r="O75">
            <v>0</v>
          </cell>
          <cell r="P75">
            <v>0</v>
          </cell>
          <cell r="Q75">
            <v>0</v>
          </cell>
          <cell r="R75">
            <v>0</v>
          </cell>
          <cell r="S75">
            <v>0</v>
          </cell>
          <cell r="T75">
            <v>1</v>
          </cell>
          <cell r="U75" t="str">
            <v>GROSS PLANT EXCL. GEN &amp; INTAN</v>
          </cell>
        </row>
        <row r="77">
          <cell r="C77" t="str">
            <v>GROSS PLANT</v>
          </cell>
          <cell r="D77">
            <v>121141446</v>
          </cell>
          <cell r="E77">
            <v>40647902</v>
          </cell>
          <cell r="F77">
            <v>3706248</v>
          </cell>
          <cell r="G77">
            <v>9882229</v>
          </cell>
          <cell r="H77">
            <v>0</v>
          </cell>
          <cell r="I77">
            <v>0</v>
          </cell>
          <cell r="J77">
            <v>0</v>
          </cell>
          <cell r="K77">
            <v>0</v>
          </cell>
          <cell r="L77">
            <v>0</v>
          </cell>
          <cell r="M77">
            <v>0</v>
          </cell>
          <cell r="N77">
            <v>0</v>
          </cell>
          <cell r="O77">
            <v>0</v>
          </cell>
          <cell r="P77">
            <v>0</v>
          </cell>
          <cell r="Q77">
            <v>0</v>
          </cell>
          <cell r="R77">
            <v>0</v>
          </cell>
          <cell r="S77">
            <v>0</v>
          </cell>
          <cell r="T77">
            <v>175377825</v>
          </cell>
          <cell r="U77">
            <v>0.38000002503395081</v>
          </cell>
        </row>
        <row r="78">
          <cell r="A78">
            <v>107</v>
          </cell>
          <cell r="B78">
            <v>17</v>
          </cell>
          <cell r="D78">
            <v>0.69074551500000003</v>
          </cell>
          <cell r="E78">
            <v>0.231773327</v>
          </cell>
          <cell r="F78">
            <v>2.1132933999999999E-2</v>
          </cell>
          <cell r="G78">
            <v>5.6348224000000002E-2</v>
          </cell>
          <cell r="H78">
            <v>0</v>
          </cell>
          <cell r="I78">
            <v>0</v>
          </cell>
          <cell r="J78">
            <v>0</v>
          </cell>
          <cell r="K78">
            <v>0</v>
          </cell>
          <cell r="L78">
            <v>0</v>
          </cell>
          <cell r="M78">
            <v>0</v>
          </cell>
          <cell r="N78">
            <v>0</v>
          </cell>
          <cell r="O78">
            <v>0</v>
          </cell>
          <cell r="P78">
            <v>0</v>
          </cell>
          <cell r="Q78">
            <v>0</v>
          </cell>
          <cell r="R78">
            <v>0</v>
          </cell>
          <cell r="S78">
            <v>0</v>
          </cell>
          <cell r="T78">
            <v>1</v>
          </cell>
          <cell r="U78" t="str">
            <v>GROSS PLANT</v>
          </cell>
        </row>
        <row r="80">
          <cell r="C80" t="str">
            <v>O&amp;M WITH GAS COSTS - proforma A</v>
          </cell>
          <cell r="D80" t="e">
            <v>#REF!</v>
          </cell>
          <cell r="E80" t="e">
            <v>#REF!</v>
          </cell>
          <cell r="F80" t="e">
            <v>#REF!</v>
          </cell>
          <cell r="G80" t="e">
            <v>#REF!</v>
          </cell>
          <cell r="H80" t="e">
            <v>#REF!</v>
          </cell>
          <cell r="I80" t="e">
            <v>#REF!</v>
          </cell>
          <cell r="J80" t="e">
            <v>#REF!</v>
          </cell>
          <cell r="K80" t="e">
            <v>#REF!</v>
          </cell>
          <cell r="L80" t="e">
            <v>#REF!</v>
          </cell>
          <cell r="M80" t="e">
            <v>#REF!</v>
          </cell>
          <cell r="N80" t="e">
            <v>#REF!</v>
          </cell>
          <cell r="O80" t="e">
            <v>#REF!</v>
          </cell>
          <cell r="P80" t="e">
            <v>#REF!</v>
          </cell>
          <cell r="Q80" t="e">
            <v>#REF!</v>
          </cell>
          <cell r="R80" t="e">
            <v>#REF!</v>
          </cell>
          <cell r="S80" t="e">
            <v>#REF!</v>
          </cell>
          <cell r="T80" t="e">
            <v>#REF!</v>
          </cell>
          <cell r="U80" t="e">
            <v>#REF!</v>
          </cell>
        </row>
        <row r="81">
          <cell r="A81">
            <v>108</v>
          </cell>
          <cell r="B81">
            <v>18</v>
          </cell>
          <cell r="D81" t="e">
            <v>#REF!</v>
          </cell>
          <cell r="E81" t="e">
            <v>#REF!</v>
          </cell>
          <cell r="F81" t="e">
            <v>#REF!</v>
          </cell>
          <cell r="G81" t="e">
            <v>#REF!</v>
          </cell>
          <cell r="H81" t="e">
            <v>#REF!</v>
          </cell>
          <cell r="I81" t="e">
            <v>#REF!</v>
          </cell>
          <cell r="J81" t="e">
            <v>#REF!</v>
          </cell>
          <cell r="K81" t="e">
            <v>#REF!</v>
          </cell>
          <cell r="L81" t="e">
            <v>#REF!</v>
          </cell>
          <cell r="M81" t="e">
            <v>#REF!</v>
          </cell>
          <cell r="N81" t="e">
            <v>#REF!</v>
          </cell>
          <cell r="O81" t="e">
            <v>#REF!</v>
          </cell>
          <cell r="P81" t="e">
            <v>#REF!</v>
          </cell>
          <cell r="Q81" t="e">
            <v>#REF!</v>
          </cell>
          <cell r="R81" t="e">
            <v>#REF!</v>
          </cell>
          <cell r="S81" t="e">
            <v>#REF!</v>
          </cell>
          <cell r="T81" t="e">
            <v>#REF!</v>
          </cell>
          <cell r="U81" t="str">
            <v>O&amp;M With Gas Costs</v>
          </cell>
        </row>
        <row r="83">
          <cell r="C83" t="str">
            <v>O&amp;M WITHOUT GAS COSTS - proforma A</v>
          </cell>
          <cell r="D83">
            <v>13747576</v>
          </cell>
          <cell r="E83">
            <v>4114944</v>
          </cell>
          <cell r="F83">
            <v>278748</v>
          </cell>
          <cell r="G83">
            <v>500623</v>
          </cell>
          <cell r="H83">
            <v>0</v>
          </cell>
          <cell r="I83">
            <v>0</v>
          </cell>
          <cell r="J83">
            <v>0</v>
          </cell>
          <cell r="K83">
            <v>0</v>
          </cell>
          <cell r="L83">
            <v>0</v>
          </cell>
          <cell r="M83">
            <v>0</v>
          </cell>
          <cell r="N83">
            <v>0</v>
          </cell>
          <cell r="O83">
            <v>0</v>
          </cell>
          <cell r="P83">
            <v>0</v>
          </cell>
          <cell r="Q83">
            <v>0</v>
          </cell>
          <cell r="R83">
            <v>0</v>
          </cell>
          <cell r="S83">
            <v>0</v>
          </cell>
          <cell r="T83">
            <v>18641891</v>
          </cell>
          <cell r="U83">
            <v>-0.99504051730036736</v>
          </cell>
        </row>
        <row r="84">
          <cell r="A84">
            <v>109</v>
          </cell>
          <cell r="B84">
            <v>19</v>
          </cell>
          <cell r="D84">
            <v>0.73745608699999998</v>
          </cell>
          <cell r="E84">
            <v>0.220736405</v>
          </cell>
          <cell r="F84">
            <v>1.4952775E-2</v>
          </cell>
          <cell r="G84">
            <v>2.6854732999999999E-2</v>
          </cell>
          <cell r="H84">
            <v>0</v>
          </cell>
          <cell r="I84">
            <v>0</v>
          </cell>
          <cell r="J84">
            <v>0</v>
          </cell>
          <cell r="K84">
            <v>0</v>
          </cell>
          <cell r="L84">
            <v>0</v>
          </cell>
          <cell r="M84">
            <v>0</v>
          </cell>
          <cell r="N84">
            <v>0</v>
          </cell>
          <cell r="O84">
            <v>0</v>
          </cell>
          <cell r="P84">
            <v>0</v>
          </cell>
          <cell r="Q84">
            <v>0</v>
          </cell>
          <cell r="R84">
            <v>0</v>
          </cell>
          <cell r="S84">
            <v>0</v>
          </cell>
          <cell r="T84">
            <v>1</v>
          </cell>
          <cell r="U84" t="str">
            <v>O&amp;M Without Gas Costs</v>
          </cell>
        </row>
        <row r="86">
          <cell r="C86" t="str">
            <v>MAINS AND SERVICES PLANT</v>
          </cell>
          <cell r="D86">
            <v>13358625</v>
          </cell>
          <cell r="E86">
            <v>6031264</v>
          </cell>
          <cell r="F86">
            <v>3305970</v>
          </cell>
          <cell r="G86">
            <v>9787130</v>
          </cell>
          <cell r="H86">
            <v>0</v>
          </cell>
          <cell r="I86">
            <v>0</v>
          </cell>
          <cell r="J86">
            <v>0</v>
          </cell>
          <cell r="K86">
            <v>0</v>
          </cell>
          <cell r="L86">
            <v>0</v>
          </cell>
          <cell r="M86">
            <v>0</v>
          </cell>
          <cell r="N86">
            <v>0</v>
          </cell>
          <cell r="O86">
            <v>0</v>
          </cell>
          <cell r="P86">
            <v>0</v>
          </cell>
          <cell r="Q86">
            <v>0</v>
          </cell>
          <cell r="R86">
            <v>0</v>
          </cell>
          <cell r="S86">
            <v>0</v>
          </cell>
          <cell r="T86">
            <v>32482989</v>
          </cell>
          <cell r="U86">
            <v>-7.298799604177475E-2</v>
          </cell>
        </row>
        <row r="87">
          <cell r="A87">
            <v>110</v>
          </cell>
          <cell r="B87">
            <v>20</v>
          </cell>
          <cell r="D87">
            <v>0.41124987000000002</v>
          </cell>
          <cell r="E87">
            <v>0.185674539</v>
          </cell>
          <cell r="F87">
            <v>0.101775425</v>
          </cell>
          <cell r="G87">
            <v>0.30130016700000001</v>
          </cell>
          <cell r="H87">
            <v>0</v>
          </cell>
          <cell r="I87">
            <v>0</v>
          </cell>
          <cell r="J87">
            <v>0</v>
          </cell>
          <cell r="K87">
            <v>0</v>
          </cell>
          <cell r="L87">
            <v>0</v>
          </cell>
          <cell r="M87">
            <v>0</v>
          </cell>
          <cell r="N87">
            <v>0</v>
          </cell>
          <cell r="O87">
            <v>0</v>
          </cell>
          <cell r="P87">
            <v>0</v>
          </cell>
          <cell r="Q87">
            <v>0</v>
          </cell>
          <cell r="R87">
            <v>0</v>
          </cell>
          <cell r="S87">
            <v>0</v>
          </cell>
          <cell r="T87">
            <v>1.0000000010000001</v>
          </cell>
          <cell r="U87" t="str">
            <v>Mains and Services Plant</v>
          </cell>
        </row>
        <row r="89">
          <cell r="C89" t="str">
            <v>TOTAL DISTRIBUTION PLANT</v>
          </cell>
          <cell r="D89">
            <v>108944676</v>
          </cell>
          <cell r="E89">
            <v>35539013</v>
          </cell>
          <cell r="F89">
            <v>3697154</v>
          </cell>
          <cell r="G89">
            <v>9856673</v>
          </cell>
          <cell r="H89">
            <v>0</v>
          </cell>
          <cell r="I89">
            <v>0</v>
          </cell>
          <cell r="J89">
            <v>0</v>
          </cell>
          <cell r="K89">
            <v>0</v>
          </cell>
          <cell r="L89">
            <v>0</v>
          </cell>
          <cell r="M89">
            <v>0</v>
          </cell>
          <cell r="N89">
            <v>0</v>
          </cell>
          <cell r="O89">
            <v>0</v>
          </cell>
          <cell r="P89">
            <v>0</v>
          </cell>
          <cell r="Q89">
            <v>0</v>
          </cell>
          <cell r="R89">
            <v>0</v>
          </cell>
          <cell r="S89">
            <v>0</v>
          </cell>
          <cell r="T89">
            <v>158037516</v>
          </cell>
          <cell r="U89">
            <v>-0.38759195804595947</v>
          </cell>
        </row>
        <row r="90">
          <cell r="A90">
            <v>111</v>
          </cell>
          <cell r="B90">
            <v>21</v>
          </cell>
          <cell r="D90">
            <v>0.68935958200000003</v>
          </cell>
          <cell r="E90">
            <v>0.22487706700000001</v>
          </cell>
          <cell r="F90">
            <v>2.3394154E-2</v>
          </cell>
          <cell r="G90">
            <v>6.2369197000000001E-2</v>
          </cell>
          <cell r="H90">
            <v>0</v>
          </cell>
          <cell r="I90">
            <v>0</v>
          </cell>
          <cell r="J90">
            <v>0</v>
          </cell>
          <cell r="K90">
            <v>0</v>
          </cell>
          <cell r="L90">
            <v>0</v>
          </cell>
          <cell r="M90">
            <v>0</v>
          </cell>
          <cell r="N90">
            <v>0</v>
          </cell>
          <cell r="O90">
            <v>0</v>
          </cell>
          <cell r="P90">
            <v>0</v>
          </cell>
          <cell r="Q90">
            <v>0</v>
          </cell>
          <cell r="R90">
            <v>0</v>
          </cell>
          <cell r="S90">
            <v>0</v>
          </cell>
          <cell r="T90">
            <v>1</v>
          </cell>
          <cell r="U90" t="str">
            <v>Total Distribution Plant</v>
          </cell>
        </row>
        <row r="92">
          <cell r="C92" t="str">
            <v>SUM OF O&amp;M ITEMS 11 TO 18</v>
          </cell>
          <cell r="D92">
            <v>11165429</v>
          </cell>
          <cell r="E92">
            <v>3274896</v>
          </cell>
          <cell r="F92">
            <v>108831</v>
          </cell>
          <cell r="G92">
            <v>19214</v>
          </cell>
          <cell r="H92">
            <v>0</v>
          </cell>
          <cell r="I92">
            <v>0</v>
          </cell>
          <cell r="J92">
            <v>0</v>
          </cell>
          <cell r="K92">
            <v>0</v>
          </cell>
          <cell r="L92">
            <v>0</v>
          </cell>
          <cell r="M92">
            <v>0</v>
          </cell>
          <cell r="N92">
            <v>0</v>
          </cell>
          <cell r="O92">
            <v>0</v>
          </cell>
          <cell r="P92">
            <v>0</v>
          </cell>
          <cell r="Q92">
            <v>0</v>
          </cell>
          <cell r="R92">
            <v>0</v>
          </cell>
          <cell r="S92">
            <v>0</v>
          </cell>
          <cell r="T92">
            <v>14568370</v>
          </cell>
          <cell r="U92">
            <v>-0.47458344511687756</v>
          </cell>
        </row>
        <row r="93">
          <cell r="A93">
            <v>112</v>
          </cell>
          <cell r="B93">
            <v>22</v>
          </cell>
          <cell r="D93">
            <v>0.76641580399999998</v>
          </cell>
          <cell r="E93">
            <v>0.22479494999999999</v>
          </cell>
          <cell r="F93">
            <v>7.4703620000000004E-3</v>
          </cell>
          <cell r="G93">
            <v>1.3188849999999999E-3</v>
          </cell>
          <cell r="H93">
            <v>0</v>
          </cell>
          <cell r="I93">
            <v>0</v>
          </cell>
          <cell r="J93">
            <v>0</v>
          </cell>
          <cell r="K93">
            <v>0</v>
          </cell>
          <cell r="L93">
            <v>0</v>
          </cell>
          <cell r="M93">
            <v>0</v>
          </cell>
          <cell r="N93">
            <v>0</v>
          </cell>
          <cell r="O93">
            <v>0</v>
          </cell>
          <cell r="P93">
            <v>0</v>
          </cell>
          <cell r="Q93">
            <v>0</v>
          </cell>
          <cell r="R93">
            <v>0</v>
          </cell>
          <cell r="S93">
            <v>0</v>
          </cell>
          <cell r="T93">
            <v>1.0000000009999999</v>
          </cell>
          <cell r="U93" t="str">
            <v>Sum of O&amp;M Items 11 TO 18</v>
          </cell>
        </row>
        <row r="95">
          <cell r="C95" t="str">
            <v>SUM OF O&amp;M ITEMS 6 TO 23 (W/O GAS)</v>
          </cell>
          <cell r="D95">
            <v>13747576</v>
          </cell>
          <cell r="E95">
            <v>4114944</v>
          </cell>
          <cell r="F95">
            <v>278748</v>
          </cell>
          <cell r="G95">
            <v>500623</v>
          </cell>
          <cell r="H95">
            <v>0</v>
          </cell>
          <cell r="I95">
            <v>0</v>
          </cell>
          <cell r="J95">
            <v>0</v>
          </cell>
          <cell r="K95">
            <v>0</v>
          </cell>
          <cell r="L95">
            <v>0</v>
          </cell>
          <cell r="M95">
            <v>0</v>
          </cell>
          <cell r="N95">
            <v>0</v>
          </cell>
          <cell r="O95">
            <v>0</v>
          </cell>
          <cell r="P95">
            <v>0</v>
          </cell>
          <cell r="Q95">
            <v>0</v>
          </cell>
          <cell r="R95">
            <v>0</v>
          </cell>
          <cell r="S95">
            <v>0</v>
          </cell>
          <cell r="T95">
            <v>18641891</v>
          </cell>
        </row>
        <row r="96">
          <cell r="A96">
            <v>113</v>
          </cell>
          <cell r="B96">
            <v>25</v>
          </cell>
          <cell r="D96">
            <v>0.73745608699999998</v>
          </cell>
          <cell r="E96">
            <v>0.220736405</v>
          </cell>
          <cell r="F96">
            <v>1.4952775E-2</v>
          </cell>
          <cell r="G96">
            <v>2.6854732999999999E-2</v>
          </cell>
          <cell r="H96">
            <v>0</v>
          </cell>
          <cell r="I96">
            <v>0</v>
          </cell>
          <cell r="J96">
            <v>0</v>
          </cell>
          <cell r="K96">
            <v>0</v>
          </cell>
          <cell r="L96">
            <v>0</v>
          </cell>
          <cell r="M96">
            <v>0</v>
          </cell>
          <cell r="N96">
            <v>0</v>
          </cell>
          <cell r="O96">
            <v>0</v>
          </cell>
          <cell r="P96">
            <v>0</v>
          </cell>
          <cell r="Q96">
            <v>0</v>
          </cell>
          <cell r="R96">
            <v>0</v>
          </cell>
          <cell r="S96">
            <v>0</v>
          </cell>
          <cell r="T96">
            <v>1</v>
          </cell>
          <cell r="U96" t="str">
            <v>Sum of O&amp;M Items 6 TO 23 (W/O Gas)</v>
          </cell>
        </row>
        <row r="98">
          <cell r="C98" t="str">
            <v>ORIGINAL COST RATE BASE</v>
          </cell>
          <cell r="D98">
            <v>77580041</v>
          </cell>
          <cell r="E98">
            <v>21760015</v>
          </cell>
          <cell r="F98">
            <v>2576657</v>
          </cell>
          <cell r="G98">
            <v>6547808</v>
          </cell>
          <cell r="H98">
            <v>0</v>
          </cell>
          <cell r="I98">
            <v>0</v>
          </cell>
          <cell r="J98">
            <v>0</v>
          </cell>
          <cell r="K98">
            <v>0</v>
          </cell>
          <cell r="L98">
            <v>0</v>
          </cell>
          <cell r="M98">
            <v>0</v>
          </cell>
          <cell r="N98">
            <v>0</v>
          </cell>
          <cell r="O98">
            <v>0</v>
          </cell>
          <cell r="P98">
            <v>0</v>
          </cell>
          <cell r="Q98">
            <v>0</v>
          </cell>
          <cell r="R98">
            <v>0</v>
          </cell>
          <cell r="S98">
            <v>0</v>
          </cell>
          <cell r="T98">
            <v>108464520.38000003</v>
          </cell>
        </row>
        <row r="99">
          <cell r="A99">
            <v>114</v>
          </cell>
          <cell r="B99">
            <v>26</v>
          </cell>
          <cell r="D99">
            <v>0.71525730899999995</v>
          </cell>
          <cell r="E99">
            <v>0.20061873599999999</v>
          </cell>
          <cell r="F99">
            <v>2.3755759000000001E-2</v>
          </cell>
          <cell r="G99">
            <v>6.0368201000000003E-2</v>
          </cell>
          <cell r="H99">
            <v>0</v>
          </cell>
          <cell r="I99">
            <v>0</v>
          </cell>
          <cell r="J99">
            <v>0</v>
          </cell>
          <cell r="K99">
            <v>0</v>
          </cell>
          <cell r="L99">
            <v>0</v>
          </cell>
          <cell r="M99">
            <v>0</v>
          </cell>
          <cell r="N99">
            <v>0</v>
          </cell>
          <cell r="O99">
            <v>0</v>
          </cell>
          <cell r="P99">
            <v>0</v>
          </cell>
          <cell r="Q99">
            <v>0</v>
          </cell>
          <cell r="R99">
            <v>0</v>
          </cell>
          <cell r="S99">
            <v>0</v>
          </cell>
          <cell r="T99">
            <v>1.000000005</v>
          </cell>
          <cell r="U99" t="str">
            <v>Original Cost Rate Base</v>
          </cell>
        </row>
        <row r="101">
          <cell r="C101" t="str">
            <v>TOTAL DEPRECIATION EXPENSES</v>
          </cell>
          <cell r="D101">
            <v>3399048</v>
          </cell>
          <cell r="E101">
            <v>1103525</v>
          </cell>
          <cell r="F101">
            <v>97224</v>
          </cell>
          <cell r="G101">
            <v>249884</v>
          </cell>
          <cell r="H101">
            <v>0</v>
          </cell>
          <cell r="I101">
            <v>0</v>
          </cell>
          <cell r="J101">
            <v>0</v>
          </cell>
          <cell r="K101">
            <v>0</v>
          </cell>
          <cell r="L101">
            <v>0</v>
          </cell>
          <cell r="M101">
            <v>0</v>
          </cell>
          <cell r="N101">
            <v>0</v>
          </cell>
          <cell r="O101">
            <v>0</v>
          </cell>
          <cell r="P101">
            <v>0</v>
          </cell>
          <cell r="Q101">
            <v>0</v>
          </cell>
          <cell r="R101">
            <v>0</v>
          </cell>
          <cell r="S101">
            <v>0</v>
          </cell>
          <cell r="T101">
            <v>4849681</v>
          </cell>
        </row>
        <row r="102">
          <cell r="A102">
            <v>115</v>
          </cell>
          <cell r="B102">
            <v>27</v>
          </cell>
          <cell r="D102">
            <v>0.70088073799999995</v>
          </cell>
          <cell r="E102">
            <v>0.227545894</v>
          </cell>
          <cell r="F102">
            <v>2.0047504000000001E-2</v>
          </cell>
          <cell r="G102">
            <v>5.1525862999999998E-2</v>
          </cell>
          <cell r="H102">
            <v>0</v>
          </cell>
          <cell r="I102">
            <v>0</v>
          </cell>
          <cell r="J102">
            <v>0</v>
          </cell>
          <cell r="K102">
            <v>0</v>
          </cell>
          <cell r="L102">
            <v>0</v>
          </cell>
          <cell r="M102">
            <v>0</v>
          </cell>
          <cell r="N102">
            <v>0</v>
          </cell>
          <cell r="O102">
            <v>0</v>
          </cell>
          <cell r="P102">
            <v>0</v>
          </cell>
          <cell r="Q102">
            <v>0</v>
          </cell>
          <cell r="R102">
            <v>0</v>
          </cell>
          <cell r="S102">
            <v>0</v>
          </cell>
          <cell r="T102">
            <v>0.99999999899999992</v>
          </cell>
          <cell r="U102" t="str">
            <v>Total Depreciation Expenses</v>
          </cell>
        </row>
        <row r="104">
          <cell r="C104" t="str">
            <v>PRO A NORMAL REV. W/MISC. REV.</v>
          </cell>
          <cell r="D104">
            <v>19777694</v>
          </cell>
          <cell r="E104">
            <v>6227553</v>
          </cell>
          <cell r="F104">
            <v>2003126</v>
          </cell>
          <cell r="G104">
            <v>1145658</v>
          </cell>
          <cell r="H104">
            <v>0</v>
          </cell>
          <cell r="I104">
            <v>0</v>
          </cell>
          <cell r="J104">
            <v>0</v>
          </cell>
          <cell r="K104">
            <v>0</v>
          </cell>
          <cell r="L104">
            <v>0</v>
          </cell>
          <cell r="M104">
            <v>0</v>
          </cell>
          <cell r="N104">
            <v>0</v>
          </cell>
          <cell r="O104">
            <v>0</v>
          </cell>
          <cell r="P104">
            <v>0</v>
          </cell>
          <cell r="Q104">
            <v>0</v>
          </cell>
          <cell r="R104">
            <v>0</v>
          </cell>
          <cell r="S104">
            <v>0</v>
          </cell>
          <cell r="T104">
            <v>29154031</v>
          </cell>
        </row>
        <row r="105">
          <cell r="A105">
            <v>116</v>
          </cell>
          <cell r="B105">
            <v>30</v>
          </cell>
          <cell r="D105">
            <v>0.67838625799999996</v>
          </cell>
          <cell r="E105">
            <v>0.21360864299999999</v>
          </cell>
          <cell r="F105">
            <v>6.8708372000000004E-2</v>
          </cell>
          <cell r="G105">
            <v>3.9296726999999997E-2</v>
          </cell>
          <cell r="H105">
            <v>0</v>
          </cell>
          <cell r="I105">
            <v>0</v>
          </cell>
          <cell r="J105">
            <v>0</v>
          </cell>
          <cell r="K105">
            <v>0</v>
          </cell>
          <cell r="L105">
            <v>0</v>
          </cell>
          <cell r="M105">
            <v>0</v>
          </cell>
          <cell r="N105">
            <v>0</v>
          </cell>
          <cell r="O105">
            <v>0</v>
          </cell>
          <cell r="P105">
            <v>0</v>
          </cell>
          <cell r="Q105">
            <v>0</v>
          </cell>
          <cell r="R105">
            <v>0</v>
          </cell>
          <cell r="S105">
            <v>0</v>
          </cell>
          <cell r="T105">
            <v>0.99999999999999989</v>
          </cell>
          <cell r="U105" t="str">
            <v>P/F A Normal Rev.. W/ Misc. Rev.</v>
          </cell>
        </row>
        <row r="107">
          <cell r="C107" t="str">
            <v>PRO A EQUALIZED REV. W/MISC. REV.</v>
          </cell>
          <cell r="D107">
            <v>21794927</v>
          </cell>
          <cell r="E107">
            <v>6732448</v>
          </cell>
          <cell r="F107">
            <v>498591</v>
          </cell>
          <cell r="G107">
            <v>1060976</v>
          </cell>
          <cell r="H107">
            <v>0</v>
          </cell>
          <cell r="I107">
            <v>0</v>
          </cell>
          <cell r="J107">
            <v>0</v>
          </cell>
          <cell r="K107">
            <v>0</v>
          </cell>
          <cell r="L107">
            <v>0</v>
          </cell>
          <cell r="M107">
            <v>0</v>
          </cell>
          <cell r="N107">
            <v>0</v>
          </cell>
          <cell r="O107">
            <v>0</v>
          </cell>
          <cell r="P107">
            <v>0</v>
          </cell>
          <cell r="Q107">
            <v>0</v>
          </cell>
          <cell r="R107">
            <v>0</v>
          </cell>
          <cell r="S107">
            <v>0</v>
          </cell>
          <cell r="T107">
            <v>30086942</v>
          </cell>
        </row>
        <row r="108">
          <cell r="A108">
            <v>117</v>
          </cell>
          <cell r="B108">
            <v>31</v>
          </cell>
          <cell r="D108">
            <v>0.72439821199999999</v>
          </cell>
          <cell r="E108">
            <v>0.22376644300000001</v>
          </cell>
          <cell r="F108">
            <v>1.6571674000000002E-2</v>
          </cell>
          <cell r="G108">
            <v>3.5263669999999997E-2</v>
          </cell>
          <cell r="H108">
            <v>0</v>
          </cell>
          <cell r="I108">
            <v>0</v>
          </cell>
          <cell r="J108">
            <v>0</v>
          </cell>
          <cell r="K108">
            <v>0</v>
          </cell>
          <cell r="L108">
            <v>0</v>
          </cell>
          <cell r="M108">
            <v>0</v>
          </cell>
          <cell r="N108">
            <v>0</v>
          </cell>
          <cell r="O108">
            <v>0</v>
          </cell>
          <cell r="P108">
            <v>0</v>
          </cell>
          <cell r="Q108">
            <v>0</v>
          </cell>
          <cell r="R108">
            <v>0</v>
          </cell>
          <cell r="S108">
            <v>0</v>
          </cell>
          <cell r="T108">
            <v>0.99999999900000003</v>
          </cell>
          <cell r="U108" t="str">
            <v>P/F A Equalized Rev. W/ Misc. Rev.</v>
          </cell>
        </row>
        <row r="110">
          <cell r="C110" t="str">
            <v>PRO B EQUALIZED REV. W/MISC. REV.</v>
          </cell>
          <cell r="D110">
            <v>29166551</v>
          </cell>
          <cell r="E110">
            <v>8800178</v>
          </cell>
          <cell r="F110">
            <v>743407</v>
          </cell>
          <cell r="G110">
            <v>1683105</v>
          </cell>
          <cell r="H110">
            <v>0</v>
          </cell>
          <cell r="I110">
            <v>0</v>
          </cell>
          <cell r="J110">
            <v>0</v>
          </cell>
          <cell r="K110">
            <v>0</v>
          </cell>
          <cell r="L110">
            <v>0</v>
          </cell>
          <cell r="M110">
            <v>0</v>
          </cell>
          <cell r="N110">
            <v>0</v>
          </cell>
          <cell r="O110">
            <v>0</v>
          </cell>
          <cell r="P110">
            <v>0</v>
          </cell>
          <cell r="Q110">
            <v>0</v>
          </cell>
          <cell r="R110">
            <v>0</v>
          </cell>
          <cell r="S110">
            <v>0</v>
          </cell>
          <cell r="T110">
            <v>40393241</v>
          </cell>
        </row>
        <row r="111">
          <cell r="A111">
            <v>118</v>
          </cell>
          <cell r="B111">
            <v>32</v>
          </cell>
          <cell r="D111">
            <v>0.72206513500000002</v>
          </cell>
          <cell r="E111">
            <v>0.217862637</v>
          </cell>
          <cell r="F111">
            <v>1.8404242000000001E-2</v>
          </cell>
          <cell r="G111">
            <v>4.1667985999999997E-2</v>
          </cell>
          <cell r="H111">
            <v>0</v>
          </cell>
          <cell r="I111">
            <v>0</v>
          </cell>
          <cell r="J111">
            <v>0</v>
          </cell>
          <cell r="K111">
            <v>0</v>
          </cell>
          <cell r="L111">
            <v>0</v>
          </cell>
          <cell r="M111">
            <v>0</v>
          </cell>
          <cell r="N111">
            <v>0</v>
          </cell>
          <cell r="O111">
            <v>0</v>
          </cell>
          <cell r="P111">
            <v>0</v>
          </cell>
          <cell r="Q111">
            <v>0</v>
          </cell>
          <cell r="R111">
            <v>0</v>
          </cell>
          <cell r="S111">
            <v>0</v>
          </cell>
          <cell r="T111">
            <v>1</v>
          </cell>
          <cell r="U111" t="str">
            <v>P/F B Equalized Rev. W/ Misc. Rev.</v>
          </cell>
        </row>
        <row r="113">
          <cell r="C113" t="str">
            <v>PRO B NORMALIZED REV. W/MISC. REV.</v>
          </cell>
          <cell r="D113">
            <v>27351041.300000001</v>
          </cell>
          <cell r="E113">
            <v>8345772.5</v>
          </cell>
          <cell r="F113">
            <v>2097488.5</v>
          </cell>
          <cell r="G113">
            <v>1759318.8</v>
          </cell>
          <cell r="H113">
            <v>0</v>
          </cell>
          <cell r="I113">
            <v>0</v>
          </cell>
          <cell r="J113">
            <v>0</v>
          </cell>
          <cell r="K113">
            <v>0</v>
          </cell>
          <cell r="L113">
            <v>0</v>
          </cell>
          <cell r="M113">
            <v>0</v>
          </cell>
          <cell r="N113">
            <v>0</v>
          </cell>
          <cell r="O113">
            <v>0</v>
          </cell>
          <cell r="P113">
            <v>0</v>
          </cell>
          <cell r="Q113">
            <v>0</v>
          </cell>
          <cell r="R113">
            <v>0</v>
          </cell>
          <cell r="S113">
            <v>0</v>
          </cell>
          <cell r="T113">
            <v>39553621.099999994</v>
          </cell>
        </row>
        <row r="114">
          <cell r="A114">
            <v>119</v>
          </cell>
          <cell r="B114">
            <v>33</v>
          </cell>
          <cell r="D114">
            <v>0.69149272699999997</v>
          </cell>
          <cell r="E114">
            <v>0.21099894899999999</v>
          </cell>
          <cell r="F114">
            <v>5.3028987999999999E-2</v>
          </cell>
          <cell r="G114">
            <v>4.4479336000000001E-2</v>
          </cell>
          <cell r="H114">
            <v>0</v>
          </cell>
          <cell r="I114">
            <v>0</v>
          </cell>
          <cell r="J114">
            <v>0</v>
          </cell>
          <cell r="K114">
            <v>0</v>
          </cell>
          <cell r="L114">
            <v>0</v>
          </cell>
          <cell r="M114">
            <v>0</v>
          </cell>
          <cell r="N114">
            <v>0</v>
          </cell>
          <cell r="O114">
            <v>0</v>
          </cell>
          <cell r="P114">
            <v>0</v>
          </cell>
          <cell r="Q114">
            <v>0</v>
          </cell>
          <cell r="R114">
            <v>0</v>
          </cell>
          <cell r="S114">
            <v>0</v>
          </cell>
          <cell r="T114">
            <v>0.99999999999999989</v>
          </cell>
          <cell r="U114" t="str">
            <v>P/F B Normalized Rev.. W/ Misc. Rev.</v>
          </cell>
        </row>
        <row r="116">
          <cell r="C116" t="str">
            <v>STORAGE PLANT - WINTER</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C117" t="str">
            <v>STORAGE PLANT - ANNUAL</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row>
        <row r="118">
          <cell r="C118" t="str">
            <v>STORAGE PLANT - PEAK</v>
          </cell>
          <cell r="D118">
            <v>12181120</v>
          </cell>
          <cell r="E118">
            <v>5100378</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17281498</v>
          </cell>
        </row>
        <row r="119">
          <cell r="C119" t="str">
            <v xml:space="preserve">  TOTAL STORAGE PLANT</v>
          </cell>
          <cell r="D119">
            <v>12181120</v>
          </cell>
          <cell r="E119">
            <v>5100378</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17281498</v>
          </cell>
        </row>
        <row r="120">
          <cell r="A120">
            <v>120</v>
          </cell>
          <cell r="B120">
            <v>35</v>
          </cell>
          <cell r="D120">
            <v>0.70486482100000003</v>
          </cell>
          <cell r="E120">
            <v>0.29513517900000003</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t="str">
            <v>Total Storage Plant</v>
          </cell>
        </row>
        <row r="122">
          <cell r="C122" t="str">
            <v>SUM OF O&amp;M ITEMS 6 TO 22 (W/O GAS)</v>
          </cell>
          <cell r="D122">
            <v>13747576</v>
          </cell>
          <cell r="E122">
            <v>4114944</v>
          </cell>
          <cell r="F122">
            <v>278748</v>
          </cell>
          <cell r="G122">
            <v>500623</v>
          </cell>
          <cell r="H122">
            <v>0</v>
          </cell>
          <cell r="I122">
            <v>0</v>
          </cell>
          <cell r="J122">
            <v>0</v>
          </cell>
          <cell r="K122">
            <v>0</v>
          </cell>
          <cell r="L122">
            <v>0</v>
          </cell>
          <cell r="M122">
            <v>0</v>
          </cell>
          <cell r="N122">
            <v>0</v>
          </cell>
          <cell r="O122">
            <v>0</v>
          </cell>
          <cell r="P122">
            <v>0</v>
          </cell>
          <cell r="Q122">
            <v>0</v>
          </cell>
          <cell r="R122">
            <v>0</v>
          </cell>
          <cell r="S122">
            <v>0</v>
          </cell>
          <cell r="T122">
            <v>18641891</v>
          </cell>
          <cell r="U122">
            <v>-0.99504051730036736</v>
          </cell>
        </row>
        <row r="123">
          <cell r="A123">
            <v>121</v>
          </cell>
          <cell r="B123">
            <v>37</v>
          </cell>
          <cell r="D123">
            <v>0.73745608699999998</v>
          </cell>
          <cell r="E123">
            <v>0.220736405</v>
          </cell>
          <cell r="F123">
            <v>1.4952775E-2</v>
          </cell>
          <cell r="G123">
            <v>2.6854732999999999E-2</v>
          </cell>
          <cell r="H123">
            <v>0</v>
          </cell>
          <cell r="I123">
            <v>0</v>
          </cell>
          <cell r="J123">
            <v>0</v>
          </cell>
          <cell r="K123">
            <v>0</v>
          </cell>
          <cell r="L123">
            <v>0</v>
          </cell>
          <cell r="M123">
            <v>0</v>
          </cell>
          <cell r="N123">
            <v>0</v>
          </cell>
          <cell r="O123">
            <v>0</v>
          </cell>
          <cell r="P123">
            <v>0</v>
          </cell>
          <cell r="Q123">
            <v>0</v>
          </cell>
          <cell r="R123">
            <v>0</v>
          </cell>
          <cell r="S123">
            <v>0</v>
          </cell>
          <cell r="T123">
            <v>1</v>
          </cell>
          <cell r="U123" t="str">
            <v>Sum of O&amp;M Items 6 TO 22 (W/O Gas)</v>
          </cell>
        </row>
        <row r="125">
          <cell r="C125" t="str">
            <v>STORAGE PLANT - WINTER</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row>
        <row r="126">
          <cell r="C126" t="str">
            <v>STORAGE PLANT - PEAK</v>
          </cell>
          <cell r="D126">
            <v>12181120</v>
          </cell>
          <cell r="E126">
            <v>5100378</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17281498</v>
          </cell>
          <cell r="U126">
            <v>-17281498</v>
          </cell>
        </row>
        <row r="127">
          <cell r="C127" t="str">
            <v xml:space="preserve">  TOTAL STORAGE PLANT</v>
          </cell>
          <cell r="D127">
            <v>12181120</v>
          </cell>
          <cell r="E127">
            <v>5100378</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17281498</v>
          </cell>
          <cell r="U127">
            <v>0</v>
          </cell>
        </row>
        <row r="128">
          <cell r="A128">
            <v>122</v>
          </cell>
          <cell r="B128">
            <v>39</v>
          </cell>
          <cell r="D128">
            <v>0.70486482100000003</v>
          </cell>
          <cell r="E128">
            <v>0.29513517900000003</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1</v>
          </cell>
          <cell r="U128" t="str">
            <v>Storage Plant-Wwinter &amp; Peak</v>
          </cell>
        </row>
        <row r="130">
          <cell r="C130" t="str">
            <v>ANN. SALES R10-40+MASQ - PROP (w/ IMPA)</v>
          </cell>
          <cell r="D130" t="e">
            <v>#REF!</v>
          </cell>
          <cell r="E130" t="e">
            <v>#REF!</v>
          </cell>
          <cell r="F130" t="e">
            <v>#REF!</v>
          </cell>
          <cell r="G130" t="e">
            <v>#REF!</v>
          </cell>
          <cell r="H130" t="e">
            <v>#REF!</v>
          </cell>
          <cell r="I130" t="e">
            <v>#REF!</v>
          </cell>
          <cell r="J130" t="e">
            <v>#REF!</v>
          </cell>
          <cell r="K130" t="e">
            <v>#REF!</v>
          </cell>
          <cell r="L130" t="e">
            <v>#REF!</v>
          </cell>
          <cell r="M130" t="e">
            <v>#REF!</v>
          </cell>
          <cell r="N130" t="e">
            <v>#REF!</v>
          </cell>
          <cell r="O130" t="e">
            <v>#REF!</v>
          </cell>
          <cell r="P130" t="e">
            <v>#REF!</v>
          </cell>
          <cell r="Q130" t="e">
            <v>#REF!</v>
          </cell>
          <cell r="R130" t="e">
            <v>#REF!</v>
          </cell>
          <cell r="S130" t="e">
            <v>#REF!</v>
          </cell>
          <cell r="T130" t="e">
            <v>#REF!</v>
          </cell>
        </row>
        <row r="131">
          <cell r="A131">
            <v>123</v>
          </cell>
          <cell r="B131">
            <v>42</v>
          </cell>
          <cell r="D131" t="e">
            <v>#REF!</v>
          </cell>
          <cell r="E131" t="e">
            <v>#REF!</v>
          </cell>
          <cell r="F131" t="e">
            <v>#REF!</v>
          </cell>
          <cell r="G131" t="e">
            <v>#REF!</v>
          </cell>
          <cell r="H131" t="e">
            <v>#REF!</v>
          </cell>
          <cell r="I131" t="e">
            <v>#REF!</v>
          </cell>
          <cell r="J131" t="e">
            <v>#REF!</v>
          </cell>
          <cell r="K131" t="e">
            <v>#REF!</v>
          </cell>
          <cell r="L131" t="e">
            <v>#REF!</v>
          </cell>
          <cell r="M131" t="e">
            <v>#REF!</v>
          </cell>
          <cell r="N131" t="e">
            <v>#REF!</v>
          </cell>
          <cell r="O131" t="e">
            <v>#REF!</v>
          </cell>
          <cell r="P131" t="e">
            <v>#REF!</v>
          </cell>
          <cell r="Q131" t="e">
            <v>#REF!</v>
          </cell>
          <cell r="R131" t="e">
            <v>#REF!</v>
          </cell>
          <cell r="S131" t="e">
            <v>#REF!</v>
          </cell>
          <cell r="T131" t="e">
            <v>#REF!</v>
          </cell>
          <cell r="U131" t="str">
            <v>Annual Sales R10-40+MASQ-Propane</v>
          </cell>
        </row>
        <row r="133">
          <cell r="C133" t="str">
            <v>PEAK DAY TPUT W/LF 40 &amp; 60 + MDDQ</v>
          </cell>
          <cell r="D133">
            <v>1096155</v>
          </cell>
          <cell r="E133">
            <v>458973</v>
          </cell>
          <cell r="F133">
            <v>0</v>
          </cell>
          <cell r="G133">
            <v>0</v>
          </cell>
          <cell r="H133">
            <v>0</v>
          </cell>
          <cell r="I133">
            <v>0</v>
          </cell>
          <cell r="J133">
            <v>0</v>
          </cell>
          <cell r="K133">
            <v>0</v>
          </cell>
          <cell r="L133">
            <v>0</v>
          </cell>
          <cell r="M133">
            <v>0</v>
          </cell>
          <cell r="N133">
            <v>0</v>
          </cell>
          <cell r="O133">
            <v>0</v>
          </cell>
          <cell r="P133">
            <v>0</v>
          </cell>
          <cell r="Q133">
            <v>0</v>
          </cell>
          <cell r="R133">
            <v>0</v>
          </cell>
          <cell r="S133">
            <v>100000</v>
          </cell>
          <cell r="T133">
            <v>1655128</v>
          </cell>
        </row>
        <row r="134">
          <cell r="A134">
            <v>124</v>
          </cell>
          <cell r="B134">
            <v>105</v>
          </cell>
          <cell r="D134">
            <v>0.66227808399999999</v>
          </cell>
          <cell r="E134">
            <v>0.27730362800000002</v>
          </cell>
          <cell r="F134">
            <v>0</v>
          </cell>
          <cell r="G134">
            <v>0</v>
          </cell>
          <cell r="H134">
            <v>0</v>
          </cell>
          <cell r="I134">
            <v>0</v>
          </cell>
          <cell r="J134">
            <v>0</v>
          </cell>
          <cell r="K134">
            <v>0</v>
          </cell>
          <cell r="L134">
            <v>0</v>
          </cell>
          <cell r="M134">
            <v>0</v>
          </cell>
          <cell r="N134">
            <v>0</v>
          </cell>
          <cell r="O134">
            <v>0</v>
          </cell>
          <cell r="P134">
            <v>0</v>
          </cell>
          <cell r="Q134">
            <v>0</v>
          </cell>
          <cell r="R134">
            <v>0</v>
          </cell>
          <cell r="S134">
            <v>6.0418288000000001E-2</v>
          </cell>
          <cell r="T134">
            <v>1</v>
          </cell>
          <cell r="U134" t="str">
            <v>Peak Day Tput W/LF TO 40 &amp; 60 + MDDQ</v>
          </cell>
        </row>
        <row r="136">
          <cell r="C136" t="str">
            <v>DESIGN DAY TPUT W/LF 40 &amp; 60 + MDDQ</v>
          </cell>
          <cell r="D136">
            <v>1096155</v>
          </cell>
          <cell r="E136">
            <v>485374</v>
          </cell>
          <cell r="F136">
            <v>236838</v>
          </cell>
          <cell r="G136">
            <v>710161</v>
          </cell>
          <cell r="H136">
            <v>0</v>
          </cell>
          <cell r="I136">
            <v>0</v>
          </cell>
          <cell r="J136">
            <v>0</v>
          </cell>
          <cell r="K136">
            <v>0</v>
          </cell>
          <cell r="L136">
            <v>0</v>
          </cell>
          <cell r="M136">
            <v>0</v>
          </cell>
          <cell r="N136">
            <v>0</v>
          </cell>
          <cell r="O136">
            <v>0</v>
          </cell>
          <cell r="P136">
            <v>0</v>
          </cell>
          <cell r="Q136">
            <v>0</v>
          </cell>
          <cell r="R136">
            <v>0</v>
          </cell>
          <cell r="S136">
            <v>100000</v>
          </cell>
          <cell r="T136">
            <v>2628528</v>
          </cell>
        </row>
        <row r="137">
          <cell r="A137">
            <v>125</v>
          </cell>
          <cell r="B137">
            <v>106</v>
          </cell>
          <cell r="D137">
            <v>0.417022379</v>
          </cell>
          <cell r="E137">
            <v>0.18465620299999999</v>
          </cell>
          <cell r="F137">
            <v>9.0102901999999999E-2</v>
          </cell>
          <cell r="G137">
            <v>0.270174409</v>
          </cell>
          <cell r="H137">
            <v>0</v>
          </cell>
          <cell r="I137">
            <v>0</v>
          </cell>
          <cell r="J137">
            <v>0</v>
          </cell>
          <cell r="K137">
            <v>0</v>
          </cell>
          <cell r="L137">
            <v>0</v>
          </cell>
          <cell r="M137">
            <v>0</v>
          </cell>
          <cell r="N137">
            <v>0</v>
          </cell>
          <cell r="O137">
            <v>0</v>
          </cell>
          <cell r="P137">
            <v>0</v>
          </cell>
          <cell r="Q137">
            <v>0</v>
          </cell>
          <cell r="R137">
            <v>0</v>
          </cell>
          <cell r="S137">
            <v>3.8044107000000001E-2</v>
          </cell>
          <cell r="T137">
            <v>1</v>
          </cell>
          <cell r="U137" t="str">
            <v>Design Day Tput W/LF TO 40 &amp; 60 + MDSQ</v>
          </cell>
        </row>
        <row r="139">
          <cell r="C139" t="str">
            <v>PEAK DAY SALES W/LF 40 + MDSQ</v>
          </cell>
          <cell r="D139">
            <v>1096155</v>
          </cell>
          <cell r="E139">
            <v>458973</v>
          </cell>
          <cell r="F139">
            <v>0</v>
          </cell>
          <cell r="G139">
            <v>0</v>
          </cell>
          <cell r="H139">
            <v>0</v>
          </cell>
          <cell r="I139">
            <v>0</v>
          </cell>
          <cell r="J139">
            <v>0</v>
          </cell>
          <cell r="K139">
            <v>0</v>
          </cell>
          <cell r="L139">
            <v>0</v>
          </cell>
          <cell r="M139">
            <v>0</v>
          </cell>
          <cell r="N139">
            <v>0</v>
          </cell>
          <cell r="O139">
            <v>0</v>
          </cell>
          <cell r="P139">
            <v>0</v>
          </cell>
          <cell r="Q139">
            <v>0</v>
          </cell>
          <cell r="R139">
            <v>0</v>
          </cell>
          <cell r="S139">
            <v>100000</v>
          </cell>
          <cell r="T139">
            <v>1655128</v>
          </cell>
        </row>
        <row r="140">
          <cell r="A140">
            <v>126</v>
          </cell>
          <cell r="B140">
            <v>107</v>
          </cell>
          <cell r="D140">
            <v>0.66227808399999999</v>
          </cell>
          <cell r="E140">
            <v>0.27730362800000002</v>
          </cell>
          <cell r="F140">
            <v>0</v>
          </cell>
          <cell r="G140">
            <v>0</v>
          </cell>
          <cell r="H140">
            <v>0</v>
          </cell>
          <cell r="I140">
            <v>0</v>
          </cell>
          <cell r="J140">
            <v>0</v>
          </cell>
          <cell r="K140">
            <v>0</v>
          </cell>
          <cell r="L140">
            <v>0</v>
          </cell>
          <cell r="M140">
            <v>0</v>
          </cell>
          <cell r="N140">
            <v>0</v>
          </cell>
          <cell r="O140">
            <v>0</v>
          </cell>
          <cell r="P140">
            <v>0</v>
          </cell>
          <cell r="Q140">
            <v>0</v>
          </cell>
          <cell r="R140">
            <v>0</v>
          </cell>
          <cell r="S140">
            <v>6.0418288000000001E-2</v>
          </cell>
          <cell r="T140">
            <v>1</v>
          </cell>
          <cell r="U140" t="str">
            <v>Peak Day Sales W/LF TO 40 + MDSQ</v>
          </cell>
        </row>
        <row r="142">
          <cell r="C142" t="str">
            <v>DESIGN DAY SALES W/LF 40 + MDSQ</v>
          </cell>
          <cell r="D142">
            <v>1096155</v>
          </cell>
          <cell r="E142">
            <v>485374</v>
          </cell>
          <cell r="F142">
            <v>236838</v>
          </cell>
          <cell r="G142">
            <v>710161</v>
          </cell>
          <cell r="H142">
            <v>0</v>
          </cell>
          <cell r="I142">
            <v>0</v>
          </cell>
          <cell r="J142">
            <v>0</v>
          </cell>
          <cell r="K142">
            <v>0</v>
          </cell>
          <cell r="L142">
            <v>0</v>
          </cell>
          <cell r="M142">
            <v>0</v>
          </cell>
          <cell r="N142">
            <v>0</v>
          </cell>
          <cell r="O142">
            <v>0</v>
          </cell>
          <cell r="P142">
            <v>0</v>
          </cell>
          <cell r="Q142">
            <v>0</v>
          </cell>
          <cell r="R142">
            <v>0</v>
          </cell>
          <cell r="S142">
            <v>0</v>
          </cell>
          <cell r="T142">
            <v>2528528</v>
          </cell>
        </row>
        <row r="143">
          <cell r="A143">
            <v>127</v>
          </cell>
          <cell r="B143">
            <v>108</v>
          </cell>
          <cell r="D143">
            <v>0.43351507299999997</v>
          </cell>
          <cell r="E143">
            <v>0.19195911600000001</v>
          </cell>
          <cell r="F143">
            <v>9.3666353999999993E-2</v>
          </cell>
          <cell r="G143">
            <v>0.28085945699999998</v>
          </cell>
          <cell r="H143">
            <v>0</v>
          </cell>
          <cell r="I143">
            <v>0</v>
          </cell>
          <cell r="J143">
            <v>0</v>
          </cell>
          <cell r="K143">
            <v>0</v>
          </cell>
          <cell r="L143">
            <v>0</v>
          </cell>
          <cell r="M143">
            <v>0</v>
          </cell>
          <cell r="N143">
            <v>0</v>
          </cell>
          <cell r="O143">
            <v>0</v>
          </cell>
          <cell r="P143">
            <v>0</v>
          </cell>
          <cell r="Q143">
            <v>0</v>
          </cell>
          <cell r="R143">
            <v>0</v>
          </cell>
          <cell r="S143">
            <v>0</v>
          </cell>
          <cell r="T143">
            <v>1</v>
          </cell>
          <cell r="U143" t="str">
            <v>Design Day Sales W/LF TO 40 + MDSQ</v>
          </cell>
        </row>
        <row r="145">
          <cell r="C145" t="str">
            <v>WINTER SALES 10-40 + MWSQ</v>
          </cell>
          <cell r="D145">
            <v>7218496</v>
          </cell>
          <cell r="E145">
            <v>3404034</v>
          </cell>
          <cell r="F145">
            <v>253497</v>
          </cell>
          <cell r="G145">
            <v>46864</v>
          </cell>
          <cell r="H145">
            <v>0</v>
          </cell>
          <cell r="I145">
            <v>0</v>
          </cell>
          <cell r="J145">
            <v>0</v>
          </cell>
          <cell r="K145">
            <v>0</v>
          </cell>
          <cell r="L145">
            <v>0</v>
          </cell>
          <cell r="M145">
            <v>0</v>
          </cell>
          <cell r="N145">
            <v>0</v>
          </cell>
          <cell r="O145">
            <v>0</v>
          </cell>
          <cell r="P145">
            <v>0</v>
          </cell>
          <cell r="Q145">
            <v>0</v>
          </cell>
          <cell r="R145">
            <v>0</v>
          </cell>
          <cell r="S145" t="e">
            <v>#REF!</v>
          </cell>
          <cell r="T145" t="e">
            <v>#REF!</v>
          </cell>
        </row>
        <row r="146">
          <cell r="A146">
            <v>128</v>
          </cell>
          <cell r="B146">
            <v>134</v>
          </cell>
          <cell r="D146" t="e">
            <v>#REF!</v>
          </cell>
          <cell r="E146" t="e">
            <v>#REF!</v>
          </cell>
          <cell r="F146" t="e">
            <v>#REF!</v>
          </cell>
          <cell r="G146" t="e">
            <v>#REF!</v>
          </cell>
          <cell r="H146" t="e">
            <v>#REF!</v>
          </cell>
          <cell r="I146" t="e">
            <v>#REF!</v>
          </cell>
          <cell r="J146" t="e">
            <v>#REF!</v>
          </cell>
          <cell r="K146" t="e">
            <v>#REF!</v>
          </cell>
          <cell r="L146" t="e">
            <v>#REF!</v>
          </cell>
          <cell r="M146" t="e">
            <v>#REF!</v>
          </cell>
          <cell r="N146" t="e">
            <v>#REF!</v>
          </cell>
          <cell r="O146" t="e">
            <v>#REF!</v>
          </cell>
          <cell r="P146" t="e">
            <v>#REF!</v>
          </cell>
          <cell r="Q146" t="e">
            <v>#REF!</v>
          </cell>
          <cell r="R146" t="e">
            <v>#REF!</v>
          </cell>
          <cell r="S146" t="e">
            <v>#REF!</v>
          </cell>
          <cell r="T146" t="e">
            <v>#REF!</v>
          </cell>
          <cell r="U146" t="str">
            <v>Winter Dales TO 10-40 + MWSQ</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AGE"/>
      <sheetName val="SUMMARY CALC"/>
      <sheetName val="PIS AFUDC PIVOT"/>
      <sheetName val="Bucket"/>
      <sheetName val="PIS AFUDC"/>
      <sheetName val="CHARGE PIVOT"/>
      <sheetName val="Charges"/>
      <sheetName val="AFUDC Rates"/>
      <sheetName val="WO Select Query"/>
      <sheetName val="WO Select Pivot"/>
      <sheetName val="Press Release"/>
      <sheetName val="Procedures"/>
      <sheetName val="Summary for Projection"/>
    </sheetNames>
    <sheetDataSet>
      <sheetData sheetId="0"/>
      <sheetData sheetId="1"/>
      <sheetData sheetId="2">
        <row r="5">
          <cell r="B5" t="str">
            <v>(blank)</v>
          </cell>
          <cell r="C5">
            <v>0</v>
          </cell>
        </row>
        <row r="6">
          <cell r="B6" t="str">
            <v>08592052800</v>
          </cell>
          <cell r="C6">
            <v>18030.315686039343</v>
          </cell>
        </row>
        <row r="7">
          <cell r="B7" t="str">
            <v>08582152700</v>
          </cell>
          <cell r="C7">
            <v>50653.222664255278</v>
          </cell>
        </row>
        <row r="8">
          <cell r="B8" t="str">
            <v>08582152010</v>
          </cell>
          <cell r="C8">
            <v>4058.4230071865391</v>
          </cell>
        </row>
        <row r="9">
          <cell r="B9" t="str">
            <v>08582152703</v>
          </cell>
          <cell r="C9">
            <v>25872.666138665118</v>
          </cell>
        </row>
        <row r="10">
          <cell r="B10" t="str">
            <v>08582152701</v>
          </cell>
          <cell r="C10">
            <v>63883.412703545029</v>
          </cell>
        </row>
        <row r="11">
          <cell r="B11" t="str">
            <v>08573352703</v>
          </cell>
          <cell r="C11">
            <v>114470.3902617719</v>
          </cell>
        </row>
        <row r="12">
          <cell r="B12" t="str">
            <v>08582152702</v>
          </cell>
          <cell r="C12">
            <v>76278.752208433609</v>
          </cell>
        </row>
        <row r="13">
          <cell r="B13" t="str">
            <v>08573352702</v>
          </cell>
          <cell r="C13">
            <v>116501.61265871074</v>
          </cell>
        </row>
        <row r="14">
          <cell r="B14" t="str">
            <v>08595752010</v>
          </cell>
          <cell r="C14">
            <v>0</v>
          </cell>
        </row>
        <row r="15">
          <cell r="B15" t="str">
            <v>08582152707</v>
          </cell>
          <cell r="C15">
            <v>3099.1848813329739</v>
          </cell>
        </row>
        <row r="16">
          <cell r="B16" t="str">
            <v>08573352701</v>
          </cell>
          <cell r="C16">
            <v>56370.995721500032</v>
          </cell>
        </row>
        <row r="17">
          <cell r="B17" t="str">
            <v>08582152704</v>
          </cell>
          <cell r="C17">
            <v>63480.771636455029</v>
          </cell>
        </row>
        <row r="18">
          <cell r="B18" t="str">
            <v>08582152705</v>
          </cell>
          <cell r="C18">
            <v>79829.350535251564</v>
          </cell>
        </row>
        <row r="19">
          <cell r="B19" t="str">
            <v>08582152708</v>
          </cell>
          <cell r="C19">
            <v>1930.4482634406813</v>
          </cell>
        </row>
        <row r="20">
          <cell r="B20" t="str">
            <v>08573352700</v>
          </cell>
          <cell r="C20">
            <v>87039.1315186375</v>
          </cell>
        </row>
        <row r="21">
          <cell r="B21" t="str">
            <v>08574152702</v>
          </cell>
          <cell r="C21">
            <v>39258.4963038895</v>
          </cell>
        </row>
        <row r="22">
          <cell r="B22" t="str">
            <v>08582152711</v>
          </cell>
          <cell r="C22">
            <v>8696.7384176644591</v>
          </cell>
        </row>
        <row r="23">
          <cell r="B23" t="str">
            <v>08582152706</v>
          </cell>
          <cell r="C23">
            <v>17464.231043568831</v>
          </cell>
        </row>
        <row r="24">
          <cell r="B24" t="str">
            <v>08582152709</v>
          </cell>
          <cell r="C24">
            <v>9944.5681850414985</v>
          </cell>
        </row>
        <row r="25">
          <cell r="B25" t="str">
            <v>08582152710</v>
          </cell>
          <cell r="C25">
            <v>12563.465388973096</v>
          </cell>
        </row>
        <row r="26">
          <cell r="B26" t="str">
            <v>08574152713</v>
          </cell>
          <cell r="C26">
            <v>0</v>
          </cell>
        </row>
        <row r="27">
          <cell r="B27" t="str">
            <v>08574152714</v>
          </cell>
          <cell r="C27">
            <v>7064.266976076804</v>
          </cell>
        </row>
        <row r="28">
          <cell r="B28" t="str">
            <v>08574152705</v>
          </cell>
          <cell r="C28">
            <v>14379.154051273021</v>
          </cell>
        </row>
        <row r="29">
          <cell r="B29" t="str">
            <v>08574152700</v>
          </cell>
          <cell r="C29">
            <v>33799.351655264247</v>
          </cell>
        </row>
        <row r="30">
          <cell r="B30" t="str">
            <v>08574152703</v>
          </cell>
          <cell r="C30">
            <v>75588.974444133695</v>
          </cell>
        </row>
        <row r="31">
          <cell r="B31" t="str">
            <v>08574152715</v>
          </cell>
          <cell r="C31">
            <v>18949.165879670883</v>
          </cell>
        </row>
        <row r="32">
          <cell r="B32" t="str">
            <v>08574152701</v>
          </cell>
          <cell r="C32">
            <v>55035.342089671125</v>
          </cell>
        </row>
        <row r="33">
          <cell r="B33" t="str">
            <v>08574152708</v>
          </cell>
          <cell r="C33">
            <v>2601.597979757586</v>
          </cell>
        </row>
        <row r="34">
          <cell r="B34" t="str">
            <v>08574152704</v>
          </cell>
          <cell r="C34">
            <v>73917.929646348071</v>
          </cell>
        </row>
        <row r="35">
          <cell r="B35" t="str">
            <v>08573352704</v>
          </cell>
          <cell r="C35">
            <v>15454.692841762535</v>
          </cell>
        </row>
        <row r="36">
          <cell r="B36" t="str">
            <v>08595052700</v>
          </cell>
          <cell r="C36">
            <v>119961.67387712451</v>
          </cell>
        </row>
        <row r="37">
          <cell r="B37" t="str">
            <v>08595052701</v>
          </cell>
          <cell r="C37">
            <v>92763.948344048069</v>
          </cell>
        </row>
        <row r="38">
          <cell r="B38" t="str">
            <v>08574152706</v>
          </cell>
          <cell r="C38">
            <v>63506.995918871333</v>
          </cell>
        </row>
        <row r="39">
          <cell r="B39" t="str">
            <v>08574152711</v>
          </cell>
          <cell r="C39">
            <v>45930.639457350662</v>
          </cell>
        </row>
        <row r="40">
          <cell r="B40" t="str">
            <v>08582152712</v>
          </cell>
          <cell r="C40">
            <v>81727.771925932946</v>
          </cell>
        </row>
        <row r="41">
          <cell r="B41" t="str">
            <v>08574152707</v>
          </cell>
          <cell r="C41">
            <v>122323.63505572698</v>
          </cell>
        </row>
        <row r="42">
          <cell r="B42" t="str">
            <v>08574152709</v>
          </cell>
          <cell r="C42">
            <v>57742.985981992308</v>
          </cell>
        </row>
        <row r="43">
          <cell r="B43" t="str">
            <v>08574152712</v>
          </cell>
          <cell r="C43">
            <v>75863.105463271844</v>
          </cell>
        </row>
        <row r="44">
          <cell r="B44" t="str">
            <v>08595452701</v>
          </cell>
          <cell r="C44">
            <v>9297.8216552107733</v>
          </cell>
        </row>
        <row r="45">
          <cell r="B45" t="str">
            <v>08574152710</v>
          </cell>
          <cell r="C45">
            <v>69982.611513737007</v>
          </cell>
        </row>
        <row r="46">
          <cell r="B46" t="str">
            <v>08582152713</v>
          </cell>
          <cell r="C46">
            <v>74273.102811233635</v>
          </cell>
        </row>
        <row r="47">
          <cell r="B47" t="str">
            <v>08583452700</v>
          </cell>
          <cell r="C47">
            <v>23401.255220738745</v>
          </cell>
        </row>
        <row r="48">
          <cell r="B48" t="str">
            <v>08595452700</v>
          </cell>
          <cell r="C48">
            <v>3150.1248506432366</v>
          </cell>
        </row>
        <row r="49">
          <cell r="B49" t="str">
            <v>08582152714</v>
          </cell>
          <cell r="C49">
            <v>92149.003250972572</v>
          </cell>
        </row>
        <row r="50">
          <cell r="B50" t="str">
            <v>08583352525</v>
          </cell>
          <cell r="C50">
            <v>10384.187976560592</v>
          </cell>
        </row>
        <row r="51">
          <cell r="B51" t="str">
            <v>09583452525</v>
          </cell>
          <cell r="C51">
            <v>68177.794740956801</v>
          </cell>
        </row>
        <row r="52">
          <cell r="B52" t="str">
            <v>09592752525</v>
          </cell>
          <cell r="C52">
            <v>8576.9527592174491</v>
          </cell>
        </row>
        <row r="53">
          <cell r="B53" t="str">
            <v>08574152540</v>
          </cell>
          <cell r="C53">
            <v>64233.920963281314</v>
          </cell>
        </row>
        <row r="54">
          <cell r="B54" t="str">
            <v>08583352526</v>
          </cell>
          <cell r="C54">
            <v>82243.21065922972</v>
          </cell>
        </row>
        <row r="55">
          <cell r="B55" t="str">
            <v>08595552523</v>
          </cell>
          <cell r="C55">
            <v>38719.482354335509</v>
          </cell>
        </row>
        <row r="56">
          <cell r="B56" t="str">
            <v>08573352530</v>
          </cell>
          <cell r="C56">
            <v>50392.35115978714</v>
          </cell>
        </row>
        <row r="57">
          <cell r="B57" t="str">
            <v>08573352529</v>
          </cell>
          <cell r="C57">
            <v>44648.242871839349</v>
          </cell>
        </row>
        <row r="58">
          <cell r="B58" t="str">
            <v>09592052523</v>
          </cell>
          <cell r="C58">
            <v>55619.117841668281</v>
          </cell>
        </row>
        <row r="59">
          <cell r="B59" t="str">
            <v>09595552527</v>
          </cell>
          <cell r="C59">
            <v>4306.4544300278176</v>
          </cell>
        </row>
        <row r="60">
          <cell r="B60" t="str">
            <v>09583252523</v>
          </cell>
          <cell r="C60">
            <v>39977.783398284861</v>
          </cell>
        </row>
        <row r="61">
          <cell r="B61" t="str">
            <v>09582152523</v>
          </cell>
          <cell r="C61">
            <v>25626.453706111526</v>
          </cell>
        </row>
        <row r="62">
          <cell r="B62" t="str">
            <v>08582152540</v>
          </cell>
          <cell r="C62">
            <v>98896.218662434534</v>
          </cell>
        </row>
        <row r="63">
          <cell r="B63" t="str">
            <v>09574152523</v>
          </cell>
          <cell r="C63">
            <v>19159.277266376906</v>
          </cell>
        </row>
        <row r="64">
          <cell r="B64" t="str">
            <v>09574152526</v>
          </cell>
          <cell r="C64">
            <v>25862.766887123285</v>
          </cell>
        </row>
        <row r="65">
          <cell r="B65" t="str">
            <v>09574152525</v>
          </cell>
          <cell r="C65">
            <v>39071.620016437162</v>
          </cell>
        </row>
        <row r="66">
          <cell r="B66" t="str">
            <v>09582152525</v>
          </cell>
          <cell r="C66">
            <v>51548.654255901907</v>
          </cell>
        </row>
        <row r="67">
          <cell r="B67" t="str">
            <v>09595052523</v>
          </cell>
          <cell r="C67">
            <v>26208.671729416783</v>
          </cell>
        </row>
        <row r="68">
          <cell r="B68" t="str">
            <v>09582152526</v>
          </cell>
          <cell r="C68">
            <v>0</v>
          </cell>
        </row>
        <row r="69">
          <cell r="B69" t="str">
            <v>09583352523</v>
          </cell>
          <cell r="C69">
            <v>61258.173073710634</v>
          </cell>
        </row>
        <row r="70">
          <cell r="B70" t="str">
            <v>08595052526</v>
          </cell>
          <cell r="C70">
            <v>52117.845897536499</v>
          </cell>
        </row>
        <row r="71">
          <cell r="B71" t="str">
            <v>09575252523</v>
          </cell>
          <cell r="C71">
            <v>66856.774390831823</v>
          </cell>
        </row>
        <row r="72">
          <cell r="B72" t="str">
            <v>09582152527</v>
          </cell>
          <cell r="C72">
            <v>37871.53420303786</v>
          </cell>
        </row>
        <row r="73">
          <cell r="B73" t="str">
            <v>09582152528</v>
          </cell>
          <cell r="C73">
            <v>65508.592852728361</v>
          </cell>
        </row>
        <row r="74">
          <cell r="B74" t="str">
            <v>09582152531</v>
          </cell>
          <cell r="C74">
            <v>17355.462589494397</v>
          </cell>
        </row>
        <row r="75">
          <cell r="B75" t="str">
            <v>09583452526</v>
          </cell>
          <cell r="C75">
            <v>74874.490999624657</v>
          </cell>
        </row>
        <row r="76">
          <cell r="B76" t="str">
            <v>09592552523</v>
          </cell>
          <cell r="C76">
            <v>0</v>
          </cell>
        </row>
        <row r="77">
          <cell r="B77" t="str">
            <v>09592652523</v>
          </cell>
          <cell r="C77">
            <v>4490.5975240651223</v>
          </cell>
        </row>
        <row r="78">
          <cell r="B78" t="str">
            <v>09592852523</v>
          </cell>
          <cell r="C78">
            <v>21233.212083407157</v>
          </cell>
        </row>
        <row r="79">
          <cell r="B79" t="str">
            <v>09595052526</v>
          </cell>
          <cell r="C79">
            <v>11031.706481531732</v>
          </cell>
        </row>
        <row r="80">
          <cell r="B80" t="str">
            <v>09595552526</v>
          </cell>
          <cell r="C80">
            <v>54469.761977828639</v>
          </cell>
        </row>
        <row r="81">
          <cell r="B81" t="str">
            <v>09574152528</v>
          </cell>
          <cell r="C81">
            <v>21445.761177016186</v>
          </cell>
        </row>
        <row r="82">
          <cell r="B82" t="str">
            <v>09595052529</v>
          </cell>
          <cell r="C82">
            <v>20270.497462742416</v>
          </cell>
        </row>
        <row r="83">
          <cell r="B83" t="str">
            <v>09595352523</v>
          </cell>
          <cell r="C83">
            <v>4337.6366946334256</v>
          </cell>
        </row>
        <row r="84">
          <cell r="B84" t="str">
            <v>09573352523</v>
          </cell>
          <cell r="C84">
            <v>74941.538038891449</v>
          </cell>
        </row>
        <row r="85">
          <cell r="B85" t="str">
            <v>09573352527</v>
          </cell>
          <cell r="C85">
            <v>51937.855451139665</v>
          </cell>
        </row>
        <row r="86">
          <cell r="B86" t="str">
            <v>09574152527</v>
          </cell>
          <cell r="C86">
            <v>10420.163649063908</v>
          </cell>
        </row>
        <row r="87">
          <cell r="B87" t="str">
            <v>09582152530</v>
          </cell>
          <cell r="C87">
            <v>26234.66688760406</v>
          </cell>
        </row>
        <row r="88">
          <cell r="B88" t="str">
            <v>09582152532</v>
          </cell>
          <cell r="C88">
            <v>0</v>
          </cell>
        </row>
        <row r="89">
          <cell r="B89" t="str">
            <v>09582152533</v>
          </cell>
          <cell r="C89">
            <v>0</v>
          </cell>
        </row>
        <row r="90">
          <cell r="B90" t="str">
            <v>09592052525</v>
          </cell>
          <cell r="C90">
            <v>73544.928191348357</v>
          </cell>
        </row>
        <row r="91">
          <cell r="B91" t="str">
            <v>09592052527</v>
          </cell>
          <cell r="C91">
            <v>20611.932984353465</v>
          </cell>
        </row>
        <row r="92">
          <cell r="B92" t="str">
            <v>09592052528</v>
          </cell>
          <cell r="C92">
            <v>9788.6707941447021</v>
          </cell>
        </row>
        <row r="93">
          <cell r="B93" t="str">
            <v>09592452525</v>
          </cell>
          <cell r="C93">
            <v>29928.993911697235</v>
          </cell>
        </row>
        <row r="94">
          <cell r="B94" t="str">
            <v>09592452526</v>
          </cell>
          <cell r="C94">
            <v>12305.576351304964</v>
          </cell>
        </row>
        <row r="95">
          <cell r="B95" t="str">
            <v>09592452527</v>
          </cell>
          <cell r="C95">
            <v>15319.446589248619</v>
          </cell>
        </row>
        <row r="96">
          <cell r="B96" t="str">
            <v>09592452528</v>
          </cell>
          <cell r="C96">
            <v>28352.175275561902</v>
          </cell>
        </row>
        <row r="97">
          <cell r="B97" t="str">
            <v>09595052530</v>
          </cell>
          <cell r="C97">
            <v>31174.212250609613</v>
          </cell>
        </row>
        <row r="98">
          <cell r="B98" t="str">
            <v>09595752523</v>
          </cell>
          <cell r="C98">
            <v>35780.466968414141</v>
          </cell>
        </row>
        <row r="99">
          <cell r="B99" t="str">
            <v>09595952523</v>
          </cell>
          <cell r="C99">
            <v>0</v>
          </cell>
        </row>
        <row r="100">
          <cell r="B100" t="str">
            <v>08582152011</v>
          </cell>
          <cell r="C100">
            <v>0</v>
          </cell>
        </row>
        <row r="101">
          <cell r="B101" t="str">
            <v>08582152715</v>
          </cell>
          <cell r="C101">
            <v>0</v>
          </cell>
        </row>
        <row r="102">
          <cell r="B102" t="str">
            <v>09573352526</v>
          </cell>
          <cell r="C102">
            <v>36162.638991297783</v>
          </cell>
        </row>
        <row r="103">
          <cell r="B103" t="str">
            <v>09574252523</v>
          </cell>
          <cell r="C103">
            <v>0</v>
          </cell>
        </row>
        <row r="104">
          <cell r="B104" t="str">
            <v>09575152523</v>
          </cell>
          <cell r="C104">
            <v>0</v>
          </cell>
        </row>
        <row r="105">
          <cell r="B105" t="str">
            <v>09575252525</v>
          </cell>
          <cell r="C105">
            <v>0</v>
          </cell>
        </row>
        <row r="106">
          <cell r="B106" t="str">
            <v>09582152529</v>
          </cell>
          <cell r="C106">
            <v>0</v>
          </cell>
        </row>
        <row r="107">
          <cell r="B107" t="str">
            <v>09582152534</v>
          </cell>
          <cell r="C107">
            <v>16146.507683642925</v>
          </cell>
        </row>
        <row r="108">
          <cell r="B108" t="str">
            <v>09585652010</v>
          </cell>
          <cell r="C108">
            <v>0</v>
          </cell>
        </row>
        <row r="109">
          <cell r="B109" t="str">
            <v>09592052529</v>
          </cell>
          <cell r="C109">
            <v>12242.82865446602</v>
          </cell>
        </row>
        <row r="110">
          <cell r="B110" t="str">
            <v>09595052527</v>
          </cell>
          <cell r="C110">
            <v>0</v>
          </cell>
        </row>
        <row r="111">
          <cell r="B111" t="str">
            <v>09595052531</v>
          </cell>
          <cell r="C111">
            <v>52822.531180741527</v>
          </cell>
        </row>
        <row r="112">
          <cell r="B112" t="str">
            <v>09595552528</v>
          </cell>
          <cell r="C112">
            <v>36326.535984888702</v>
          </cell>
        </row>
        <row r="113">
          <cell r="B113" t="str">
            <v>09595552529</v>
          </cell>
          <cell r="C113">
            <v>24413.63055381941</v>
          </cell>
        </row>
        <row r="114">
          <cell r="B114" t="str">
            <v>BS/CI Clarksville</v>
          </cell>
          <cell r="C114">
            <v>0</v>
          </cell>
        </row>
        <row r="115">
          <cell r="B115" t="str">
            <v>BS/CI Muncie 08</v>
          </cell>
          <cell r="C115">
            <v>0</v>
          </cell>
        </row>
        <row r="116">
          <cell r="B116" t="str">
            <v>09595402052523</v>
          </cell>
          <cell r="C116">
            <v>33804.140404262231</v>
          </cell>
        </row>
        <row r="117">
          <cell r="B117" t="str">
            <v>09574102052523</v>
          </cell>
          <cell r="C117">
            <v>25883.471146105097</v>
          </cell>
        </row>
        <row r="118">
          <cell r="B118" t="str">
            <v>09582102052523</v>
          </cell>
          <cell r="C118">
            <v>20433.984621999785</v>
          </cell>
        </row>
        <row r="119">
          <cell r="B119" t="str">
            <v>09582102052525</v>
          </cell>
          <cell r="C119">
            <v>42074.794274606109</v>
          </cell>
        </row>
        <row r="120">
          <cell r="B120" t="str">
            <v>10595002052011</v>
          </cell>
          <cell r="C120">
            <v>5409.0244668704363</v>
          </cell>
        </row>
        <row r="121">
          <cell r="B121" t="str">
            <v>09595002052523</v>
          </cell>
          <cell r="C121">
            <v>23435.40946221332</v>
          </cell>
        </row>
        <row r="122">
          <cell r="B122" t="str">
            <v>09595002052525</v>
          </cell>
          <cell r="C122">
            <v>14341.379284299355</v>
          </cell>
        </row>
        <row r="123">
          <cell r="B123" t="str">
            <v>09595002052526</v>
          </cell>
          <cell r="C123">
            <v>18370.176527456497</v>
          </cell>
        </row>
        <row r="124">
          <cell r="B124" t="str">
            <v>10595002052212</v>
          </cell>
          <cell r="C124">
            <v>24999.988523790737</v>
          </cell>
        </row>
        <row r="125">
          <cell r="B125" t="str">
            <v>09592002052523</v>
          </cell>
          <cell r="C125">
            <v>33621.078323857648</v>
          </cell>
        </row>
        <row r="126">
          <cell r="B126" t="str">
            <v>09592002052525</v>
          </cell>
          <cell r="C126">
            <v>16390.970798837592</v>
          </cell>
        </row>
        <row r="127">
          <cell r="B127" t="str">
            <v>09592002052526</v>
          </cell>
          <cell r="C127">
            <v>18811.505876653839</v>
          </cell>
        </row>
        <row r="128">
          <cell r="B128" t="str">
            <v>10592702052210</v>
          </cell>
          <cell r="C128">
            <v>6206.4829637520379</v>
          </cell>
        </row>
        <row r="129">
          <cell r="B129" t="str">
            <v>10592702052212</v>
          </cell>
          <cell r="C129">
            <v>23101.340189011746</v>
          </cell>
        </row>
        <row r="130">
          <cell r="B130" t="str">
            <v>10583302052210</v>
          </cell>
          <cell r="C130">
            <v>3434.0135731576952</v>
          </cell>
        </row>
        <row r="131">
          <cell r="B131" t="str">
            <v>10595502052210</v>
          </cell>
          <cell r="C131">
            <v>20380.790740541615</v>
          </cell>
        </row>
        <row r="132">
          <cell r="B132" t="str">
            <v>10592402052210</v>
          </cell>
          <cell r="C132">
            <v>15687.349266244679</v>
          </cell>
        </row>
        <row r="133">
          <cell r="B133" t="str">
            <v>10595402052210</v>
          </cell>
          <cell r="C133">
            <v>30657.027853321037</v>
          </cell>
        </row>
        <row r="134">
          <cell r="B134" t="str">
            <v>10595502052212</v>
          </cell>
          <cell r="C134">
            <v>18843.169885532829</v>
          </cell>
        </row>
        <row r="135">
          <cell r="B135" t="str">
            <v>10573302052210</v>
          </cell>
          <cell r="C135">
            <v>21760.057905540896</v>
          </cell>
        </row>
        <row r="136">
          <cell r="B136" t="str">
            <v>10583202052210</v>
          </cell>
          <cell r="C136">
            <v>47636.398977119134</v>
          </cell>
        </row>
        <row r="137">
          <cell r="B137" t="str">
            <v>10583402052210</v>
          </cell>
          <cell r="C137">
            <v>32798.97509775345</v>
          </cell>
        </row>
        <row r="138">
          <cell r="B138" t="str">
            <v>10592002052210</v>
          </cell>
          <cell r="C138">
            <v>23622.244731296163</v>
          </cell>
        </row>
        <row r="139">
          <cell r="B139" t="str">
            <v>10592002052212</v>
          </cell>
          <cell r="C139">
            <v>58117.434030704506</v>
          </cell>
        </row>
        <row r="140">
          <cell r="B140" t="str">
            <v>10592002052213</v>
          </cell>
          <cell r="C140">
            <v>32176.698726617884</v>
          </cell>
        </row>
        <row r="141">
          <cell r="B141" t="str">
            <v>10592002052214</v>
          </cell>
          <cell r="C141">
            <v>27474.335009726507</v>
          </cell>
        </row>
        <row r="142">
          <cell r="B142" t="str">
            <v>10592702052213</v>
          </cell>
          <cell r="C142">
            <v>18062.865630735014</v>
          </cell>
        </row>
        <row r="143">
          <cell r="B143" t="str">
            <v>10592802052210</v>
          </cell>
          <cell r="C143">
            <v>23687.746006821904</v>
          </cell>
        </row>
        <row r="144">
          <cell r="B144" t="str">
            <v>10595402052212</v>
          </cell>
          <cell r="C144">
            <v>32079.930939884751</v>
          </cell>
        </row>
        <row r="145">
          <cell r="B145" t="str">
            <v>10592502052210</v>
          </cell>
          <cell r="C145">
            <v>25982.307018719501</v>
          </cell>
        </row>
        <row r="146">
          <cell r="B146" t="str">
            <v>10595302052210</v>
          </cell>
          <cell r="C146">
            <v>22147.029284495537</v>
          </cell>
        </row>
        <row r="147">
          <cell r="B147" t="str">
            <v>10595302052212</v>
          </cell>
          <cell r="C147">
            <v>8744.3849141101255</v>
          </cell>
        </row>
        <row r="148">
          <cell r="B148" t="str">
            <v>11592002052210</v>
          </cell>
          <cell r="C148">
            <v>10923.168894144754</v>
          </cell>
        </row>
        <row r="149">
          <cell r="B149" t="str">
            <v>11574102052213</v>
          </cell>
          <cell r="C149">
            <v>12044.515873154573</v>
          </cell>
        </row>
        <row r="150">
          <cell r="B150" t="str">
            <v>11595502052210</v>
          </cell>
          <cell r="C150">
            <v>0</v>
          </cell>
        </row>
        <row r="151">
          <cell r="B151" t="str">
            <v>11595502052212</v>
          </cell>
          <cell r="C151">
            <v>15702.898983283567</v>
          </cell>
        </row>
        <row r="152">
          <cell r="B152" t="str">
            <v>11573302052210</v>
          </cell>
          <cell r="C152">
            <v>11384.090599067456</v>
          </cell>
        </row>
        <row r="153">
          <cell r="B153" t="str">
            <v>11573302052212</v>
          </cell>
          <cell r="C153">
            <v>6974.9307582797492</v>
          </cell>
        </row>
        <row r="154">
          <cell r="B154" t="str">
            <v>11574102052214</v>
          </cell>
          <cell r="C154">
            <v>4773.3277056845</v>
          </cell>
        </row>
        <row r="155">
          <cell r="B155" t="str">
            <v>11574102052215</v>
          </cell>
          <cell r="C155">
            <v>368.29653908124999</v>
          </cell>
        </row>
        <row r="156">
          <cell r="B156" t="str">
            <v>11575202052214</v>
          </cell>
          <cell r="C156">
            <v>2572.3786451187498</v>
          </cell>
        </row>
        <row r="157">
          <cell r="B157" t="str">
            <v>11575302052210</v>
          </cell>
          <cell r="C157">
            <v>913.86904747125004</v>
          </cell>
        </row>
        <row r="158">
          <cell r="B158" t="str">
            <v>11583202052212</v>
          </cell>
          <cell r="C158">
            <v>23355.187745784846</v>
          </cell>
        </row>
        <row r="159">
          <cell r="B159" t="str">
            <v>11583402052210</v>
          </cell>
          <cell r="C159">
            <v>26766.770891112817</v>
          </cell>
        </row>
        <row r="160">
          <cell r="B160" t="str">
            <v>11592002052216</v>
          </cell>
          <cell r="C160">
            <v>6829.314379669504</v>
          </cell>
        </row>
        <row r="161">
          <cell r="B161" t="str">
            <v>11592702052210</v>
          </cell>
          <cell r="C161">
            <v>6773.5432053088098</v>
          </cell>
        </row>
        <row r="162">
          <cell r="B162" t="str">
            <v>11592702052212</v>
          </cell>
          <cell r="C162">
            <v>3332.6353503513292</v>
          </cell>
        </row>
        <row r="163">
          <cell r="B163" t="str">
            <v>11595002052210</v>
          </cell>
          <cell r="C163">
            <v>9291.1795272915006</v>
          </cell>
        </row>
        <row r="164">
          <cell r="B164" t="str">
            <v>11595502052213</v>
          </cell>
          <cell r="C164">
            <v>2768.3424599999998</v>
          </cell>
        </row>
        <row r="165">
          <cell r="B165" t="str">
            <v>11595902052212</v>
          </cell>
          <cell r="C165">
            <v>14945.096546547251</v>
          </cell>
        </row>
        <row r="166">
          <cell r="B166" t="str">
            <v>10573302052212</v>
          </cell>
          <cell r="C166">
            <v>13592.023764474381</v>
          </cell>
        </row>
        <row r="167">
          <cell r="B167" t="str">
            <v>11573302052213</v>
          </cell>
          <cell r="C167">
            <v>3607.9023117275001</v>
          </cell>
        </row>
        <row r="168">
          <cell r="B168" t="str">
            <v>11573302052214</v>
          </cell>
          <cell r="C168">
            <v>0</v>
          </cell>
        </row>
        <row r="169">
          <cell r="B169" t="str">
            <v>11574102052210</v>
          </cell>
          <cell r="C169">
            <v>2390.0168296422094</v>
          </cell>
        </row>
        <row r="170">
          <cell r="B170" t="str">
            <v>11575102052210</v>
          </cell>
          <cell r="C170">
            <v>2756.1184990950001</v>
          </cell>
        </row>
        <row r="171">
          <cell r="B171" t="str">
            <v>11575102052212</v>
          </cell>
          <cell r="C171">
            <v>4399.5007618575</v>
          </cell>
        </row>
        <row r="172">
          <cell r="B172" t="str">
            <v>11575302052212</v>
          </cell>
          <cell r="C172">
            <v>5807.4371744126092</v>
          </cell>
        </row>
        <row r="173">
          <cell r="B173" t="str">
            <v>11582102052210</v>
          </cell>
          <cell r="C173">
            <v>0</v>
          </cell>
        </row>
        <row r="174">
          <cell r="B174" t="str">
            <v>11582102052212</v>
          </cell>
          <cell r="C174">
            <v>0</v>
          </cell>
        </row>
        <row r="175">
          <cell r="B175" t="str">
            <v>11582102052213</v>
          </cell>
          <cell r="C175">
            <v>5726.1535008600003</v>
          </cell>
        </row>
        <row r="176">
          <cell r="B176" t="str">
            <v>11583202052213</v>
          </cell>
          <cell r="C176">
            <v>7842.2117528437511</v>
          </cell>
        </row>
        <row r="177">
          <cell r="B177" t="str">
            <v>11583202052215</v>
          </cell>
          <cell r="C177">
            <v>7511.1142650237507</v>
          </cell>
        </row>
        <row r="178">
          <cell r="B178" t="str">
            <v>11592002052212</v>
          </cell>
          <cell r="C178">
            <v>19079.724447092249</v>
          </cell>
        </row>
        <row r="179">
          <cell r="B179" t="str">
            <v>11592002052214</v>
          </cell>
          <cell r="C179">
            <v>16183.447206458772</v>
          </cell>
        </row>
        <row r="180">
          <cell r="B180" t="str">
            <v>11592002052217</v>
          </cell>
          <cell r="C180">
            <v>1990.1935625000001</v>
          </cell>
        </row>
        <row r="181">
          <cell r="B181" t="str">
            <v>11592502052210</v>
          </cell>
          <cell r="C181">
            <v>27351.816939677537</v>
          </cell>
        </row>
        <row r="182">
          <cell r="B182" t="str">
            <v>11595002052212</v>
          </cell>
          <cell r="C182">
            <v>0</v>
          </cell>
        </row>
        <row r="183">
          <cell r="B183" t="str">
            <v>11595202052210</v>
          </cell>
          <cell r="C183">
            <v>921.15120499999989</v>
          </cell>
        </row>
        <row r="184">
          <cell r="B184" t="str">
            <v>11595302052210</v>
          </cell>
          <cell r="C184">
            <v>1942.3478636412499</v>
          </cell>
        </row>
        <row r="185">
          <cell r="B185" t="str">
            <v>11595302052212</v>
          </cell>
          <cell r="C185">
            <v>32104.924604715372</v>
          </cell>
        </row>
        <row r="186">
          <cell r="B186" t="str">
            <v>11595302052213</v>
          </cell>
          <cell r="C186">
            <v>0</v>
          </cell>
        </row>
        <row r="187">
          <cell r="B187" t="str">
            <v>11595402052213</v>
          </cell>
          <cell r="C187">
            <v>16896.911193428186</v>
          </cell>
        </row>
        <row r="188">
          <cell r="B188" t="str">
            <v>11595802052210</v>
          </cell>
          <cell r="C188">
            <v>7153.4420380662505</v>
          </cell>
        </row>
        <row r="189">
          <cell r="B189" t="str">
            <v>11592402052212</v>
          </cell>
          <cell r="C189">
            <v>6000.5987372337495</v>
          </cell>
        </row>
        <row r="190">
          <cell r="B190" t="str">
            <v>12592402052210</v>
          </cell>
          <cell r="C190">
            <v>7420.9832806407776</v>
          </cell>
        </row>
        <row r="191">
          <cell r="B191" t="str">
            <v>12582102052212</v>
          </cell>
          <cell r="C191">
            <v>0</v>
          </cell>
        </row>
        <row r="192">
          <cell r="B192" t="str">
            <v>12575302052210</v>
          </cell>
          <cell r="C192">
            <v>6715.6423803147773</v>
          </cell>
        </row>
        <row r="193">
          <cell r="B193" t="str">
            <v>12592502052210</v>
          </cell>
          <cell r="C193">
            <v>0</v>
          </cell>
        </row>
        <row r="194">
          <cell r="B194" t="str">
            <v>11583202052214</v>
          </cell>
          <cell r="C194">
            <v>0</v>
          </cell>
        </row>
        <row r="195">
          <cell r="B195" t="str">
            <v>11575202052215</v>
          </cell>
          <cell r="C195">
            <v>0</v>
          </cell>
        </row>
        <row r="196">
          <cell r="B196" t="str">
            <v>11592002052215</v>
          </cell>
          <cell r="C196">
            <v>0</v>
          </cell>
        </row>
        <row r="197">
          <cell r="B197" t="str">
            <v>11592402052210</v>
          </cell>
          <cell r="C197">
            <v>0</v>
          </cell>
        </row>
        <row r="198">
          <cell r="B198" t="str">
            <v>11592902052212</v>
          </cell>
          <cell r="C198">
            <v>0</v>
          </cell>
        </row>
        <row r="199">
          <cell r="B199" t="str">
            <v>11595402052210</v>
          </cell>
          <cell r="C199">
            <v>0</v>
          </cell>
        </row>
        <row r="200">
          <cell r="B200" t="str">
            <v>12575102052210</v>
          </cell>
          <cell r="C200">
            <v>0</v>
          </cell>
        </row>
        <row r="201">
          <cell r="B201" t="str">
            <v>12583302052210</v>
          </cell>
          <cell r="C201">
            <v>0</v>
          </cell>
        </row>
        <row r="202">
          <cell r="B202" t="str">
            <v>12583402052210</v>
          </cell>
          <cell r="C202">
            <v>0</v>
          </cell>
        </row>
        <row r="203">
          <cell r="B203" t="str">
            <v>12592602052212</v>
          </cell>
          <cell r="C203">
            <v>0</v>
          </cell>
        </row>
        <row r="204">
          <cell r="B204" t="str">
            <v>12595002052210</v>
          </cell>
          <cell r="C204">
            <v>0</v>
          </cell>
        </row>
        <row r="205">
          <cell r="B205" t="str">
            <v>11595402052212</v>
          </cell>
          <cell r="C205">
            <v>0</v>
          </cell>
        </row>
        <row r="206">
          <cell r="B206" t="str">
            <v>12573302052212</v>
          </cell>
          <cell r="C206">
            <v>0</v>
          </cell>
        </row>
        <row r="207">
          <cell r="B207" t="str">
            <v>12575202052210</v>
          </cell>
          <cell r="C207">
            <v>0</v>
          </cell>
        </row>
        <row r="208">
          <cell r="B208" t="str">
            <v>12583402052212</v>
          </cell>
          <cell r="C208">
            <v>0</v>
          </cell>
        </row>
        <row r="209">
          <cell r="B209" t="str">
            <v>12595002052212</v>
          </cell>
          <cell r="C209">
            <v>0</v>
          </cell>
        </row>
        <row r="210">
          <cell r="B210" t="str">
            <v>12595502052212</v>
          </cell>
          <cell r="C210">
            <v>0</v>
          </cell>
        </row>
        <row r="211">
          <cell r="B211" t="str">
            <v>12595702052210</v>
          </cell>
          <cell r="C211">
            <v>0</v>
          </cell>
        </row>
        <row r="212">
          <cell r="B212" t="str">
            <v>12595902052212</v>
          </cell>
          <cell r="C212">
            <v>0</v>
          </cell>
        </row>
        <row r="213">
          <cell r="C213">
            <v>5070811.5535206925</v>
          </cell>
        </row>
      </sheetData>
      <sheetData sheetId="3"/>
      <sheetData sheetId="4"/>
      <sheetData sheetId="5">
        <row r="4">
          <cell r="G4">
            <v>39569</v>
          </cell>
          <cell r="H4">
            <v>39600</v>
          </cell>
          <cell r="I4">
            <v>39630</v>
          </cell>
          <cell r="J4">
            <v>39661</v>
          </cell>
          <cell r="K4">
            <v>39692</v>
          </cell>
          <cell r="L4">
            <v>39722</v>
          </cell>
          <cell r="M4">
            <v>39753</v>
          </cell>
          <cell r="N4">
            <v>39783</v>
          </cell>
          <cell r="O4">
            <v>39814</v>
          </cell>
          <cell r="P4">
            <v>39845</v>
          </cell>
          <cell r="Q4">
            <v>39873</v>
          </cell>
          <cell r="R4">
            <v>39904</v>
          </cell>
          <cell r="S4">
            <v>39934</v>
          </cell>
          <cell r="T4">
            <v>39965</v>
          </cell>
          <cell r="U4">
            <v>39995</v>
          </cell>
          <cell r="V4">
            <v>40026</v>
          </cell>
          <cell r="W4">
            <v>40057</v>
          </cell>
          <cell r="X4">
            <v>40087</v>
          </cell>
          <cell r="Y4">
            <v>40118</v>
          </cell>
          <cell r="Z4">
            <v>40148</v>
          </cell>
          <cell r="AA4">
            <v>40179</v>
          </cell>
          <cell r="AB4">
            <v>40210</v>
          </cell>
          <cell r="AC4">
            <v>40238</v>
          </cell>
          <cell r="AD4">
            <v>40269</v>
          </cell>
          <cell r="AE4">
            <v>40299</v>
          </cell>
          <cell r="AF4">
            <v>40330</v>
          </cell>
          <cell r="AG4">
            <v>40360</v>
          </cell>
          <cell r="AH4">
            <v>40391</v>
          </cell>
          <cell r="AI4">
            <v>40422</v>
          </cell>
          <cell r="AJ4">
            <v>40452</v>
          </cell>
          <cell r="AK4">
            <v>40483</v>
          </cell>
          <cell r="AL4">
            <v>40513</v>
          </cell>
          <cell r="AM4">
            <v>40544</v>
          </cell>
          <cell r="AN4">
            <v>40575</v>
          </cell>
          <cell r="AO4">
            <v>40603</v>
          </cell>
          <cell r="AP4">
            <v>40634</v>
          </cell>
          <cell r="AQ4">
            <v>40664</v>
          </cell>
          <cell r="AR4">
            <v>40695</v>
          </cell>
          <cell r="AS4">
            <v>40725</v>
          </cell>
          <cell r="AT4">
            <v>40756</v>
          </cell>
          <cell r="AU4">
            <v>40787</v>
          </cell>
          <cell r="AV4">
            <v>40817</v>
          </cell>
          <cell r="AW4">
            <v>40848</v>
          </cell>
          <cell r="AX4">
            <v>40878</v>
          </cell>
          <cell r="AY4">
            <v>40909</v>
          </cell>
          <cell r="AZ4">
            <v>40940</v>
          </cell>
          <cell r="BA4">
            <v>40969</v>
          </cell>
          <cell r="BB4">
            <v>41000</v>
          </cell>
          <cell r="BC4">
            <v>41030</v>
          </cell>
          <cell r="BD4">
            <v>41061</v>
          </cell>
          <cell r="BE4">
            <v>41091</v>
          </cell>
          <cell r="BF4">
            <v>41122</v>
          </cell>
          <cell r="BG4">
            <v>41153</v>
          </cell>
          <cell r="BH4">
            <v>41183</v>
          </cell>
          <cell r="BI4">
            <v>41214</v>
          </cell>
          <cell r="BJ4">
            <v>41244</v>
          </cell>
          <cell r="BK4" t="str">
            <v>Grand Total</v>
          </cell>
        </row>
        <row r="5">
          <cell r="T5">
            <v>14175.740000000002</v>
          </cell>
          <cell r="U5">
            <v>10623.710000000001</v>
          </cell>
          <cell r="V5">
            <v>6207.3</v>
          </cell>
          <cell r="W5">
            <v>31306.269999999997</v>
          </cell>
          <cell r="X5">
            <v>65457.130000000005</v>
          </cell>
          <cell r="Y5">
            <v>11230.800000000001</v>
          </cell>
          <cell r="Z5">
            <v>8779.2100000000009</v>
          </cell>
          <cell r="AA5">
            <v>2892.7400000000002</v>
          </cell>
          <cell r="AB5">
            <v>799.82</v>
          </cell>
          <cell r="AC5">
            <v>25051.210000000003</v>
          </cell>
          <cell r="AD5">
            <v>27054.020000000008</v>
          </cell>
          <cell r="AE5">
            <v>32999.82</v>
          </cell>
          <cell r="AF5">
            <v>24427.460000000003</v>
          </cell>
          <cell r="AG5">
            <v>26745.32</v>
          </cell>
          <cell r="AH5">
            <v>46570.689999999995</v>
          </cell>
          <cell r="AI5">
            <v>41445.69</v>
          </cell>
          <cell r="AJ5">
            <v>56800.659999999996</v>
          </cell>
          <cell r="AK5">
            <v>60023.57</v>
          </cell>
          <cell r="AL5">
            <v>95569.05</v>
          </cell>
          <cell r="AM5">
            <v>235.51</v>
          </cell>
          <cell r="AN5">
            <v>28.12</v>
          </cell>
          <cell r="AS5">
            <v>10029.15</v>
          </cell>
          <cell r="BK5">
            <v>598452.99</v>
          </cell>
        </row>
        <row r="6">
          <cell r="Q6">
            <v>257.08</v>
          </cell>
          <cell r="R6">
            <v>756.3900000000001</v>
          </cell>
          <cell r="S6">
            <v>37110.429999999978</v>
          </cell>
          <cell r="T6">
            <v>147372.29999999999</v>
          </cell>
          <cell r="U6">
            <v>158313.78000000003</v>
          </cell>
          <cell r="V6">
            <v>55675.12</v>
          </cell>
          <cell r="W6">
            <v>36819.61</v>
          </cell>
          <cell r="X6">
            <v>75303.37999999999</v>
          </cell>
          <cell r="Y6">
            <v>16643.599999999999</v>
          </cell>
          <cell r="Z6">
            <v>7947.92</v>
          </cell>
          <cell r="AB6">
            <v>-15519.730000000001</v>
          </cell>
          <cell r="AC6">
            <v>-122.58999999999999</v>
          </cell>
          <cell r="BK6">
            <v>520557.29</v>
          </cell>
        </row>
        <row r="7">
          <cell r="J7">
            <v>8946.99</v>
          </cell>
          <cell r="K7">
            <v>6318.6100000000006</v>
          </cell>
          <cell r="L7">
            <v>125.62</v>
          </cell>
          <cell r="M7">
            <v>53.870000000000005</v>
          </cell>
          <cell r="N7">
            <v>38811.42</v>
          </cell>
          <cell r="O7">
            <v>79169.930000000008</v>
          </cell>
          <cell r="P7">
            <v>41707.229999999996</v>
          </cell>
          <cell r="Q7">
            <v>135980.65999999997</v>
          </cell>
          <cell r="R7">
            <v>104320.3</v>
          </cell>
          <cell r="S7">
            <v>105461.64</v>
          </cell>
          <cell r="T7">
            <v>152558.28999999995</v>
          </cell>
          <cell r="U7">
            <v>101177.37000000001</v>
          </cell>
          <cell r="V7">
            <v>44600.759999999995</v>
          </cell>
          <cell r="W7">
            <v>-5649.16</v>
          </cell>
          <cell r="X7">
            <v>503.52</v>
          </cell>
          <cell r="Y7">
            <v>29111.23</v>
          </cell>
          <cell r="Z7">
            <v>5785.46</v>
          </cell>
          <cell r="AA7">
            <v>-400.12</v>
          </cell>
          <cell r="AB7">
            <v>-6977.8200000000006</v>
          </cell>
          <cell r="BK7">
            <v>841605.79999999993</v>
          </cell>
        </row>
        <row r="8">
          <cell r="I8">
            <v>336.1</v>
          </cell>
          <cell r="J8">
            <v>3317.2599999999998</v>
          </cell>
          <cell r="K8">
            <v>9.86</v>
          </cell>
          <cell r="L8">
            <v>79539.87000000001</v>
          </cell>
          <cell r="M8">
            <v>31416.59</v>
          </cell>
          <cell r="N8">
            <v>73229.409999999989</v>
          </cell>
          <cell r="O8">
            <v>95102.830000000016</v>
          </cell>
          <cell r="P8">
            <v>107561.18000000004</v>
          </cell>
          <cell r="Q8">
            <v>36961.87000000001</v>
          </cell>
          <cell r="R8">
            <v>27890.14</v>
          </cell>
          <cell r="S8">
            <v>10777.779999999999</v>
          </cell>
          <cell r="T8">
            <v>7324.3700000000008</v>
          </cell>
          <cell r="U8">
            <v>5290.52</v>
          </cell>
          <cell r="V8">
            <v>-2887.0000000000005</v>
          </cell>
          <cell r="W8">
            <v>31.43</v>
          </cell>
          <cell r="X8">
            <v>-61.18</v>
          </cell>
          <cell r="Y8">
            <v>18372.010000000002</v>
          </cell>
          <cell r="Z8">
            <v>722.6</v>
          </cell>
          <cell r="AC8">
            <v>-5661.62</v>
          </cell>
          <cell r="BK8">
            <v>489274.02000000014</v>
          </cell>
        </row>
        <row r="9">
          <cell r="H9">
            <v>22631.229999999996</v>
          </cell>
          <cell r="I9">
            <v>58737.150000000009</v>
          </cell>
          <cell r="J9">
            <v>58805.279999999999</v>
          </cell>
          <cell r="K9">
            <v>224269.53000000003</v>
          </cell>
          <cell r="L9">
            <v>291974.2</v>
          </cell>
          <cell r="M9">
            <v>91639.24</v>
          </cell>
          <cell r="N9">
            <v>81724.37</v>
          </cell>
          <cell r="O9">
            <v>34996.159999999989</v>
          </cell>
          <cell r="P9">
            <v>37662.579999999987</v>
          </cell>
          <cell r="Q9">
            <v>1880.8400000000001</v>
          </cell>
          <cell r="R9">
            <v>903.82999999999993</v>
          </cell>
          <cell r="S9">
            <v>6889.1699999999992</v>
          </cell>
          <cell r="T9">
            <v>3351.09</v>
          </cell>
          <cell r="U9">
            <v>3586.8100000000004</v>
          </cell>
          <cell r="V9">
            <v>7553.47</v>
          </cell>
          <cell r="W9">
            <v>-2333.0700000000006</v>
          </cell>
          <cell r="X9">
            <v>57029.549999999996</v>
          </cell>
          <cell r="Z9">
            <v>163.17000000000002</v>
          </cell>
          <cell r="AA9">
            <v>-278.64999999999998</v>
          </cell>
          <cell r="AC9">
            <v>-3482.2300000000005</v>
          </cell>
          <cell r="BK9">
            <v>977703.7200000002</v>
          </cell>
        </row>
        <row r="10">
          <cell r="H10">
            <v>22664.47</v>
          </cell>
          <cell r="I10">
            <v>169972.39</v>
          </cell>
          <cell r="J10">
            <v>89714.01999999999</v>
          </cell>
          <cell r="K10">
            <v>114857.58999999997</v>
          </cell>
          <cell r="L10">
            <v>94034.859999999986</v>
          </cell>
          <cell r="M10">
            <v>67471.19</v>
          </cell>
          <cell r="N10">
            <v>83523.31</v>
          </cell>
          <cell r="O10">
            <v>48271.810000000005</v>
          </cell>
          <cell r="P10">
            <v>77967.960000000021</v>
          </cell>
          <cell r="Q10">
            <v>117226.41000000003</v>
          </cell>
          <cell r="R10">
            <v>35735.1</v>
          </cell>
          <cell r="S10">
            <v>4050.4699999999993</v>
          </cell>
          <cell r="T10">
            <v>24937.839999999997</v>
          </cell>
          <cell r="U10">
            <v>15746.120000000003</v>
          </cell>
          <cell r="V10">
            <v>1206.79</v>
          </cell>
          <cell r="W10">
            <v>5642.5</v>
          </cell>
          <cell r="X10">
            <v>3533.3</v>
          </cell>
          <cell r="Y10">
            <v>30629.11</v>
          </cell>
          <cell r="Z10">
            <v>1212.0999999999999</v>
          </cell>
          <cell r="AA10">
            <v>2072.8699999999994</v>
          </cell>
          <cell r="AD10">
            <v>-10337.290000000001</v>
          </cell>
          <cell r="BK10">
            <v>1000132.92</v>
          </cell>
        </row>
        <row r="11">
          <cell r="K11">
            <v>1389.9099999999999</v>
          </cell>
          <cell r="L11">
            <v>5.14</v>
          </cell>
          <cell r="M11">
            <v>4.88</v>
          </cell>
          <cell r="N11">
            <v>2640.29</v>
          </cell>
          <cell r="O11">
            <v>15.350000000000001</v>
          </cell>
          <cell r="P11">
            <v>6.09</v>
          </cell>
          <cell r="Q11">
            <v>102636.37</v>
          </cell>
          <cell r="R11">
            <v>106.69</v>
          </cell>
          <cell r="S11">
            <v>106.81</v>
          </cell>
          <cell r="T11">
            <v>-62522.879999999997</v>
          </cell>
          <cell r="U11">
            <v>44081.45</v>
          </cell>
          <cell r="V11">
            <v>10886.330000000004</v>
          </cell>
          <cell r="W11">
            <v>32292.090000000004</v>
          </cell>
          <cell r="X11">
            <v>14789.539999999999</v>
          </cell>
          <cell r="Y11">
            <v>16108.470000000001</v>
          </cell>
          <cell r="Z11">
            <v>3781.2300000000005</v>
          </cell>
          <cell r="AC11">
            <v>-2436.6</v>
          </cell>
          <cell r="BK11">
            <v>163891.16000000003</v>
          </cell>
        </row>
        <row r="12">
          <cell r="T12">
            <v>16159.86</v>
          </cell>
          <cell r="U12">
            <v>46.86</v>
          </cell>
          <cell r="W12">
            <v>1839.8600000000001</v>
          </cell>
          <cell r="AA12">
            <v>995.91</v>
          </cell>
          <cell r="AH12">
            <v>103461.24999999999</v>
          </cell>
          <cell r="AI12">
            <v>57946.650000000016</v>
          </cell>
          <cell r="AJ12">
            <v>45335.219999999994</v>
          </cell>
          <cell r="AK12">
            <v>60031.669999999991</v>
          </cell>
          <cell r="AL12">
            <v>7773.3700000000008</v>
          </cell>
          <cell r="AM12">
            <v>74955.670000000013</v>
          </cell>
          <cell r="AN12">
            <v>47955.240000000005</v>
          </cell>
          <cell r="AO12">
            <v>62162.789999999994</v>
          </cell>
          <cell r="AP12">
            <v>79882.989999999991</v>
          </cell>
          <cell r="AQ12">
            <v>52450.409999999989</v>
          </cell>
          <cell r="AR12">
            <v>97752.239999999991</v>
          </cell>
          <cell r="AS12">
            <v>26641.429999999997</v>
          </cell>
          <cell r="AT12">
            <v>4807.0300000000007</v>
          </cell>
          <cell r="AU12">
            <v>3472.6099999999997</v>
          </cell>
          <cell r="AV12">
            <v>23335.72</v>
          </cell>
          <cell r="AW12">
            <v>64425.250000000007</v>
          </cell>
          <cell r="AX12">
            <v>95953.99</v>
          </cell>
          <cell r="AY12">
            <v>24780.57</v>
          </cell>
          <cell r="AZ12">
            <v>24062.98</v>
          </cell>
          <cell r="BA12">
            <v>89359.359999999986</v>
          </cell>
          <cell r="BB12">
            <v>1294.7199999999998</v>
          </cell>
          <cell r="BC12">
            <v>10038.82</v>
          </cell>
          <cell r="BD12">
            <v>215.29</v>
          </cell>
          <cell r="BE12">
            <v>338.87999999999994</v>
          </cell>
          <cell r="BF12">
            <v>-10562.93</v>
          </cell>
          <cell r="BH12">
            <v>-2240.87</v>
          </cell>
          <cell r="BI12">
            <v>-103.91999999999999</v>
          </cell>
          <cell r="BJ12">
            <v>0</v>
          </cell>
          <cell r="BK12">
            <v>1064568.9200000002</v>
          </cell>
        </row>
        <row r="13">
          <cell r="J13">
            <v>24297.170000000002</v>
          </cell>
          <cell r="K13">
            <v>2044.85</v>
          </cell>
          <cell r="L13">
            <v>9021.630000000001</v>
          </cell>
          <cell r="M13">
            <v>98657.369999999981</v>
          </cell>
          <cell r="N13">
            <v>82910.959999999992</v>
          </cell>
          <cell r="O13">
            <v>18440.600000000002</v>
          </cell>
          <cell r="P13">
            <v>5912.6900000000014</v>
          </cell>
          <cell r="Q13">
            <v>-304.14</v>
          </cell>
          <cell r="R13">
            <v>11.370000000000005</v>
          </cell>
          <cell r="S13">
            <v>39385.78</v>
          </cell>
          <cell r="T13">
            <v>10909.800000000001</v>
          </cell>
          <cell r="U13">
            <v>1772.0200000000002</v>
          </cell>
          <cell r="V13">
            <v>2531.42</v>
          </cell>
          <cell r="W13">
            <v>893.68000000000006</v>
          </cell>
          <cell r="X13">
            <v>-4838.24</v>
          </cell>
          <cell r="BK13">
            <v>291646.95999999996</v>
          </cell>
        </row>
        <row r="14">
          <cell r="J14">
            <v>41885.839999999997</v>
          </cell>
          <cell r="K14">
            <v>22247.43</v>
          </cell>
          <cell r="L14">
            <v>149074.06999999998</v>
          </cell>
          <cell r="M14">
            <v>162139.20000000001</v>
          </cell>
          <cell r="N14">
            <v>60897.71</v>
          </cell>
          <cell r="O14">
            <v>43108.750000000007</v>
          </cell>
          <cell r="P14">
            <v>264.95</v>
          </cell>
          <cell r="Q14">
            <v>3243.6500000000005</v>
          </cell>
          <cell r="R14">
            <v>176.9</v>
          </cell>
          <cell r="S14">
            <v>5244.1799999999994</v>
          </cell>
          <cell r="T14">
            <v>4627.0700000000006</v>
          </cell>
          <cell r="U14">
            <v>518.19000000000005</v>
          </cell>
          <cell r="V14">
            <v>826.71000000000026</v>
          </cell>
          <cell r="X14">
            <v>-3711.1900000000005</v>
          </cell>
          <cell r="Z14">
            <v>-1086.52</v>
          </cell>
          <cell r="BK14">
            <v>489456.94000000006</v>
          </cell>
        </row>
        <row r="15">
          <cell r="J15">
            <v>35482.930000000008</v>
          </cell>
          <cell r="K15">
            <v>6644.5700000000006</v>
          </cell>
          <cell r="L15">
            <v>85392.08</v>
          </cell>
          <cell r="M15">
            <v>54590.520000000004</v>
          </cell>
          <cell r="N15">
            <v>98483.069999999992</v>
          </cell>
          <cell r="O15">
            <v>13153.819999999998</v>
          </cell>
          <cell r="P15">
            <v>2120.98</v>
          </cell>
          <cell r="Q15">
            <v>157.75</v>
          </cell>
          <cell r="R15">
            <v>-1223.52</v>
          </cell>
          <cell r="U15">
            <v>21760.660000000003</v>
          </cell>
          <cell r="W15">
            <v>178.71999999999997</v>
          </cell>
          <cell r="X15">
            <v>-1993.2700000000002</v>
          </cell>
          <cell r="Z15">
            <v>1526.0200000000002</v>
          </cell>
          <cell r="BK15">
            <v>316274.32999999996</v>
          </cell>
        </row>
        <row r="16">
          <cell r="J16">
            <v>47503.469999999994</v>
          </cell>
          <cell r="K16">
            <v>25318.989999999998</v>
          </cell>
          <cell r="L16">
            <v>117474.96000000004</v>
          </cell>
          <cell r="M16">
            <v>164423.99000000002</v>
          </cell>
          <cell r="N16">
            <v>165198.19</v>
          </cell>
          <cell r="O16">
            <v>42379.519999999997</v>
          </cell>
          <cell r="P16">
            <v>2576.9600000000005</v>
          </cell>
          <cell r="Q16">
            <v>1451.5499999999997</v>
          </cell>
          <cell r="R16">
            <v>-1725.48</v>
          </cell>
          <cell r="T16">
            <v>6564.5300000000007</v>
          </cell>
          <cell r="U16">
            <v>3159.4300000000003</v>
          </cell>
          <cell r="V16">
            <v>41103.370000000003</v>
          </cell>
          <cell r="W16">
            <v>-978.5100000000001</v>
          </cell>
          <cell r="X16">
            <v>-4062.8799999999997</v>
          </cell>
          <cell r="Z16">
            <v>988.45000000000016</v>
          </cell>
          <cell r="BK16">
            <v>611376.54</v>
          </cell>
        </row>
        <row r="17">
          <cell r="J17">
            <v>4453.34</v>
          </cell>
          <cell r="K17">
            <v>4240.2299999999996</v>
          </cell>
          <cell r="L17">
            <v>41843.120000000003</v>
          </cell>
          <cell r="M17">
            <v>58649.21</v>
          </cell>
          <cell r="N17">
            <v>289924.06000000011</v>
          </cell>
          <cell r="O17">
            <v>26058.579999999994</v>
          </cell>
          <cell r="P17">
            <v>48214.14</v>
          </cell>
          <cell r="Q17">
            <v>5228.2099999999991</v>
          </cell>
          <cell r="R17">
            <v>1490.94</v>
          </cell>
          <cell r="S17">
            <v>116039.81000000001</v>
          </cell>
          <cell r="T17">
            <v>49451.310000000005</v>
          </cell>
          <cell r="U17">
            <v>-6981.31</v>
          </cell>
          <cell r="V17">
            <v>2371.41</v>
          </cell>
          <cell r="W17">
            <v>4187.7700000000004</v>
          </cell>
          <cell r="X17">
            <v>-4215.9699999999993</v>
          </cell>
          <cell r="Y17">
            <v>48.599999999999994</v>
          </cell>
          <cell r="Z17">
            <v>7339.46</v>
          </cell>
          <cell r="BK17">
            <v>648342.91000000015</v>
          </cell>
        </row>
        <row r="18">
          <cell r="J18">
            <v>3208.4500000000003</v>
          </cell>
          <cell r="K18">
            <v>2619.62</v>
          </cell>
          <cell r="L18">
            <v>211.66</v>
          </cell>
          <cell r="M18">
            <v>10181.020000000002</v>
          </cell>
          <cell r="N18">
            <v>1606.69</v>
          </cell>
          <cell r="O18">
            <v>1680.38</v>
          </cell>
          <cell r="P18">
            <v>12390.29</v>
          </cell>
          <cell r="Q18">
            <v>57979.719999999994</v>
          </cell>
          <cell r="R18">
            <v>16591.22</v>
          </cell>
          <cell r="S18">
            <v>118.14000000000001</v>
          </cell>
          <cell r="T18">
            <v>6056.5300000000007</v>
          </cell>
          <cell r="U18">
            <v>847.68</v>
          </cell>
          <cell r="V18">
            <v>13122.199999999999</v>
          </cell>
          <cell r="W18">
            <v>3933.79</v>
          </cell>
          <cell r="BK18">
            <v>130547.38999999998</v>
          </cell>
        </row>
        <row r="19">
          <cell r="J19">
            <v>2912.6600000000003</v>
          </cell>
          <cell r="K19">
            <v>7724.42</v>
          </cell>
          <cell r="L19">
            <v>39.36</v>
          </cell>
          <cell r="M19">
            <v>21155.57</v>
          </cell>
          <cell r="N19">
            <v>61578.330000000009</v>
          </cell>
          <cell r="O19">
            <v>134815.76999999999</v>
          </cell>
          <cell r="P19">
            <v>19900.419999999998</v>
          </cell>
          <cell r="Q19">
            <v>164170.87000000002</v>
          </cell>
          <cell r="R19">
            <v>70566.53</v>
          </cell>
          <cell r="S19">
            <v>33518.89</v>
          </cell>
          <cell r="T19">
            <v>5138.8399999999992</v>
          </cell>
          <cell r="U19">
            <v>17934.59</v>
          </cell>
          <cell r="V19">
            <v>13035.29</v>
          </cell>
          <cell r="Z19">
            <v>23223.11</v>
          </cell>
          <cell r="AB19">
            <v>953.31999999999994</v>
          </cell>
          <cell r="AC19">
            <v>65.95</v>
          </cell>
          <cell r="BK19">
            <v>576733.92000000004</v>
          </cell>
        </row>
        <row r="20">
          <cell r="J20">
            <v>3610.5000000000005</v>
          </cell>
          <cell r="K20">
            <v>7472.7300000000005</v>
          </cell>
          <cell r="L20">
            <v>16889.27</v>
          </cell>
          <cell r="M20">
            <v>4040.03</v>
          </cell>
          <cell r="N20">
            <v>226850.92</v>
          </cell>
          <cell r="O20">
            <v>441793.28000000003</v>
          </cell>
          <cell r="P20">
            <v>185223.14</v>
          </cell>
          <cell r="Q20">
            <v>112813.26</v>
          </cell>
          <cell r="R20">
            <v>1100.8</v>
          </cell>
          <cell r="S20">
            <v>363.82</v>
          </cell>
          <cell r="T20">
            <v>120.42</v>
          </cell>
          <cell r="U20">
            <v>27401.99</v>
          </cell>
          <cell r="BK20">
            <v>1027680.16</v>
          </cell>
        </row>
        <row r="21">
          <cell r="K21">
            <v>1989.1200000000001</v>
          </cell>
          <cell r="L21">
            <v>233.19</v>
          </cell>
          <cell r="M21">
            <v>2398.6300000000006</v>
          </cell>
          <cell r="N21">
            <v>14547.369999999997</v>
          </cell>
          <cell r="O21">
            <v>355.70000000000016</v>
          </cell>
          <cell r="P21">
            <v>342.55000000000007</v>
          </cell>
          <cell r="Q21">
            <v>1182.94</v>
          </cell>
          <cell r="X21">
            <v>-161.03</v>
          </cell>
          <cell r="BK21">
            <v>20888.469999999998</v>
          </cell>
        </row>
        <row r="22">
          <cell r="J22">
            <v>15823.28</v>
          </cell>
          <cell r="K22">
            <v>10640.13</v>
          </cell>
          <cell r="L22">
            <v>5380.7</v>
          </cell>
          <cell r="M22">
            <v>1408.1100000000001</v>
          </cell>
          <cell r="N22">
            <v>199959.61000000002</v>
          </cell>
          <cell r="O22">
            <v>99399.540000000023</v>
          </cell>
          <cell r="P22">
            <v>25475.609999999997</v>
          </cell>
          <cell r="Q22">
            <v>8840.4700000000012</v>
          </cell>
          <cell r="R22">
            <v>31185.719999999994</v>
          </cell>
          <cell r="S22">
            <v>24874.45</v>
          </cell>
          <cell r="T22">
            <v>36650.730000000003</v>
          </cell>
          <cell r="U22">
            <v>32850.230000000003</v>
          </cell>
          <cell r="V22">
            <v>35371.97</v>
          </cell>
          <cell r="W22">
            <v>3110</v>
          </cell>
          <cell r="X22">
            <v>315.3</v>
          </cell>
          <cell r="Y22">
            <v>72.900000000000006</v>
          </cell>
          <cell r="Z22">
            <v>6467.4400000000005</v>
          </cell>
          <cell r="BK22">
            <v>537826.19000000006</v>
          </cell>
        </row>
        <row r="23">
          <cell r="J23">
            <v>4941.3099999999995</v>
          </cell>
          <cell r="K23">
            <v>4485.9500000000007</v>
          </cell>
          <cell r="L23">
            <v>2306.8100000000004</v>
          </cell>
          <cell r="M23">
            <v>3191.96</v>
          </cell>
          <cell r="N23">
            <v>36840.249999999993</v>
          </cell>
          <cell r="O23">
            <v>51713.4</v>
          </cell>
          <cell r="P23">
            <v>98973.549999999988</v>
          </cell>
          <cell r="Q23">
            <v>135913.26</v>
          </cell>
          <cell r="R23">
            <v>215177.17999999996</v>
          </cell>
          <cell r="S23">
            <v>33109.22</v>
          </cell>
          <cell r="T23">
            <v>5077.4699999999993</v>
          </cell>
          <cell r="U23">
            <v>43897.41</v>
          </cell>
          <cell r="V23">
            <v>1734.2</v>
          </cell>
          <cell r="W23">
            <v>1640.04</v>
          </cell>
          <cell r="X23">
            <v>1150.2</v>
          </cell>
          <cell r="Y23">
            <v>-9677.56</v>
          </cell>
          <cell r="Z23">
            <v>2793.34</v>
          </cell>
          <cell r="AB23">
            <v>-243.2</v>
          </cell>
          <cell r="BK23">
            <v>633024.7899999998</v>
          </cell>
        </row>
        <row r="24">
          <cell r="K24">
            <v>5762.6500000000005</v>
          </cell>
          <cell r="L24">
            <v>21.32</v>
          </cell>
          <cell r="M24">
            <v>35385.51</v>
          </cell>
          <cell r="N24">
            <v>27308.730000000003</v>
          </cell>
          <cell r="O24">
            <v>1158.3700000000001</v>
          </cell>
          <cell r="P24">
            <v>16376.92</v>
          </cell>
          <cell r="Q24">
            <v>111456.59999999999</v>
          </cell>
          <cell r="R24">
            <v>126091.15000000001</v>
          </cell>
          <cell r="S24">
            <v>23734.199999999993</v>
          </cell>
          <cell r="T24">
            <v>7829.8899999999994</v>
          </cell>
          <cell r="U24">
            <v>8001.5300000000007</v>
          </cell>
          <cell r="V24">
            <v>36543.19</v>
          </cell>
          <cell r="W24">
            <v>9204.0500000000011</v>
          </cell>
          <cell r="X24">
            <v>23002.47</v>
          </cell>
          <cell r="Y24">
            <v>24.3</v>
          </cell>
          <cell r="Z24">
            <v>-295.04999999999995</v>
          </cell>
          <cell r="BK24">
            <v>431605.83000000007</v>
          </cell>
        </row>
        <row r="25">
          <cell r="K25">
            <v>7046.79</v>
          </cell>
          <cell r="L25">
            <v>4398.3600000000006</v>
          </cell>
          <cell r="M25">
            <v>23645.56</v>
          </cell>
          <cell r="N25">
            <v>79923.180000000008</v>
          </cell>
          <cell r="O25">
            <v>30513.199999999993</v>
          </cell>
          <cell r="P25">
            <v>99473.869999999966</v>
          </cell>
          <cell r="Q25">
            <v>188538.68999999997</v>
          </cell>
          <cell r="R25">
            <v>109605.27</v>
          </cell>
          <cell r="S25">
            <v>83368.470000000016</v>
          </cell>
          <cell r="T25">
            <v>6310.1600000000008</v>
          </cell>
          <cell r="U25">
            <v>2523.6799999999998</v>
          </cell>
          <cell r="V25">
            <v>39796.06</v>
          </cell>
          <cell r="W25">
            <v>5041.7400000000007</v>
          </cell>
          <cell r="X25">
            <v>10739.150000000001</v>
          </cell>
          <cell r="Y25">
            <v>-10444.58</v>
          </cell>
          <cell r="Z25">
            <v>508.68</v>
          </cell>
          <cell r="BK25">
            <v>680988.28000000014</v>
          </cell>
        </row>
        <row r="26">
          <cell r="M26">
            <v>1348.26</v>
          </cell>
          <cell r="N26">
            <v>3009.5700000000006</v>
          </cell>
          <cell r="O26">
            <v>16.559999999999999</v>
          </cell>
          <cell r="P26">
            <v>6.5600000000000005</v>
          </cell>
          <cell r="Q26">
            <v>6.57</v>
          </cell>
          <cell r="R26">
            <v>4.3899999999999997</v>
          </cell>
          <cell r="S26">
            <v>4.3899999999999997</v>
          </cell>
          <cell r="T26">
            <v>14.06</v>
          </cell>
          <cell r="U26">
            <v>-2846.8500000000004</v>
          </cell>
          <cell r="V26">
            <v>-1563.5099999999998</v>
          </cell>
          <cell r="BK26">
            <v>2.2737367544323206E-12</v>
          </cell>
        </row>
        <row r="27">
          <cell r="M27">
            <v>5864.74</v>
          </cell>
          <cell r="N27">
            <v>5005.4100000000008</v>
          </cell>
          <cell r="O27">
            <v>13879.279999999997</v>
          </cell>
          <cell r="P27">
            <v>22667.670000000002</v>
          </cell>
          <cell r="Q27">
            <v>5099.8799999999983</v>
          </cell>
          <cell r="R27">
            <v>122.64000000000001</v>
          </cell>
          <cell r="S27">
            <v>988.34</v>
          </cell>
          <cell r="T27">
            <v>-302.3</v>
          </cell>
          <cell r="U27">
            <v>-432.56</v>
          </cell>
          <cell r="V27">
            <v>8963.4</v>
          </cell>
          <cell r="W27">
            <v>355.49</v>
          </cell>
          <cell r="X27">
            <v>-608.54999999999995</v>
          </cell>
          <cell r="BK27">
            <v>61603.439999999995</v>
          </cell>
        </row>
        <row r="28">
          <cell r="K28">
            <v>106.08000000000001</v>
          </cell>
          <cell r="L28">
            <v>0.39</v>
          </cell>
          <cell r="M28">
            <v>10574.28</v>
          </cell>
          <cell r="N28">
            <v>6440.14</v>
          </cell>
          <cell r="O28">
            <v>4241.3</v>
          </cell>
          <cell r="P28">
            <v>22278.01</v>
          </cell>
          <cell r="Q28">
            <v>40074.44</v>
          </cell>
          <cell r="R28">
            <v>30053.29</v>
          </cell>
          <cell r="S28">
            <v>2454.0100000000002</v>
          </cell>
          <cell r="T28">
            <v>4726.62</v>
          </cell>
          <cell r="U28">
            <v>13556.579999999998</v>
          </cell>
          <cell r="V28">
            <v>26279.660000000003</v>
          </cell>
          <cell r="W28">
            <v>123.19999999999986</v>
          </cell>
          <cell r="X28">
            <v>18580.260000000002</v>
          </cell>
          <cell r="BK28">
            <v>179488.26</v>
          </cell>
        </row>
        <row r="29">
          <cell r="G29">
            <v>32614.09</v>
          </cell>
          <cell r="H29">
            <v>88.06</v>
          </cell>
          <cell r="I29">
            <v>-88.06</v>
          </cell>
          <cell r="Q29">
            <v>974.89</v>
          </cell>
          <cell r="R29">
            <v>32.57</v>
          </cell>
          <cell r="S29">
            <v>32.57</v>
          </cell>
          <cell r="T29">
            <v>-279.22000000000003</v>
          </cell>
          <cell r="BK29">
            <v>33374.9</v>
          </cell>
        </row>
        <row r="30">
          <cell r="Q30">
            <v>17702.48</v>
          </cell>
          <cell r="R30">
            <v>17.7</v>
          </cell>
          <cell r="S30">
            <v>12165.12</v>
          </cell>
          <cell r="T30">
            <v>164149.66</v>
          </cell>
          <cell r="U30">
            <v>103822.87000000001</v>
          </cell>
          <cell r="V30">
            <v>145934.98000000001</v>
          </cell>
          <cell r="W30">
            <v>79567.669999999984</v>
          </cell>
          <cell r="X30">
            <v>154262.70000000001</v>
          </cell>
          <cell r="Y30">
            <v>202163.49999999997</v>
          </cell>
          <cell r="Z30">
            <v>316988.91000000003</v>
          </cell>
          <cell r="AA30">
            <v>-6620.2300000000005</v>
          </cell>
          <cell r="AB30">
            <v>-9081.52</v>
          </cell>
          <cell r="BK30">
            <v>1181073.8400000001</v>
          </cell>
        </row>
        <row r="31">
          <cell r="H31">
            <v>18989</v>
          </cell>
          <cell r="I31">
            <v>290060.03000000003</v>
          </cell>
          <cell r="J31">
            <v>955.5</v>
          </cell>
          <cell r="K31">
            <v>172216.55000000002</v>
          </cell>
          <cell r="M31">
            <v>12221.4</v>
          </cell>
          <cell r="N31">
            <v>1359.0300000000002</v>
          </cell>
          <cell r="P31">
            <v>5310.8</v>
          </cell>
          <cell r="Q31">
            <v>9336.7900000000009</v>
          </cell>
          <cell r="S31">
            <v>-8.2600000000000016</v>
          </cell>
          <cell r="W31">
            <v>117.13</v>
          </cell>
          <cell r="X31">
            <v>-7.5900000000000007</v>
          </cell>
          <cell r="BK31">
            <v>510550.38000000006</v>
          </cell>
        </row>
        <row r="32">
          <cell r="H32">
            <v>42616.130000000005</v>
          </cell>
          <cell r="I32">
            <v>269939.44000000006</v>
          </cell>
          <cell r="J32">
            <v>44797.960000000006</v>
          </cell>
          <cell r="K32">
            <v>127875.75</v>
          </cell>
          <cell r="L32">
            <v>50435.709999999992</v>
          </cell>
          <cell r="M32">
            <v>8836.08</v>
          </cell>
          <cell r="N32">
            <v>29545.57</v>
          </cell>
          <cell r="O32">
            <v>2272.0200000000004</v>
          </cell>
          <cell r="P32">
            <v>23626.240000000002</v>
          </cell>
          <cell r="Q32">
            <v>53258.77</v>
          </cell>
          <cell r="R32">
            <v>0</v>
          </cell>
          <cell r="S32">
            <v>340.03</v>
          </cell>
          <cell r="T32">
            <v>2479.54</v>
          </cell>
          <cell r="U32">
            <v>113.97</v>
          </cell>
          <cell r="BK32">
            <v>656137.21000000008</v>
          </cell>
        </row>
        <row r="33">
          <cell r="H33">
            <v>61954.119999999995</v>
          </cell>
          <cell r="I33">
            <v>24407.509999999995</v>
          </cell>
          <cell r="J33">
            <v>122918.15000000002</v>
          </cell>
          <cell r="K33">
            <v>138350.04</v>
          </cell>
          <cell r="L33">
            <v>154466.28999999998</v>
          </cell>
          <cell r="M33">
            <v>43598.29</v>
          </cell>
          <cell r="N33">
            <v>83108.090000000011</v>
          </cell>
          <cell r="O33">
            <v>245.78999999999976</v>
          </cell>
          <cell r="P33">
            <v>25516.23</v>
          </cell>
          <cell r="Q33">
            <v>14352.230000000001</v>
          </cell>
          <cell r="R33">
            <v>257.17</v>
          </cell>
          <cell r="S33">
            <v>601.1</v>
          </cell>
          <cell r="T33">
            <v>2005.93</v>
          </cell>
          <cell r="U33">
            <v>-3016.7500000000005</v>
          </cell>
          <cell r="V33">
            <v>3563.34</v>
          </cell>
          <cell r="X33">
            <v>-1712.27</v>
          </cell>
          <cell r="BK33">
            <v>670615.26</v>
          </cell>
        </row>
        <row r="34">
          <cell r="G34">
            <v>54308.13</v>
          </cell>
          <cell r="H34">
            <v>33238.429999999993</v>
          </cell>
          <cell r="I34">
            <v>50804.560000000005</v>
          </cell>
          <cell r="J34">
            <v>76165.710000000036</v>
          </cell>
          <cell r="K34">
            <v>-31991.46</v>
          </cell>
          <cell r="L34">
            <v>13544.39</v>
          </cell>
          <cell r="M34">
            <v>35819.460000000006</v>
          </cell>
          <cell r="N34">
            <v>-1741.98</v>
          </cell>
          <cell r="P34">
            <v>9906.68</v>
          </cell>
          <cell r="Q34">
            <v>2824.65</v>
          </cell>
          <cell r="S34">
            <v>0</v>
          </cell>
          <cell r="U34">
            <v>4162.2699999999995</v>
          </cell>
          <cell r="BK34">
            <v>247040.84</v>
          </cell>
        </row>
        <row r="35">
          <cell r="I35">
            <v>71707.64</v>
          </cell>
          <cell r="J35">
            <v>42201.409999999996</v>
          </cell>
          <cell r="K35">
            <v>104351.49000000002</v>
          </cell>
          <cell r="L35">
            <v>163683.25</v>
          </cell>
          <cell r="M35">
            <v>31969.5</v>
          </cell>
          <cell r="N35">
            <v>75329.259999999995</v>
          </cell>
          <cell r="O35">
            <v>7632.3899999999994</v>
          </cell>
          <cell r="P35">
            <v>3422.34</v>
          </cell>
          <cell r="Q35">
            <v>4016.99</v>
          </cell>
          <cell r="R35">
            <v>6103.92</v>
          </cell>
          <cell r="S35">
            <v>-1923.64</v>
          </cell>
          <cell r="T35">
            <v>5546.4299999999994</v>
          </cell>
          <cell r="U35">
            <v>911.17000000000007</v>
          </cell>
          <cell r="V35">
            <v>7201.2800000000007</v>
          </cell>
          <cell r="W35">
            <v>-4918.95</v>
          </cell>
          <cell r="X35">
            <v>-2059.4899999999998</v>
          </cell>
          <cell r="BK35">
            <v>515174.99000000005</v>
          </cell>
        </row>
        <row r="36">
          <cell r="I36">
            <v>90639.489999999991</v>
          </cell>
          <cell r="J36">
            <v>25578.07</v>
          </cell>
          <cell r="K36">
            <v>48874.729999999989</v>
          </cell>
          <cell r="L36">
            <v>313801.25999999995</v>
          </cell>
          <cell r="M36">
            <v>53613.16</v>
          </cell>
          <cell r="N36">
            <v>117739.18000000001</v>
          </cell>
          <cell r="O36">
            <v>18954.399999999994</v>
          </cell>
          <cell r="P36">
            <v>46315.15</v>
          </cell>
          <cell r="Q36">
            <v>2079.42</v>
          </cell>
          <cell r="R36">
            <v>0</v>
          </cell>
          <cell r="S36">
            <v>11334.840000000002</v>
          </cell>
          <cell r="T36">
            <v>607.99</v>
          </cell>
          <cell r="U36">
            <v>21.8</v>
          </cell>
          <cell r="X36">
            <v>-2190.4499999999998</v>
          </cell>
          <cell r="Z36">
            <v>-3707.04</v>
          </cell>
          <cell r="BK36">
            <v>723662.00000000012</v>
          </cell>
        </row>
        <row r="37">
          <cell r="I37">
            <v>31678.98</v>
          </cell>
          <cell r="J37">
            <v>20505.25</v>
          </cell>
          <cell r="K37">
            <v>4716.75</v>
          </cell>
          <cell r="L37">
            <v>38292.99</v>
          </cell>
          <cell r="M37">
            <v>17352.670000000002</v>
          </cell>
          <cell r="N37">
            <v>16327.78</v>
          </cell>
          <cell r="O37">
            <v>-183.27</v>
          </cell>
          <cell r="P37">
            <v>12528.03</v>
          </cell>
          <cell r="Q37">
            <v>17967.73</v>
          </cell>
          <cell r="R37">
            <v>-263.7</v>
          </cell>
          <cell r="S37">
            <v>11123.89</v>
          </cell>
          <cell r="U37">
            <v>-11057.95</v>
          </cell>
          <cell r="BK37">
            <v>158989.14999999997</v>
          </cell>
        </row>
        <row r="38">
          <cell r="H38">
            <v>1567.8000000000002</v>
          </cell>
          <cell r="I38">
            <v>37452.140000000007</v>
          </cell>
          <cell r="J38">
            <v>21672.74</v>
          </cell>
          <cell r="K38">
            <v>-37883.14</v>
          </cell>
          <cell r="M38">
            <v>2302.0500000000002</v>
          </cell>
          <cell r="N38">
            <v>1123.48</v>
          </cell>
          <cell r="P38">
            <v>612.79999999999995</v>
          </cell>
          <cell r="R38">
            <v>0</v>
          </cell>
          <cell r="V38">
            <v>1311.06</v>
          </cell>
          <cell r="BK38">
            <v>28158.930000000008</v>
          </cell>
        </row>
        <row r="39">
          <cell r="J39">
            <v>912.96</v>
          </cell>
          <cell r="K39">
            <v>2.46</v>
          </cell>
          <cell r="L39">
            <v>1719.2799999999997</v>
          </cell>
          <cell r="M39">
            <v>1919.66</v>
          </cell>
          <cell r="N39">
            <v>9521.7900000000009</v>
          </cell>
          <cell r="O39">
            <v>53.49</v>
          </cell>
          <cell r="P39">
            <v>-112.51</v>
          </cell>
          <cell r="R39">
            <v>-645.55999999999995</v>
          </cell>
          <cell r="S39">
            <v>3311.6400000000003</v>
          </cell>
          <cell r="BK39">
            <v>16683.210000000003</v>
          </cell>
        </row>
        <row r="40">
          <cell r="J40">
            <v>8506.2199999999993</v>
          </cell>
          <cell r="K40">
            <v>1663.47</v>
          </cell>
          <cell r="L40">
            <v>38354.080000000009</v>
          </cell>
          <cell r="M40">
            <v>29406.29</v>
          </cell>
          <cell r="N40">
            <v>1388.4299999999998</v>
          </cell>
          <cell r="P40">
            <v>-127.35000000000001</v>
          </cell>
          <cell r="R40">
            <v>-669.64</v>
          </cell>
          <cell r="S40">
            <v>13744.73</v>
          </cell>
          <cell r="V40">
            <v>319.58</v>
          </cell>
          <cell r="BK40">
            <v>92585.809999999983</v>
          </cell>
        </row>
        <row r="41">
          <cell r="J41">
            <v>10211.390000000001</v>
          </cell>
          <cell r="K41">
            <v>661.92</v>
          </cell>
          <cell r="L41">
            <v>11741.97</v>
          </cell>
          <cell r="M41">
            <v>35998.910000000011</v>
          </cell>
          <cell r="N41">
            <v>21279.339999999997</v>
          </cell>
          <cell r="O41">
            <v>92.69</v>
          </cell>
          <cell r="P41">
            <v>1758.01</v>
          </cell>
          <cell r="Q41">
            <v>20439.250000000004</v>
          </cell>
          <cell r="R41">
            <v>-527.13</v>
          </cell>
          <cell r="S41">
            <v>12416.14</v>
          </cell>
          <cell r="T41">
            <v>1444.19</v>
          </cell>
          <cell r="V41">
            <v>710.4</v>
          </cell>
          <cell r="Z41">
            <v>-942.47</v>
          </cell>
          <cell r="BK41">
            <v>115284.60999999999</v>
          </cell>
        </row>
        <row r="42">
          <cell r="J42">
            <v>6948.59</v>
          </cell>
          <cell r="K42">
            <v>1533.02</v>
          </cell>
          <cell r="L42">
            <v>25004.989999999998</v>
          </cell>
          <cell r="M42">
            <v>33388.93</v>
          </cell>
          <cell r="N42">
            <v>13025.899999999998</v>
          </cell>
          <cell r="P42">
            <v>-103.22</v>
          </cell>
          <cell r="R42">
            <v>-327.9</v>
          </cell>
          <cell r="S42">
            <v>340.03</v>
          </cell>
          <cell r="Z42">
            <v>-1014.0799999999999</v>
          </cell>
          <cell r="BK42">
            <v>78796.259999999995</v>
          </cell>
        </row>
        <row r="43">
          <cell r="K43">
            <v>14890.76</v>
          </cell>
          <cell r="L43">
            <v>71796.340000000026</v>
          </cell>
          <cell r="M43">
            <v>193578.04</v>
          </cell>
          <cell r="N43">
            <v>308150.8</v>
          </cell>
          <cell r="O43">
            <v>6508.1499999999987</v>
          </cell>
          <cell r="P43">
            <v>13251.53</v>
          </cell>
          <cell r="Q43">
            <v>91599.41</v>
          </cell>
          <cell r="R43">
            <v>472.59999999999997</v>
          </cell>
          <cell r="S43">
            <v>47070.12000000001</v>
          </cell>
          <cell r="T43">
            <v>11307.75</v>
          </cell>
          <cell r="U43">
            <v>1739.4199999999998</v>
          </cell>
          <cell r="V43">
            <v>929.93000000000006</v>
          </cell>
          <cell r="W43">
            <v>-6138.37</v>
          </cell>
          <cell r="Z43">
            <v>-1231.3900000000001</v>
          </cell>
          <cell r="AA43">
            <v>6476.87</v>
          </cell>
          <cell r="BK43">
            <v>760401.96000000008</v>
          </cell>
        </row>
        <row r="44">
          <cell r="K44">
            <v>8780.4600000000009</v>
          </cell>
          <cell r="L44">
            <v>49406.57</v>
          </cell>
          <cell r="M44">
            <v>79428.210000000006</v>
          </cell>
          <cell r="N44">
            <v>208913.71</v>
          </cell>
          <cell r="O44">
            <v>25227.879999999997</v>
          </cell>
          <cell r="P44">
            <v>87770.640000000014</v>
          </cell>
          <cell r="Q44">
            <v>82074.110000000015</v>
          </cell>
          <cell r="R44">
            <v>25958.329999999998</v>
          </cell>
          <cell r="S44">
            <v>66041.69</v>
          </cell>
          <cell r="T44">
            <v>31331</v>
          </cell>
          <cell r="U44">
            <v>17064.59</v>
          </cell>
          <cell r="V44">
            <v>-1501.9300000000005</v>
          </cell>
          <cell r="W44">
            <v>5.9300000000000006</v>
          </cell>
          <cell r="X44">
            <v>-5092.3900000000003</v>
          </cell>
          <cell r="Y44">
            <v>-1095</v>
          </cell>
          <cell r="Z44">
            <v>-5968.97</v>
          </cell>
          <cell r="BK44">
            <v>668344.82999999984</v>
          </cell>
        </row>
        <row r="45">
          <cell r="K45">
            <v>9853.4500000000007</v>
          </cell>
          <cell r="L45">
            <v>47651.81</v>
          </cell>
          <cell r="M45">
            <v>14672.590000000002</v>
          </cell>
          <cell r="N45">
            <v>211706.18</v>
          </cell>
          <cell r="O45">
            <v>23187.479999999996</v>
          </cell>
          <cell r="P45">
            <v>65486.55000000001</v>
          </cell>
          <cell r="Q45">
            <v>190645.12999999998</v>
          </cell>
          <cell r="R45">
            <v>153492.66</v>
          </cell>
          <cell r="S45">
            <v>24240.120000000003</v>
          </cell>
          <cell r="T45">
            <v>87693.21</v>
          </cell>
          <cell r="U45">
            <v>7889.2400000000007</v>
          </cell>
          <cell r="V45">
            <v>-3288.7799999999997</v>
          </cell>
          <cell r="W45">
            <v>560.86000000000013</v>
          </cell>
          <cell r="X45">
            <v>-5666.16</v>
          </cell>
          <cell r="Z45">
            <v>-7728.24</v>
          </cell>
          <cell r="AA45">
            <v>-208.15</v>
          </cell>
          <cell r="BK45">
            <v>820187.94999999984</v>
          </cell>
        </row>
        <row r="46">
          <cell r="P46">
            <v>12839.48</v>
          </cell>
          <cell r="Q46">
            <v>36267.35</v>
          </cell>
          <cell r="R46">
            <v>33315.94</v>
          </cell>
          <cell r="S46">
            <v>3979.14</v>
          </cell>
          <cell r="T46">
            <v>138.97</v>
          </cell>
          <cell r="Z46">
            <v>9501.2300000000014</v>
          </cell>
          <cell r="AG46">
            <v>-121.77</v>
          </cell>
          <cell r="BK46">
            <v>95920.34</v>
          </cell>
        </row>
        <row r="47">
          <cell r="P47">
            <v>37803.240000000005</v>
          </cell>
          <cell r="Q47">
            <v>28068.75</v>
          </cell>
          <cell r="R47">
            <v>172042.6400000001</v>
          </cell>
          <cell r="S47">
            <v>240405.77</v>
          </cell>
          <cell r="T47">
            <v>108197.85999999999</v>
          </cell>
          <cell r="U47">
            <v>63295.640000000021</v>
          </cell>
          <cell r="V47">
            <v>64115.170000000013</v>
          </cell>
          <cell r="W47">
            <v>28835.18</v>
          </cell>
          <cell r="X47">
            <v>107826.84</v>
          </cell>
          <cell r="Y47">
            <v>11340.9</v>
          </cell>
          <cell r="Z47">
            <v>31346.859999999997</v>
          </cell>
          <cell r="AA47">
            <v>8910.32</v>
          </cell>
          <cell r="BK47">
            <v>902189.17000000016</v>
          </cell>
        </row>
        <row r="48">
          <cell r="K48">
            <v>5943.5900000000011</v>
          </cell>
          <cell r="L48">
            <v>19950.829999999998</v>
          </cell>
          <cell r="M48">
            <v>19278.110000000004</v>
          </cell>
          <cell r="N48">
            <v>103484.25000000001</v>
          </cell>
          <cell r="O48">
            <v>1180.5600000000002</v>
          </cell>
          <cell r="P48">
            <v>34846.36</v>
          </cell>
          <cell r="Q48">
            <v>5974.52</v>
          </cell>
          <cell r="R48">
            <v>-367.23</v>
          </cell>
          <cell r="S48">
            <v>962.26</v>
          </cell>
          <cell r="T48">
            <v>9695.9900000000016</v>
          </cell>
          <cell r="W48">
            <v>1010.4899999999999</v>
          </cell>
          <cell r="AH48">
            <v>2311.17</v>
          </cell>
          <cell r="BK48">
            <v>204270.9</v>
          </cell>
        </row>
        <row r="49">
          <cell r="G49">
            <v>30487.62</v>
          </cell>
          <cell r="H49">
            <v>80728.13</v>
          </cell>
          <cell r="I49">
            <v>1566.38</v>
          </cell>
          <cell r="J49">
            <v>4707.82</v>
          </cell>
          <cell r="K49">
            <v>1432.32</v>
          </cell>
          <cell r="L49">
            <v>17303.580000000002</v>
          </cell>
          <cell r="M49">
            <v>19725.5</v>
          </cell>
          <cell r="N49">
            <v>-351.98000000000008</v>
          </cell>
          <cell r="BK49">
            <v>155599.37000000002</v>
          </cell>
        </row>
        <row r="50">
          <cell r="Q50">
            <v>40098.35</v>
          </cell>
          <cell r="R50">
            <v>124428.40000000001</v>
          </cell>
          <cell r="S50">
            <v>138729.69</v>
          </cell>
          <cell r="T50">
            <v>107659.13999999998</v>
          </cell>
          <cell r="U50">
            <v>26722.210000000006</v>
          </cell>
          <cell r="V50">
            <v>-1237.8800000000001</v>
          </cell>
          <cell r="W50">
            <v>25983.51</v>
          </cell>
          <cell r="X50">
            <v>45548.270000000004</v>
          </cell>
          <cell r="Y50">
            <v>2431.2600000000002</v>
          </cell>
          <cell r="Z50">
            <v>-5593.5400000000009</v>
          </cell>
          <cell r="AC50">
            <v>164.31</v>
          </cell>
          <cell r="BK50">
            <v>504933.72000000003</v>
          </cell>
        </row>
        <row r="51">
          <cell r="J51">
            <v>30460.240000000002</v>
          </cell>
          <cell r="K51">
            <v>28570.149999999998</v>
          </cell>
          <cell r="L51">
            <v>55161.279999999999</v>
          </cell>
          <cell r="M51">
            <v>36399.99</v>
          </cell>
          <cell r="N51">
            <v>360616.73</v>
          </cell>
          <cell r="O51">
            <v>150373.04</v>
          </cell>
          <cell r="P51">
            <v>123093.38000000002</v>
          </cell>
          <cell r="Q51">
            <v>251108.13000000003</v>
          </cell>
          <cell r="R51">
            <v>84464.849999999991</v>
          </cell>
          <cell r="S51">
            <v>18510.120000000003</v>
          </cell>
          <cell r="T51">
            <v>25683.010000000002</v>
          </cell>
          <cell r="U51">
            <v>8736.69</v>
          </cell>
          <cell r="V51">
            <v>51654.2</v>
          </cell>
          <cell r="W51">
            <v>4990.7599999999993</v>
          </cell>
          <cell r="X51">
            <v>139323.35</v>
          </cell>
          <cell r="Z51">
            <v>-2852.37</v>
          </cell>
          <cell r="AG51">
            <v>1015.2399999999999</v>
          </cell>
          <cell r="AH51">
            <v>-1072.3600000000001</v>
          </cell>
          <cell r="BK51">
            <v>1366236.43</v>
          </cell>
        </row>
        <row r="52">
          <cell r="J52">
            <v>46120.12</v>
          </cell>
          <cell r="K52">
            <v>8916.74</v>
          </cell>
          <cell r="L52">
            <v>93127.670000000013</v>
          </cell>
          <cell r="M52">
            <v>199891.74999999997</v>
          </cell>
          <cell r="N52">
            <v>363051.41000000003</v>
          </cell>
          <cell r="O52">
            <v>9514.3900000000012</v>
          </cell>
          <cell r="P52">
            <v>13771.230000000001</v>
          </cell>
          <cell r="Q52">
            <v>17237.11</v>
          </cell>
          <cell r="R52">
            <v>984.87</v>
          </cell>
          <cell r="S52">
            <v>5710.8</v>
          </cell>
          <cell r="T52">
            <v>2662.29</v>
          </cell>
          <cell r="U52">
            <v>14597.18</v>
          </cell>
          <cell r="V52">
            <v>950.66000000000008</v>
          </cell>
          <cell r="W52">
            <v>-6353.32</v>
          </cell>
          <cell r="Z52">
            <v>-7979.5599999999995</v>
          </cell>
          <cell r="AB52">
            <v>1090.99</v>
          </cell>
          <cell r="AC52">
            <v>-18506.260000000002</v>
          </cell>
          <cell r="BK52">
            <v>744788.07000000018</v>
          </cell>
        </row>
        <row r="53">
          <cell r="K53">
            <v>1050.26</v>
          </cell>
          <cell r="L53">
            <v>606.1400000000001</v>
          </cell>
          <cell r="M53">
            <v>1616.71</v>
          </cell>
          <cell r="N53">
            <v>13464.45</v>
          </cell>
          <cell r="O53">
            <v>232.20999999999998</v>
          </cell>
          <cell r="P53">
            <v>4926.1000000000004</v>
          </cell>
          <cell r="Q53">
            <v>2723.5299999999997</v>
          </cell>
          <cell r="R53">
            <v>24.62</v>
          </cell>
          <cell r="S53">
            <v>24.64</v>
          </cell>
          <cell r="T53">
            <v>2260.86</v>
          </cell>
          <cell r="U53">
            <v>78.09</v>
          </cell>
          <cell r="V53">
            <v>64.63</v>
          </cell>
          <cell r="W53">
            <v>70.02</v>
          </cell>
          <cell r="X53">
            <v>-63.92</v>
          </cell>
          <cell r="Y53">
            <v>-521.09</v>
          </cell>
          <cell r="BK53">
            <v>26557.250000000004</v>
          </cell>
        </row>
        <row r="54">
          <cell r="K54">
            <v>2238.81</v>
          </cell>
          <cell r="L54">
            <v>8095.0599999999995</v>
          </cell>
          <cell r="M54">
            <v>8399.9500000000007</v>
          </cell>
          <cell r="N54">
            <v>50534.970000000008</v>
          </cell>
          <cell r="O54">
            <v>103.52</v>
          </cell>
          <cell r="P54">
            <v>5746.96</v>
          </cell>
          <cell r="Q54">
            <v>1202.49</v>
          </cell>
          <cell r="R54">
            <v>-21.330000000000002</v>
          </cell>
          <cell r="S54">
            <v>888.34</v>
          </cell>
          <cell r="T54">
            <v>1272.04</v>
          </cell>
          <cell r="U54">
            <v>3345.08</v>
          </cell>
          <cell r="X54">
            <v>-2601.2600000000002</v>
          </cell>
          <cell r="BK54">
            <v>79204.630000000019</v>
          </cell>
        </row>
        <row r="55">
          <cell r="Q55">
            <v>1672.14</v>
          </cell>
          <cell r="R55">
            <v>1.67</v>
          </cell>
          <cell r="S55">
            <v>1.67</v>
          </cell>
          <cell r="T55">
            <v>12808.64</v>
          </cell>
          <cell r="U55">
            <v>797.85</v>
          </cell>
          <cell r="W55">
            <v>3310.2400000000002</v>
          </cell>
          <cell r="AA55">
            <v>2550.0500000000002</v>
          </cell>
          <cell r="AB55">
            <v>588.84</v>
          </cell>
          <cell r="AC55">
            <v>77102.55</v>
          </cell>
          <cell r="AD55">
            <v>136103.53</v>
          </cell>
          <cell r="AE55">
            <v>81159.51999999999</v>
          </cell>
          <cell r="AF55">
            <v>18514.03</v>
          </cell>
          <cell r="AG55">
            <v>1752.98</v>
          </cell>
          <cell r="AH55">
            <v>18863.03</v>
          </cell>
          <cell r="AI55">
            <v>7419.9699999999993</v>
          </cell>
          <cell r="AJ55">
            <v>60852.44</v>
          </cell>
          <cell r="AK55">
            <v>63068.36</v>
          </cell>
          <cell r="AL55">
            <v>33685.700000000004</v>
          </cell>
          <cell r="AM55">
            <v>-4920.1000000000004</v>
          </cell>
          <cell r="AO55">
            <v>1122.98</v>
          </cell>
          <cell r="BK55">
            <v>516456.08999999997</v>
          </cell>
        </row>
        <row r="56">
          <cell r="W56">
            <v>21558.62</v>
          </cell>
          <cell r="X56">
            <v>38.81</v>
          </cell>
          <cell r="Y56">
            <v>71.28</v>
          </cell>
          <cell r="Z56">
            <v>199.29000000000002</v>
          </cell>
          <cell r="AA56">
            <v>4072.8300000000004</v>
          </cell>
          <cell r="AB56">
            <v>181.57999999999998</v>
          </cell>
          <cell r="AC56">
            <v>182.86</v>
          </cell>
          <cell r="AD56">
            <v>80520.810000000012</v>
          </cell>
          <cell r="AE56">
            <v>130706.65</v>
          </cell>
          <cell r="AF56">
            <v>127847.48000000001</v>
          </cell>
          <cell r="AG56">
            <v>169270.99</v>
          </cell>
          <cell r="AH56">
            <v>128043.08</v>
          </cell>
          <cell r="AI56">
            <v>246668.40000000002</v>
          </cell>
          <cell r="AJ56">
            <v>90690.32</v>
          </cell>
          <cell r="AK56">
            <v>989.9</v>
          </cell>
          <cell r="AL56">
            <v>-12202.88</v>
          </cell>
          <cell r="BK56">
            <v>988840.02</v>
          </cell>
        </row>
        <row r="57">
          <cell r="AA57">
            <v>22941.55</v>
          </cell>
          <cell r="AB57">
            <v>160.59</v>
          </cell>
          <cell r="AC57">
            <v>80.86</v>
          </cell>
          <cell r="AD57">
            <v>162.28</v>
          </cell>
          <cell r="AE57">
            <v>5.84</v>
          </cell>
          <cell r="AF57">
            <v>4.67</v>
          </cell>
          <cell r="AN57">
            <v>11.68</v>
          </cell>
          <cell r="AO57">
            <v>87831.65</v>
          </cell>
          <cell r="AP57">
            <v>69360.429999999993</v>
          </cell>
          <cell r="AQ57">
            <v>69617.430000000008</v>
          </cell>
          <cell r="AR57">
            <v>34051.280000000006</v>
          </cell>
          <cell r="AS57">
            <v>34517.08</v>
          </cell>
          <cell r="AT57">
            <v>15514.279999999999</v>
          </cell>
          <cell r="AU57">
            <v>28299.98</v>
          </cell>
          <cell r="AV57">
            <v>20825.080000000002</v>
          </cell>
          <cell r="AW57">
            <v>85218.4</v>
          </cell>
          <cell r="AX57">
            <v>60598.960000000006</v>
          </cell>
          <cell r="AY57">
            <v>-870.07999999999993</v>
          </cell>
          <cell r="AZ57">
            <v>-1637.8300000000002</v>
          </cell>
          <cell r="BE57">
            <v>-4937.54</v>
          </cell>
          <cell r="BK57">
            <v>521756.59</v>
          </cell>
        </row>
        <row r="58">
          <cell r="T58">
            <v>32.03</v>
          </cell>
          <cell r="U58">
            <v>0.09</v>
          </cell>
          <cell r="V58">
            <v>0.08</v>
          </cell>
          <cell r="W58">
            <v>17834.150000000001</v>
          </cell>
          <cell r="AA58">
            <v>1176.55</v>
          </cell>
          <cell r="AO58">
            <v>55545.490000000005</v>
          </cell>
          <cell r="AP58">
            <v>27292.58</v>
          </cell>
          <cell r="AQ58">
            <v>529.11</v>
          </cell>
          <cell r="AR58">
            <v>86536.45</v>
          </cell>
          <cell r="AS58">
            <v>59243.470000000008</v>
          </cell>
          <cell r="AT58">
            <v>117103.92</v>
          </cell>
          <cell r="AU58">
            <v>97202.489999999991</v>
          </cell>
          <cell r="AV58">
            <v>50831.099999999984</v>
          </cell>
          <cell r="AW58">
            <v>148869.97999999998</v>
          </cell>
          <cell r="AX58">
            <v>108029.43000000001</v>
          </cell>
          <cell r="AY58">
            <v>-12054.75</v>
          </cell>
          <cell r="AZ58">
            <v>-7848.1799999999994</v>
          </cell>
          <cell r="BE58">
            <v>4937.54</v>
          </cell>
          <cell r="BK58">
            <v>755261.53</v>
          </cell>
        </row>
        <row r="59">
          <cell r="T59">
            <v>9963.59</v>
          </cell>
          <cell r="U59">
            <v>28.900000000000002</v>
          </cell>
          <cell r="W59">
            <v>1265.3999999999999</v>
          </cell>
          <cell r="Y59">
            <v>343.47</v>
          </cell>
          <cell r="AA59">
            <v>3758.4500000000003</v>
          </cell>
          <cell r="AR59">
            <v>2227.8000000000002</v>
          </cell>
          <cell r="AS59">
            <v>24644.53</v>
          </cell>
          <cell r="AT59">
            <v>89642.810000000012</v>
          </cell>
          <cell r="AU59">
            <v>70605.959999999992</v>
          </cell>
          <cell r="AV59">
            <v>303.72000000000003</v>
          </cell>
          <cell r="AW59">
            <v>37020.450000000004</v>
          </cell>
          <cell r="AX59">
            <v>41112.320000000007</v>
          </cell>
          <cell r="AY59">
            <v>-4028.8900000000003</v>
          </cell>
          <cell r="BE59">
            <v>-6087.1100000000006</v>
          </cell>
          <cell r="BK59">
            <v>270801.40000000002</v>
          </cell>
        </row>
        <row r="60">
          <cell r="R60">
            <v>243.87</v>
          </cell>
          <cell r="S60">
            <v>66595.76999999999</v>
          </cell>
          <cell r="T60">
            <v>78689.590000000011</v>
          </cell>
          <cell r="U60">
            <v>67210.37999999999</v>
          </cell>
          <cell r="V60">
            <v>53214.2</v>
          </cell>
          <cell r="W60">
            <v>53734.150000000009</v>
          </cell>
          <cell r="X60">
            <v>44241.62</v>
          </cell>
          <cell r="Y60">
            <v>32712.550000000007</v>
          </cell>
          <cell r="Z60">
            <v>27368.170000000002</v>
          </cell>
          <cell r="AA60">
            <v>-811.3</v>
          </cell>
          <cell r="BK60">
            <v>423199</v>
          </cell>
        </row>
        <row r="61">
          <cell r="R61">
            <v>40939.579999999994</v>
          </cell>
          <cell r="S61">
            <v>43945.490000000005</v>
          </cell>
          <cell r="T61">
            <v>42017.530000000013</v>
          </cell>
          <cell r="U61">
            <v>34839.61</v>
          </cell>
          <cell r="V61">
            <v>30878.759999999991</v>
          </cell>
          <cell r="W61">
            <v>60977.87</v>
          </cell>
          <cell r="X61">
            <v>23205.949999999997</v>
          </cell>
          <cell r="Y61">
            <v>4236.6400000000003</v>
          </cell>
          <cell r="Z61">
            <v>290.06000000000051</v>
          </cell>
          <cell r="AB61">
            <v>1302.7</v>
          </cell>
          <cell r="BK61">
            <v>282634.19</v>
          </cell>
        </row>
        <row r="62">
          <cell r="AA62">
            <v>8041.9600000000009</v>
          </cell>
          <cell r="AB62">
            <v>56.29</v>
          </cell>
          <cell r="AC62">
            <v>28.34</v>
          </cell>
          <cell r="AD62">
            <v>56.89</v>
          </cell>
          <cell r="AE62">
            <v>2.0499999999999998</v>
          </cell>
          <cell r="AN62">
            <v>4.09</v>
          </cell>
          <cell r="AO62">
            <v>4.09</v>
          </cell>
          <cell r="AP62">
            <v>4.0999999999999996</v>
          </cell>
          <cell r="AQ62">
            <v>7.38</v>
          </cell>
          <cell r="AR62">
            <v>32625.05</v>
          </cell>
          <cell r="AS62">
            <v>21695.199999999993</v>
          </cell>
          <cell r="AT62">
            <v>39134.870000000003</v>
          </cell>
          <cell r="AU62">
            <v>20324.659999999996</v>
          </cell>
          <cell r="AV62">
            <v>6159.7100000000009</v>
          </cell>
          <cell r="AW62">
            <v>2119.23</v>
          </cell>
          <cell r="AX62">
            <v>14664.349999999999</v>
          </cell>
          <cell r="AY62">
            <v>1252.8900000000001</v>
          </cell>
          <cell r="AZ62">
            <v>1024.94</v>
          </cell>
          <cell r="BB62">
            <v>2119.7200000000003</v>
          </cell>
          <cell r="BF62">
            <v>969.47</v>
          </cell>
          <cell r="BJ62">
            <v>0</v>
          </cell>
          <cell r="BK62">
            <v>150295.28000000003</v>
          </cell>
        </row>
        <row r="63">
          <cell r="T63">
            <v>2020.1200000000001</v>
          </cell>
          <cell r="U63">
            <v>3955.6100000000006</v>
          </cell>
          <cell r="W63">
            <v>1290.72</v>
          </cell>
          <cell r="AA63">
            <v>4392.78</v>
          </cell>
          <cell r="AB63">
            <v>24312.260000000002</v>
          </cell>
          <cell r="AC63">
            <v>49046.35</v>
          </cell>
          <cell r="AD63">
            <v>62293.090000000004</v>
          </cell>
          <cell r="AE63">
            <v>30403.809999999998</v>
          </cell>
          <cell r="AF63">
            <v>31444.93</v>
          </cell>
          <cell r="AG63">
            <v>38113.51999999999</v>
          </cell>
          <cell r="AH63">
            <v>0</v>
          </cell>
          <cell r="AI63">
            <v>32021.65</v>
          </cell>
          <cell r="AJ63">
            <v>18.14</v>
          </cell>
          <cell r="AL63">
            <v>1358.18</v>
          </cell>
          <cell r="BK63">
            <v>280671.15999999997</v>
          </cell>
        </row>
        <row r="64">
          <cell r="AA64">
            <v>21521.550000000003</v>
          </cell>
          <cell r="AB64">
            <v>150.65</v>
          </cell>
          <cell r="AC64">
            <v>75.849999999999994</v>
          </cell>
          <cell r="AD64">
            <v>152.24</v>
          </cell>
          <cell r="AE64">
            <v>5.48</v>
          </cell>
          <cell r="AF64">
            <v>4.38</v>
          </cell>
          <cell r="BK64">
            <v>21910.150000000005</v>
          </cell>
        </row>
        <row r="65">
          <cell r="AA65">
            <v>20161.02</v>
          </cell>
          <cell r="AB65">
            <v>141.12</v>
          </cell>
          <cell r="AC65">
            <v>71.06</v>
          </cell>
          <cell r="AD65">
            <v>142.61000000000001</v>
          </cell>
          <cell r="AE65">
            <v>5.13</v>
          </cell>
          <cell r="AF65">
            <v>8.2100000000000009</v>
          </cell>
          <cell r="BK65">
            <v>20529.150000000001</v>
          </cell>
        </row>
        <row r="66">
          <cell r="S66">
            <v>6718.49</v>
          </cell>
          <cell r="T66">
            <v>77117.64999999998</v>
          </cell>
          <cell r="U66">
            <v>111822.41</v>
          </cell>
          <cell r="V66">
            <v>111499.53000000003</v>
          </cell>
          <cell r="W66">
            <v>148804.91000000003</v>
          </cell>
          <cell r="X66">
            <v>147509.96000000002</v>
          </cell>
          <cell r="Y66">
            <v>142710.97999999998</v>
          </cell>
          <cell r="Z66">
            <v>-610.60000000000014</v>
          </cell>
          <cell r="AA66">
            <v>4010.2000000000003</v>
          </cell>
          <cell r="AB66">
            <v>-13194.710000000001</v>
          </cell>
          <cell r="AC66">
            <v>-100.18</v>
          </cell>
          <cell r="BK66">
            <v>736288.64</v>
          </cell>
        </row>
        <row r="67">
          <cell r="X67">
            <v>164.71</v>
          </cell>
          <cell r="Y67">
            <v>0.55000000000000004</v>
          </cell>
          <cell r="Z67">
            <v>1.52</v>
          </cell>
          <cell r="AA67">
            <v>31813.77</v>
          </cell>
          <cell r="AB67">
            <v>223.86</v>
          </cell>
          <cell r="AC67">
            <v>112.72</v>
          </cell>
          <cell r="AD67">
            <v>226.22000000000003</v>
          </cell>
          <cell r="AE67">
            <v>8.14</v>
          </cell>
          <cell r="AF67">
            <v>13.02</v>
          </cell>
          <cell r="BK67">
            <v>32564.510000000002</v>
          </cell>
        </row>
        <row r="68">
          <cell r="T68">
            <v>12430.26</v>
          </cell>
          <cell r="U68">
            <v>683.27</v>
          </cell>
          <cell r="V68">
            <v>16.170000000000002</v>
          </cell>
          <cell r="W68">
            <v>3089.3599999999997</v>
          </cell>
          <cell r="AA68">
            <v>728.94</v>
          </cell>
          <cell r="AC68">
            <v>600.4</v>
          </cell>
          <cell r="AO68">
            <v>13366.850000000002</v>
          </cell>
          <cell r="AP68">
            <v>15160.83</v>
          </cell>
          <cell r="AQ68">
            <v>16557.11</v>
          </cell>
          <cell r="AR68">
            <v>17101.320000000003</v>
          </cell>
          <cell r="AS68">
            <v>51169.409999999996</v>
          </cell>
          <cell r="AT68">
            <v>35183.450000000004</v>
          </cell>
          <cell r="AU68">
            <v>81171.300000000017</v>
          </cell>
          <cell r="AV68">
            <v>51377.83</v>
          </cell>
          <cell r="AW68">
            <v>27792.190000000002</v>
          </cell>
          <cell r="AX68">
            <v>15017.859999999999</v>
          </cell>
          <cell r="AY68">
            <v>5840.3600000000006</v>
          </cell>
          <cell r="AZ68">
            <v>4326.51</v>
          </cell>
          <cell r="BA68">
            <v>3231.78</v>
          </cell>
          <cell r="BB68">
            <v>7168.05</v>
          </cell>
          <cell r="BC68">
            <v>3340.55</v>
          </cell>
          <cell r="BD68">
            <v>14141.9</v>
          </cell>
          <cell r="BK68">
            <v>379495.70000000007</v>
          </cell>
        </row>
        <row r="69">
          <cell r="Q69">
            <v>39462.550000000003</v>
          </cell>
          <cell r="R69">
            <v>67019.180000000022</v>
          </cell>
          <cell r="S69">
            <v>214713.46999999997</v>
          </cell>
          <cell r="T69">
            <v>125529.95999999998</v>
          </cell>
          <cell r="U69">
            <v>20632.750000000004</v>
          </cell>
          <cell r="V69">
            <v>27283.05</v>
          </cell>
          <cell r="W69">
            <v>6234.23</v>
          </cell>
          <cell r="X69">
            <v>1771.68</v>
          </cell>
          <cell r="Y69">
            <v>-6110.49</v>
          </cell>
          <cell r="BK69">
            <v>496536.37999999995</v>
          </cell>
        </row>
        <row r="70">
          <cell r="S70">
            <v>1560.19</v>
          </cell>
          <cell r="T70">
            <v>13466.210000000001</v>
          </cell>
          <cell r="U70">
            <v>2297.33</v>
          </cell>
          <cell r="V70">
            <v>41.58</v>
          </cell>
          <cell r="W70">
            <v>2500.44</v>
          </cell>
          <cell r="X70">
            <v>429</v>
          </cell>
          <cell r="Y70">
            <v>328.5</v>
          </cell>
          <cell r="AA70">
            <v>680.24</v>
          </cell>
          <cell r="AC70">
            <v>52220.170000000006</v>
          </cell>
          <cell r="AD70">
            <v>123597.65000000002</v>
          </cell>
          <cell r="AE70">
            <v>78001.63</v>
          </cell>
          <cell r="AF70">
            <v>30998.75</v>
          </cell>
          <cell r="AG70">
            <v>109706.82</v>
          </cell>
          <cell r="AH70">
            <v>50783.580000000009</v>
          </cell>
          <cell r="AI70">
            <v>33592.149999999994</v>
          </cell>
          <cell r="AJ70">
            <v>4813.22</v>
          </cell>
          <cell r="AO70">
            <v>-7657.2100000000009</v>
          </cell>
          <cell r="AQ70">
            <v>-441.37</v>
          </cell>
          <cell r="BK70">
            <v>496918.88000000006</v>
          </cell>
        </row>
        <row r="71">
          <cell r="S71">
            <v>3331.17</v>
          </cell>
          <cell r="T71">
            <v>141670.65000000002</v>
          </cell>
          <cell r="U71">
            <v>63765.770000000011</v>
          </cell>
          <cell r="V71">
            <v>64022.37</v>
          </cell>
          <cell r="W71">
            <v>48082.079999999994</v>
          </cell>
          <cell r="X71">
            <v>91516.34</v>
          </cell>
          <cell r="Y71">
            <v>100455.75000000001</v>
          </cell>
          <cell r="Z71">
            <v>280957.73000000004</v>
          </cell>
          <cell r="AA71">
            <v>-7437.97</v>
          </cell>
          <cell r="BK71">
            <v>786363.89000000013</v>
          </cell>
        </row>
        <row r="72">
          <cell r="AA72">
            <v>40872.47</v>
          </cell>
          <cell r="AB72">
            <v>286.11</v>
          </cell>
          <cell r="AC72">
            <v>-560.44000000000005</v>
          </cell>
          <cell r="AD72">
            <v>284.19</v>
          </cell>
          <cell r="AE72">
            <v>10.220000000000001</v>
          </cell>
          <cell r="AF72">
            <v>16.36</v>
          </cell>
          <cell r="BK72">
            <v>40908.910000000003</v>
          </cell>
        </row>
        <row r="73">
          <cell r="AA73">
            <v>10414.65</v>
          </cell>
          <cell r="AB73">
            <v>72.91</v>
          </cell>
          <cell r="AC73">
            <v>36.71</v>
          </cell>
          <cell r="AD73">
            <v>73.67</v>
          </cell>
          <cell r="AE73">
            <v>2.65</v>
          </cell>
          <cell r="AF73">
            <v>2.12</v>
          </cell>
          <cell r="AN73">
            <v>5.3</v>
          </cell>
          <cell r="AO73">
            <v>24049.56</v>
          </cell>
          <cell r="AP73">
            <v>12983.890000000001</v>
          </cell>
          <cell r="AQ73">
            <v>103343.97</v>
          </cell>
          <cell r="AR73">
            <v>83334.06</v>
          </cell>
          <cell r="AS73">
            <v>43694.469999999994</v>
          </cell>
          <cell r="AT73">
            <v>2212.33</v>
          </cell>
          <cell r="AU73">
            <v>3350.51</v>
          </cell>
          <cell r="AV73">
            <v>260</v>
          </cell>
          <cell r="AW73">
            <v>50639.210000000006</v>
          </cell>
          <cell r="AX73">
            <v>36235.08</v>
          </cell>
          <cell r="BK73">
            <v>370711.09</v>
          </cell>
        </row>
        <row r="74">
          <cell r="T74">
            <v>24272.579999999998</v>
          </cell>
          <cell r="U74">
            <v>2444.54</v>
          </cell>
          <cell r="X74">
            <v>-340.06</v>
          </cell>
          <cell r="AB74">
            <v>503.58</v>
          </cell>
          <cell r="AD74">
            <v>5252.94</v>
          </cell>
          <cell r="AE74">
            <v>39979.469999999994</v>
          </cell>
          <cell r="AF74">
            <v>27195.8</v>
          </cell>
          <cell r="AG74">
            <v>15808.47</v>
          </cell>
          <cell r="AH74">
            <v>31292.73</v>
          </cell>
          <cell r="AI74">
            <v>43395.6</v>
          </cell>
          <cell r="AJ74">
            <v>25293.219999999998</v>
          </cell>
          <cell r="AK74">
            <v>11339.960000000001</v>
          </cell>
          <cell r="AL74">
            <v>7906.42</v>
          </cell>
          <cell r="AO74">
            <v>-6066.96</v>
          </cell>
          <cell r="BK74">
            <v>228278.29</v>
          </cell>
        </row>
        <row r="75">
          <cell r="W75">
            <v>2525.1200000000003</v>
          </cell>
          <cell r="AA75">
            <v>5208.3900000000003</v>
          </cell>
          <cell r="AB75">
            <v>187.56</v>
          </cell>
          <cell r="BK75">
            <v>7921.0700000000006</v>
          </cell>
        </row>
        <row r="76">
          <cell r="AB76">
            <v>85.05</v>
          </cell>
          <cell r="AC76">
            <v>2505.08</v>
          </cell>
          <cell r="AD76">
            <v>18.14</v>
          </cell>
          <cell r="AE76">
            <v>512.92000000000007</v>
          </cell>
          <cell r="AF76">
            <v>1.25</v>
          </cell>
          <cell r="AG76">
            <v>1.25</v>
          </cell>
          <cell r="AH76">
            <v>1.25</v>
          </cell>
          <cell r="AI76">
            <v>0.94000000000000006</v>
          </cell>
          <cell r="AJ76">
            <v>27706.739999999998</v>
          </cell>
          <cell r="AK76">
            <v>60469.270000000004</v>
          </cell>
          <cell r="AL76">
            <v>121562.95999999999</v>
          </cell>
          <cell r="AM76">
            <v>3067.38</v>
          </cell>
          <cell r="BF76">
            <v>863.96</v>
          </cell>
          <cell r="BK76">
            <v>216796.18999999997</v>
          </cell>
        </row>
        <row r="77">
          <cell r="P77">
            <v>31660.15</v>
          </cell>
          <cell r="Q77">
            <v>128809.59000000003</v>
          </cell>
          <cell r="R77">
            <v>176390.80000000002</v>
          </cell>
          <cell r="S77">
            <v>23643.149999999998</v>
          </cell>
          <cell r="T77">
            <v>4967.95</v>
          </cell>
          <cell r="U77">
            <v>698.13</v>
          </cell>
          <cell r="W77">
            <v>115.46000000000001</v>
          </cell>
          <cell r="X77">
            <v>-5387.33</v>
          </cell>
          <cell r="AG77">
            <v>-23.73</v>
          </cell>
          <cell r="BK77">
            <v>360874.1700000001</v>
          </cell>
        </row>
        <row r="78">
          <cell r="R78">
            <v>70545.460000000006</v>
          </cell>
          <cell r="S78">
            <v>76378.98000000001</v>
          </cell>
          <cell r="T78">
            <v>136061.56</v>
          </cell>
          <cell r="U78">
            <v>77720.61</v>
          </cell>
          <cell r="V78">
            <v>35807.450000000004</v>
          </cell>
          <cell r="W78">
            <v>34520.489999999991</v>
          </cell>
          <cell r="X78">
            <v>101600.89999999998</v>
          </cell>
          <cell r="Y78">
            <v>51705.439999999995</v>
          </cell>
          <cell r="Z78">
            <v>116697.65000000001</v>
          </cell>
          <cell r="AI78">
            <v>5259.0300000000007</v>
          </cell>
          <cell r="BK78">
            <v>706297.57</v>
          </cell>
        </row>
        <row r="79">
          <cell r="P79">
            <v>30433.030000000002</v>
          </cell>
          <cell r="Q79">
            <v>98722.99</v>
          </cell>
          <cell r="R79">
            <v>191915.05</v>
          </cell>
          <cell r="S79">
            <v>137169.76</v>
          </cell>
          <cell r="T79">
            <v>136004.72</v>
          </cell>
          <cell r="U79">
            <v>35216.86</v>
          </cell>
          <cell r="V79">
            <v>2471.6</v>
          </cell>
          <cell r="W79">
            <v>19521.68</v>
          </cell>
          <cell r="X79">
            <v>1250.92</v>
          </cell>
          <cell r="Y79">
            <v>2143.2400000000002</v>
          </cell>
          <cell r="Z79">
            <v>3225.2900000000004</v>
          </cell>
          <cell r="AA79">
            <v>-29.46</v>
          </cell>
          <cell r="AG79">
            <v>-16578.989999999998</v>
          </cell>
          <cell r="BK79">
            <v>641466.69000000018</v>
          </cell>
        </row>
        <row r="80">
          <cell r="S80">
            <v>40311.62000000001</v>
          </cell>
          <cell r="T80">
            <v>58557.32</v>
          </cell>
          <cell r="U80">
            <v>97083.520000000004</v>
          </cell>
          <cell r="V80">
            <v>67898.490000000005</v>
          </cell>
          <cell r="W80">
            <v>75149.37000000001</v>
          </cell>
          <cell r="X80">
            <v>142725.5</v>
          </cell>
          <cell r="Y80">
            <v>86581.35</v>
          </cell>
          <cell r="Z80">
            <v>320239.71000000002</v>
          </cell>
          <cell r="AA80">
            <v>-21405.82</v>
          </cell>
          <cell r="BK80">
            <v>867141.06000000017</v>
          </cell>
        </row>
        <row r="81">
          <cell r="P81">
            <v>26772.400000000001</v>
          </cell>
          <cell r="Q81">
            <v>8188.3900000000012</v>
          </cell>
          <cell r="R81">
            <v>66617.62000000001</v>
          </cell>
          <cell r="S81">
            <v>135653.01</v>
          </cell>
          <cell r="T81">
            <v>110287.99000000002</v>
          </cell>
          <cell r="U81">
            <v>85016.8</v>
          </cell>
          <cell r="V81">
            <v>41683.199999999997</v>
          </cell>
          <cell r="W81">
            <v>41043.31</v>
          </cell>
          <cell r="X81">
            <v>25748.9</v>
          </cell>
          <cell r="Y81">
            <v>34279</v>
          </cell>
          <cell r="Z81">
            <v>228.26</v>
          </cell>
          <cell r="AG81">
            <v>-2218.5100000000002</v>
          </cell>
          <cell r="BK81">
            <v>573300.37</v>
          </cell>
        </row>
        <row r="82">
          <cell r="W82">
            <v>13933.490000000002</v>
          </cell>
          <cell r="X82">
            <v>25.08</v>
          </cell>
          <cell r="Y82">
            <v>46.07</v>
          </cell>
          <cell r="Z82">
            <v>128.80000000000001</v>
          </cell>
          <cell r="AA82">
            <v>21293.050000000003</v>
          </cell>
          <cell r="AB82">
            <v>247.99</v>
          </cell>
          <cell r="AC82">
            <v>124.86</v>
          </cell>
          <cell r="AD82">
            <v>250.6</v>
          </cell>
          <cell r="AE82">
            <v>18.02</v>
          </cell>
          <cell r="AN82">
            <v>18.03</v>
          </cell>
          <cell r="AO82">
            <v>923.31999999999994</v>
          </cell>
          <cell r="AP82">
            <v>18.5</v>
          </cell>
          <cell r="AQ82">
            <v>33.33</v>
          </cell>
          <cell r="AR82">
            <v>48.180000000000007</v>
          </cell>
          <cell r="AS82">
            <v>70.509999999999991</v>
          </cell>
          <cell r="AT82">
            <v>71937.14</v>
          </cell>
          <cell r="AU82">
            <v>101428.98999999999</v>
          </cell>
          <cell r="AV82">
            <v>116327.03000000001</v>
          </cell>
          <cell r="AW82">
            <v>127439.64</v>
          </cell>
          <cell r="AX82">
            <v>477667.53</v>
          </cell>
          <cell r="AY82">
            <v>2810.3</v>
          </cell>
          <cell r="AZ82">
            <v>61663.02</v>
          </cell>
          <cell r="BA82">
            <v>65515.759999999995</v>
          </cell>
          <cell r="BB82">
            <v>-3077.1299999999997</v>
          </cell>
          <cell r="BC82">
            <v>5352.8</v>
          </cell>
          <cell r="BD82">
            <v>9052.89</v>
          </cell>
          <cell r="BE82">
            <v>30281.87</v>
          </cell>
          <cell r="BF82">
            <v>41020.6</v>
          </cell>
          <cell r="BG82">
            <v>2703.58</v>
          </cell>
          <cell r="BK82">
            <v>1147303.8500000003</v>
          </cell>
        </row>
        <row r="83">
          <cell r="W83">
            <v>42.39</v>
          </cell>
          <cell r="AA83">
            <v>4251.7</v>
          </cell>
          <cell r="AB83">
            <v>213.4</v>
          </cell>
          <cell r="AC83">
            <v>3948.33</v>
          </cell>
          <cell r="AE83">
            <v>10534.809999999998</v>
          </cell>
          <cell r="AF83">
            <v>78694.09</v>
          </cell>
          <cell r="AG83">
            <v>52329.380000000005</v>
          </cell>
          <cell r="AH83">
            <v>67840.83</v>
          </cell>
          <cell r="AI83">
            <v>28032.75</v>
          </cell>
          <cell r="AJ83">
            <v>7233.34</v>
          </cell>
          <cell r="AK83">
            <v>1133.3399999999999</v>
          </cell>
          <cell r="AL83">
            <v>6223.33</v>
          </cell>
          <cell r="AM83">
            <v>360</v>
          </cell>
          <cell r="AN83">
            <v>10782.380000000001</v>
          </cell>
          <cell r="BK83">
            <v>271620.06999999995</v>
          </cell>
        </row>
        <row r="84">
          <cell r="W84">
            <v>56.56</v>
          </cell>
          <cell r="AA84">
            <v>2916.7000000000003</v>
          </cell>
          <cell r="AR84">
            <v>3.8600000000000003</v>
          </cell>
          <cell r="AS84">
            <v>5.66</v>
          </cell>
          <cell r="AT84">
            <v>5.37</v>
          </cell>
          <cell r="AU84">
            <v>5.3800000000000008</v>
          </cell>
          <cell r="AV84">
            <v>4.49</v>
          </cell>
          <cell r="AW84">
            <v>3.3</v>
          </cell>
          <cell r="AX84">
            <v>6555.14</v>
          </cell>
          <cell r="AY84">
            <v>19387.52</v>
          </cell>
          <cell r="AZ84">
            <v>11430.71</v>
          </cell>
          <cell r="BA84">
            <v>137426.97</v>
          </cell>
          <cell r="BB84">
            <v>3168.53</v>
          </cell>
          <cell r="BC84">
            <v>280</v>
          </cell>
          <cell r="BF84">
            <v>420</v>
          </cell>
          <cell r="BH84">
            <v>20</v>
          </cell>
          <cell r="BK84">
            <v>181690.19</v>
          </cell>
        </row>
        <row r="85">
          <cell r="AB85">
            <v>1120.1000000000001</v>
          </cell>
          <cell r="AC85">
            <v>40927.01</v>
          </cell>
          <cell r="AD85">
            <v>66103.37999999999</v>
          </cell>
          <cell r="AE85">
            <v>35263.629999999997</v>
          </cell>
          <cell r="AF85">
            <v>230.22000000000003</v>
          </cell>
          <cell r="AG85">
            <v>13934.07</v>
          </cell>
          <cell r="AH85">
            <v>1440.19</v>
          </cell>
          <cell r="BK85">
            <v>159018.6</v>
          </cell>
        </row>
        <row r="86">
          <cell r="W86">
            <v>223.81</v>
          </cell>
          <cell r="AA86">
            <v>9955.1799999999985</v>
          </cell>
          <cell r="AO86">
            <v>246.97</v>
          </cell>
          <cell r="AP86">
            <v>16417.55</v>
          </cell>
          <cell r="AQ86">
            <v>59088.07</v>
          </cell>
          <cell r="AR86">
            <v>93122.06</v>
          </cell>
          <cell r="AS86">
            <v>54992.21</v>
          </cell>
          <cell r="AT86">
            <v>28450.6</v>
          </cell>
          <cell r="AU86">
            <v>79386.23</v>
          </cell>
          <cell r="AV86">
            <v>10.209999999999837</v>
          </cell>
          <cell r="AW86">
            <v>40039.269999999997</v>
          </cell>
          <cell r="AX86">
            <v>42382.71</v>
          </cell>
          <cell r="AY86">
            <v>0</v>
          </cell>
          <cell r="BK86">
            <v>424314.87</v>
          </cell>
        </row>
        <row r="87">
          <cell r="W87">
            <v>224.03</v>
          </cell>
          <cell r="AA87">
            <v>6905.6100000000006</v>
          </cell>
          <cell r="AO87">
            <v>105.39000000000001</v>
          </cell>
          <cell r="AP87">
            <v>1580.2</v>
          </cell>
          <cell r="AQ87">
            <v>24372.950000000004</v>
          </cell>
          <cell r="AR87">
            <v>41582.160000000003</v>
          </cell>
          <cell r="AS87">
            <v>10015.65</v>
          </cell>
          <cell r="AT87">
            <v>10877.4</v>
          </cell>
          <cell r="AU87">
            <v>47954.700000000004</v>
          </cell>
          <cell r="AV87">
            <v>3465.35</v>
          </cell>
          <cell r="AW87">
            <v>14433.570000000002</v>
          </cell>
          <cell r="AX87">
            <v>13036.36</v>
          </cell>
          <cell r="BK87">
            <v>174553.37</v>
          </cell>
        </row>
        <row r="88">
          <cell r="W88">
            <v>2355.21</v>
          </cell>
          <cell r="AA88">
            <v>4042.09</v>
          </cell>
          <cell r="AB88">
            <v>250.92000000000002</v>
          </cell>
          <cell r="AC88">
            <v>3155.14</v>
          </cell>
          <cell r="AI88">
            <v>2728.32</v>
          </cell>
          <cell r="AJ88">
            <v>48196.680000000008</v>
          </cell>
          <cell r="AK88">
            <v>42154.540000000008</v>
          </cell>
          <cell r="AL88">
            <v>18063.920000000002</v>
          </cell>
          <cell r="AM88">
            <v>11369.48</v>
          </cell>
          <cell r="AN88">
            <v>7875.3399999999992</v>
          </cell>
          <cell r="AO88">
            <v>5646.3600000000006</v>
          </cell>
          <cell r="AP88">
            <v>11267.75</v>
          </cell>
          <cell r="AW88">
            <v>33242.399999999994</v>
          </cell>
          <cell r="AX88">
            <v>21339.09</v>
          </cell>
          <cell r="BK88">
            <v>211687.24</v>
          </cell>
        </row>
        <row r="89">
          <cell r="AA89">
            <v>18811.919999999998</v>
          </cell>
          <cell r="AB89">
            <v>879.65</v>
          </cell>
          <cell r="AC89">
            <v>12713.61</v>
          </cell>
          <cell r="AD89">
            <v>17483.309999999998</v>
          </cell>
          <cell r="AE89">
            <v>71144.66</v>
          </cell>
          <cell r="AF89">
            <v>70659.420000000013</v>
          </cell>
          <cell r="AG89">
            <v>67915.650000000009</v>
          </cell>
          <cell r="AH89">
            <v>51173.96</v>
          </cell>
          <cell r="AI89">
            <v>45152.18</v>
          </cell>
          <cell r="AJ89">
            <v>9186.0600000000013</v>
          </cell>
          <cell r="AK89">
            <v>6976.9599999999991</v>
          </cell>
          <cell r="BK89">
            <v>372097.38000000006</v>
          </cell>
        </row>
        <row r="90">
          <cell r="T90">
            <v>1488.2</v>
          </cell>
          <cell r="U90">
            <v>4.3100000000000005</v>
          </cell>
          <cell r="V90">
            <v>3.58</v>
          </cell>
          <cell r="W90">
            <v>515.77</v>
          </cell>
          <cell r="X90">
            <v>3.62</v>
          </cell>
          <cell r="Y90">
            <v>6.65</v>
          </cell>
          <cell r="Z90">
            <v>-2012.72</v>
          </cell>
          <cell r="AA90">
            <v>3885.2400000000007</v>
          </cell>
          <cell r="AB90">
            <v>-3886.4500000000003</v>
          </cell>
          <cell r="AC90">
            <v>-8.17</v>
          </cell>
          <cell r="AD90">
            <v>-0.03</v>
          </cell>
          <cell r="BK90">
            <v>2.7292057502847911E-13</v>
          </cell>
        </row>
        <row r="91">
          <cell r="S91">
            <v>5027.25</v>
          </cell>
          <cell r="T91">
            <v>16.080000000000002</v>
          </cell>
          <cell r="U91">
            <v>14.620000000000001</v>
          </cell>
          <cell r="V91">
            <v>745.77</v>
          </cell>
          <cell r="W91">
            <v>25685.5</v>
          </cell>
          <cell r="X91">
            <v>12338.94</v>
          </cell>
          <cell r="Y91">
            <v>169.92999999999998</v>
          </cell>
          <cell r="Z91">
            <v>1750.77</v>
          </cell>
          <cell r="AB91">
            <v>5047.71</v>
          </cell>
          <cell r="BK91">
            <v>50796.57</v>
          </cell>
        </row>
        <row r="92">
          <cell r="T92">
            <v>5365.53</v>
          </cell>
          <cell r="U92">
            <v>1253.2900000000002</v>
          </cell>
          <cell r="V92">
            <v>31293.24</v>
          </cell>
          <cell r="W92">
            <v>54618.62</v>
          </cell>
          <cell r="X92">
            <v>4896.3599999999997</v>
          </cell>
          <cell r="Y92">
            <v>-411.83000000000004</v>
          </cell>
          <cell r="Z92">
            <v>-488.26000000000005</v>
          </cell>
          <cell r="AA92">
            <v>-674.36</v>
          </cell>
          <cell r="AB92">
            <v>-2446.96</v>
          </cell>
          <cell r="AI92">
            <v>3116.1900000000005</v>
          </cell>
          <cell r="BK92">
            <v>96521.819999999992</v>
          </cell>
        </row>
        <row r="93">
          <cell r="S93">
            <v>12312.68</v>
          </cell>
          <cell r="T93">
            <v>109592.68999999999</v>
          </cell>
          <cell r="U93">
            <v>67949.209999999992</v>
          </cell>
          <cell r="V93">
            <v>16414.330000000005</v>
          </cell>
          <cell r="W93">
            <v>8546.2199999999993</v>
          </cell>
          <cell r="X93">
            <v>123.03</v>
          </cell>
          <cell r="Y93">
            <v>709.3</v>
          </cell>
          <cell r="Z93">
            <v>-2783.01</v>
          </cell>
          <cell r="AC93">
            <v>-21.36</v>
          </cell>
          <cell r="BK93">
            <v>212843.09</v>
          </cell>
        </row>
        <row r="94">
          <cell r="T94">
            <v>20843.160000000007</v>
          </cell>
          <cell r="U94">
            <v>85973.440000000002</v>
          </cell>
          <cell r="V94">
            <v>87570.469999999972</v>
          </cell>
          <cell r="W94">
            <v>87314.190000000017</v>
          </cell>
          <cell r="X94">
            <v>4329.4400000000005</v>
          </cell>
          <cell r="Y94">
            <v>2756.28</v>
          </cell>
          <cell r="Z94">
            <v>5447.35</v>
          </cell>
          <cell r="AA94">
            <v>6227.1500000000005</v>
          </cell>
          <cell r="AB94">
            <v>2103.23</v>
          </cell>
          <cell r="AC94">
            <v>-3023.5000000000005</v>
          </cell>
          <cell r="AJ94">
            <v>-4126.13</v>
          </cell>
          <cell r="BK94">
            <v>295415.08</v>
          </cell>
        </row>
        <row r="95">
          <cell r="S95">
            <v>14171.480000000001</v>
          </cell>
          <cell r="T95">
            <v>41204.429999999993</v>
          </cell>
          <cell r="U95">
            <v>43862.009999999995</v>
          </cell>
          <cell r="V95">
            <v>-3481.5900000000006</v>
          </cell>
          <cell r="W95">
            <v>2828.0700000000011</v>
          </cell>
          <cell r="X95">
            <v>1041.0800000000002</v>
          </cell>
          <cell r="Z95">
            <v>6462.72</v>
          </cell>
          <cell r="AA95">
            <v>6863.74</v>
          </cell>
          <cell r="AB95">
            <v>9312.7099999999991</v>
          </cell>
          <cell r="AC95">
            <v>-9204.17</v>
          </cell>
          <cell r="BK95">
            <v>113060.48</v>
          </cell>
        </row>
        <row r="96">
          <cell r="T96">
            <v>4814.53</v>
          </cell>
          <cell r="U96">
            <v>2076.15</v>
          </cell>
          <cell r="V96">
            <v>10352.1</v>
          </cell>
          <cell r="W96">
            <v>778.91</v>
          </cell>
          <cell r="AY96">
            <v>120.75</v>
          </cell>
          <cell r="AZ96">
            <v>100950.89000000001</v>
          </cell>
          <cell r="BA96">
            <v>349077.28999999992</v>
          </cell>
          <cell r="BB96">
            <v>-162693.63</v>
          </cell>
          <cell r="BC96">
            <v>1960.6800000000003</v>
          </cell>
          <cell r="BD96">
            <v>71596.09</v>
          </cell>
          <cell r="BE96">
            <v>1060.4099999999999</v>
          </cell>
          <cell r="BF96">
            <v>7116.14</v>
          </cell>
          <cell r="BG96">
            <v>12121.230000000001</v>
          </cell>
          <cell r="BK96">
            <v>399331.53999999986</v>
          </cell>
        </row>
        <row r="97">
          <cell r="T97">
            <v>34370.870000000003</v>
          </cell>
          <cell r="U97">
            <v>171.84</v>
          </cell>
          <cell r="V97">
            <v>-17445.919999999998</v>
          </cell>
          <cell r="AB97">
            <v>3139.56</v>
          </cell>
          <cell r="AC97">
            <v>204207.37000000002</v>
          </cell>
          <cell r="AD97">
            <v>131392.12000000002</v>
          </cell>
          <cell r="AE97">
            <v>24624.329999999998</v>
          </cell>
          <cell r="AF97">
            <v>12856.5</v>
          </cell>
          <cell r="AG97">
            <v>159.94000000000003</v>
          </cell>
          <cell r="AH97">
            <v>2214.13</v>
          </cell>
          <cell r="AI97">
            <v>8516.2899999999991</v>
          </cell>
          <cell r="AJ97">
            <v>0</v>
          </cell>
          <cell r="BK97">
            <v>404207.03000000009</v>
          </cell>
        </row>
        <row r="98">
          <cell r="AB98">
            <v>1295.17</v>
          </cell>
          <cell r="AC98">
            <v>17047.600000000002</v>
          </cell>
          <cell r="AD98">
            <v>7683.93</v>
          </cell>
          <cell r="AE98">
            <v>181820.48</v>
          </cell>
          <cell r="AF98">
            <v>90190.16</v>
          </cell>
          <cell r="AG98">
            <v>97753.680000000008</v>
          </cell>
          <cell r="AH98">
            <v>120301.46</v>
          </cell>
          <cell r="AI98">
            <v>61099.07</v>
          </cell>
          <cell r="AJ98">
            <v>69357.59</v>
          </cell>
          <cell r="AK98">
            <v>28215.570000000003</v>
          </cell>
          <cell r="AL98">
            <v>27537.040000000001</v>
          </cell>
          <cell r="AM98">
            <v>2090.1</v>
          </cell>
          <cell r="BK98">
            <v>704391.85</v>
          </cell>
        </row>
        <row r="99">
          <cell r="S99">
            <v>17815.830000000002</v>
          </cell>
          <cell r="T99">
            <v>11874.1</v>
          </cell>
          <cell r="U99">
            <v>2414.6200000000003</v>
          </cell>
          <cell r="V99">
            <v>1067</v>
          </cell>
          <cell r="W99">
            <v>1474.86</v>
          </cell>
          <cell r="Z99">
            <v>0</v>
          </cell>
          <cell r="AA99">
            <v>2443.4</v>
          </cell>
          <cell r="AC99">
            <v>8100.25</v>
          </cell>
          <cell r="BK99">
            <v>45190.060000000005</v>
          </cell>
        </row>
        <row r="100">
          <cell r="S100">
            <v>5697.630000000001</v>
          </cell>
          <cell r="T100">
            <v>8834.7999999999993</v>
          </cell>
          <cell r="U100">
            <v>1516.1100000000001</v>
          </cell>
          <cell r="W100">
            <v>1661.95</v>
          </cell>
          <cell r="AA100">
            <v>817.09</v>
          </cell>
          <cell r="AB100">
            <v>99.75</v>
          </cell>
          <cell r="AC100">
            <v>2021.95</v>
          </cell>
          <cell r="AD100">
            <v>8962.6099999999988</v>
          </cell>
          <cell r="AE100">
            <v>36259.089999999997</v>
          </cell>
          <cell r="AF100">
            <v>74815.399999999994</v>
          </cell>
          <cell r="AG100">
            <v>64650.200000000012</v>
          </cell>
          <cell r="AH100">
            <v>40125.79</v>
          </cell>
          <cell r="AI100">
            <v>20377.54</v>
          </cell>
          <cell r="AJ100">
            <v>8250.3100000000013</v>
          </cell>
          <cell r="AK100">
            <v>8025</v>
          </cell>
          <cell r="AL100">
            <v>8025</v>
          </cell>
          <cell r="AO100">
            <v>37431.26</v>
          </cell>
          <cell r="AP100">
            <v>102336.62000000002</v>
          </cell>
          <cell r="AQ100">
            <v>118628.96999999999</v>
          </cell>
          <cell r="AR100">
            <v>194643.77</v>
          </cell>
          <cell r="AS100">
            <v>22434.09</v>
          </cell>
          <cell r="AT100">
            <v>-2164.63</v>
          </cell>
          <cell r="AU100">
            <v>26.68</v>
          </cell>
          <cell r="AV100">
            <v>-656.38</v>
          </cell>
          <cell r="AW100">
            <v>-1937.8300000000002</v>
          </cell>
          <cell r="AZ100">
            <v>-330.31000000000006</v>
          </cell>
          <cell r="BK100">
            <v>760552.46000000008</v>
          </cell>
        </row>
        <row r="101">
          <cell r="Q101">
            <v>5790.17</v>
          </cell>
          <cell r="R101">
            <v>30350.720000000001</v>
          </cell>
          <cell r="S101">
            <v>1264.54</v>
          </cell>
          <cell r="T101">
            <v>5133.03</v>
          </cell>
          <cell r="U101">
            <v>122.87</v>
          </cell>
          <cell r="V101">
            <v>101.67999999999999</v>
          </cell>
          <cell r="W101">
            <v>4369.4500000000007</v>
          </cell>
          <cell r="X101">
            <v>-143.22</v>
          </cell>
          <cell r="BK101">
            <v>46989.240000000005</v>
          </cell>
        </row>
        <row r="102">
          <cell r="AB102">
            <v>326.35000000000002</v>
          </cell>
          <cell r="AC102">
            <v>10133.910000000002</v>
          </cell>
          <cell r="AD102">
            <v>73.22</v>
          </cell>
          <cell r="AE102">
            <v>2.63</v>
          </cell>
          <cell r="AF102">
            <v>2.11</v>
          </cell>
          <cell r="AN102">
            <v>5.2700000000000005</v>
          </cell>
          <cell r="AO102">
            <v>81.42</v>
          </cell>
          <cell r="AP102">
            <v>6403.8</v>
          </cell>
          <cell r="AQ102">
            <v>65308.580000000016</v>
          </cell>
          <cell r="AR102">
            <v>56765.159999999996</v>
          </cell>
          <cell r="AS102">
            <v>56670.5</v>
          </cell>
          <cell r="AT102">
            <v>91415.55</v>
          </cell>
          <cell r="AU102">
            <v>96781.789999999964</v>
          </cell>
          <cell r="AV102">
            <v>90219.299999999988</v>
          </cell>
          <cell r="AW102">
            <v>38644.19</v>
          </cell>
          <cell r="AX102">
            <v>-574.34999999999968</v>
          </cell>
          <cell r="AY102">
            <v>725.1</v>
          </cell>
          <cell r="AZ102">
            <v>-214.45</v>
          </cell>
          <cell r="BA102">
            <v>1079.75</v>
          </cell>
          <cell r="BC102">
            <v>1891.56</v>
          </cell>
          <cell r="BE102">
            <v>9894.0300000000007</v>
          </cell>
          <cell r="BK102">
            <v>525635.41999999993</v>
          </cell>
        </row>
        <row r="103">
          <cell r="AB103">
            <v>329.02000000000004</v>
          </cell>
          <cell r="AC103">
            <v>7159.26</v>
          </cell>
          <cell r="AD103">
            <v>13574.92</v>
          </cell>
          <cell r="AE103">
            <v>10.53</v>
          </cell>
          <cell r="AF103">
            <v>8.43</v>
          </cell>
          <cell r="AG103">
            <v>22.240000000000002</v>
          </cell>
          <cell r="AH103">
            <v>1686.0200000000002</v>
          </cell>
          <cell r="AI103">
            <v>42023.61</v>
          </cell>
          <cell r="AJ103">
            <v>65567.310000000012</v>
          </cell>
          <cell r="AK103">
            <v>82415.08</v>
          </cell>
          <cell r="AL103">
            <v>89562.59</v>
          </cell>
          <cell r="AM103">
            <v>5778.0699999999988</v>
          </cell>
          <cell r="AO103">
            <v>-1751.52</v>
          </cell>
          <cell r="AP103">
            <v>16157.189999999999</v>
          </cell>
          <cell r="AQ103">
            <v>173.61</v>
          </cell>
          <cell r="AT103">
            <v>2967.9</v>
          </cell>
          <cell r="AU103">
            <v>2151.1499999999996</v>
          </cell>
          <cell r="BK103">
            <v>327835.41000000003</v>
          </cell>
        </row>
        <row r="104">
          <cell r="T104">
            <v>10550.44</v>
          </cell>
          <cell r="U104">
            <v>30.6</v>
          </cell>
          <cell r="W104">
            <v>15048.460000000001</v>
          </cell>
          <cell r="AA104">
            <v>1247.19</v>
          </cell>
          <cell r="AN104">
            <v>13.44</v>
          </cell>
          <cell r="AO104">
            <v>13.450000000000001</v>
          </cell>
          <cell r="AP104">
            <v>13.450000000000001</v>
          </cell>
          <cell r="AQ104">
            <v>49643.93</v>
          </cell>
          <cell r="AR104">
            <v>72162.89</v>
          </cell>
          <cell r="AS104">
            <v>28995.54</v>
          </cell>
          <cell r="AT104">
            <v>202592.57</v>
          </cell>
          <cell r="AU104">
            <v>123350.64</v>
          </cell>
          <cell r="AV104">
            <v>250.60000000000002</v>
          </cell>
          <cell r="AW104">
            <v>7326.7199999999993</v>
          </cell>
          <cell r="AY104">
            <v>-27.29</v>
          </cell>
          <cell r="BD104">
            <v>-7093.9600000000009</v>
          </cell>
          <cell r="BK104">
            <v>504118.66999999993</v>
          </cell>
        </row>
        <row r="105">
          <cell r="AC105">
            <v>21293.46</v>
          </cell>
          <cell r="AD105">
            <v>70299.22</v>
          </cell>
          <cell r="AE105">
            <v>89053.07</v>
          </cell>
          <cell r="AF105">
            <v>164200.80000000002</v>
          </cell>
          <cell r="AG105">
            <v>54325.120000000003</v>
          </cell>
          <cell r="AH105">
            <v>24041.620000000003</v>
          </cell>
          <cell r="AI105">
            <v>19135.25</v>
          </cell>
          <cell r="BK105">
            <v>442348.54000000004</v>
          </cell>
        </row>
        <row r="106">
          <cell r="AD106">
            <v>3395.2400000000007</v>
          </cell>
          <cell r="AE106">
            <v>7356.7599999999984</v>
          </cell>
          <cell r="AF106">
            <v>50993.899999999994</v>
          </cell>
          <cell r="AG106">
            <v>7624.9400000000005</v>
          </cell>
          <cell r="AH106">
            <v>1383.92</v>
          </cell>
          <cell r="BK106">
            <v>70754.759999999995</v>
          </cell>
        </row>
        <row r="107">
          <cell r="AI107">
            <v>11996.72</v>
          </cell>
          <cell r="AJ107">
            <v>51932.28</v>
          </cell>
          <cell r="AK107">
            <v>8366.6400000000012</v>
          </cell>
          <cell r="AL107">
            <v>-31.82</v>
          </cell>
          <cell r="AN107">
            <v>281.39999999999998</v>
          </cell>
          <cell r="AR107">
            <v>10553.320000000002</v>
          </cell>
          <cell r="BK107">
            <v>83098.539999999994</v>
          </cell>
        </row>
        <row r="108">
          <cell r="AI108">
            <v>60860.82</v>
          </cell>
          <cell r="AJ108">
            <v>64213.280000000006</v>
          </cell>
          <cell r="AK108">
            <v>48381.459999999992</v>
          </cell>
          <cell r="AL108">
            <v>46122.559999999998</v>
          </cell>
          <cell r="AM108">
            <v>52.59</v>
          </cell>
          <cell r="AN108">
            <v>31165.57</v>
          </cell>
          <cell r="AO108">
            <v>559.80000000000007</v>
          </cell>
          <cell r="AP108">
            <v>22.9</v>
          </cell>
          <cell r="BK108">
            <v>251378.97999999998</v>
          </cell>
        </row>
        <row r="109">
          <cell r="AK109">
            <v>34552.200000000004</v>
          </cell>
          <cell r="AL109">
            <v>141597.11999999997</v>
          </cell>
          <cell r="AM109">
            <v>-5084.4000000000033</v>
          </cell>
          <cell r="AN109">
            <v>45394.130000000005</v>
          </cell>
          <cell r="AO109">
            <v>3973.650000000001</v>
          </cell>
          <cell r="AQ109">
            <v>43.89</v>
          </cell>
          <cell r="BK109">
            <v>220476.59</v>
          </cell>
        </row>
        <row r="110">
          <cell r="AK110">
            <v>447.99</v>
          </cell>
          <cell r="AL110">
            <v>29348.17</v>
          </cell>
          <cell r="AM110">
            <v>-4.54</v>
          </cell>
          <cell r="AP110">
            <v>16737.95</v>
          </cell>
          <cell r="BK110">
            <v>46529.57</v>
          </cell>
        </row>
        <row r="111">
          <cell r="AN111">
            <v>148.99</v>
          </cell>
          <cell r="AO111">
            <v>18922.13</v>
          </cell>
          <cell r="AP111">
            <v>17148.559999999998</v>
          </cell>
          <cell r="AQ111">
            <v>5483.76</v>
          </cell>
          <cell r="AR111">
            <v>2370.3199999999997</v>
          </cell>
          <cell r="AS111">
            <v>28245.899999999998</v>
          </cell>
          <cell r="AT111">
            <v>50631.46</v>
          </cell>
          <cell r="AU111">
            <v>71596.199999999983</v>
          </cell>
          <cell r="AV111">
            <v>37623.270000000004</v>
          </cell>
          <cell r="AW111">
            <v>32238.760000000002</v>
          </cell>
          <cell r="AX111">
            <v>16278.54</v>
          </cell>
          <cell r="AY111">
            <v>-3271.14</v>
          </cell>
          <cell r="AZ111">
            <v>3372.74</v>
          </cell>
          <cell r="BA111">
            <v>2775.61</v>
          </cell>
          <cell r="BB111">
            <v>8951.76</v>
          </cell>
          <cell r="BC111">
            <v>2890.48</v>
          </cell>
          <cell r="BD111">
            <v>6574.8</v>
          </cell>
          <cell r="BK111">
            <v>301982.1399999999</v>
          </cell>
        </row>
        <row r="112">
          <cell r="AN112">
            <v>482.94000000000005</v>
          </cell>
          <cell r="AO112">
            <v>4115.63</v>
          </cell>
          <cell r="AP112">
            <v>12460.509999999998</v>
          </cell>
          <cell r="AQ112">
            <v>53727.30000000001</v>
          </cell>
          <cell r="AR112">
            <v>34752.980000000003</v>
          </cell>
          <cell r="AS112">
            <v>57320.959999999999</v>
          </cell>
          <cell r="AT112">
            <v>7935.2600000000011</v>
          </cell>
          <cell r="AU112">
            <v>13791.739999999998</v>
          </cell>
          <cell r="AV112">
            <v>52303.240000000005</v>
          </cell>
          <cell r="AW112">
            <v>119114.77000000002</v>
          </cell>
          <cell r="AX112">
            <v>160262.35</v>
          </cell>
          <cell r="AY112">
            <v>58560.380000000005</v>
          </cell>
          <cell r="AZ112">
            <v>7111.8799999999992</v>
          </cell>
          <cell r="BA112">
            <v>2616.4100000000003</v>
          </cell>
          <cell r="BB112">
            <v>32815.54</v>
          </cell>
          <cell r="BC112">
            <v>3662.8700000000003</v>
          </cell>
          <cell r="BD112">
            <v>6477.97</v>
          </cell>
          <cell r="BE112">
            <v>1070.77</v>
          </cell>
          <cell r="BK112">
            <v>628583.50000000012</v>
          </cell>
        </row>
        <row r="113">
          <cell r="AN113">
            <v>12215.740000000002</v>
          </cell>
          <cell r="AO113">
            <v>32618.950000000004</v>
          </cell>
          <cell r="AP113">
            <v>34906.869999999995</v>
          </cell>
          <cell r="AQ113">
            <v>33521.56</v>
          </cell>
          <cell r="AR113">
            <v>45254.380000000005</v>
          </cell>
          <cell r="AS113">
            <v>13216.83</v>
          </cell>
          <cell r="AT113">
            <v>33034.080000000002</v>
          </cell>
          <cell r="AU113">
            <v>100766.68000000002</v>
          </cell>
          <cell r="AV113">
            <v>698.42000000000007</v>
          </cell>
          <cell r="AW113">
            <v>164.99</v>
          </cell>
          <cell r="BK113">
            <v>306398.49999999994</v>
          </cell>
        </row>
        <row r="114">
          <cell r="AN114">
            <v>3087.26</v>
          </cell>
          <cell r="AO114">
            <v>64162.359999999993</v>
          </cell>
          <cell r="AP114">
            <v>66801.12000000001</v>
          </cell>
          <cell r="AQ114">
            <v>81292.34</v>
          </cell>
          <cell r="AR114">
            <v>68012.59</v>
          </cell>
          <cell r="AS114">
            <v>526.37</v>
          </cell>
          <cell r="AT114">
            <v>69495.3</v>
          </cell>
          <cell r="AU114">
            <v>56720.520000000004</v>
          </cell>
          <cell r="AV114">
            <v>26092.879999999997</v>
          </cell>
          <cell r="AW114">
            <v>23476.74</v>
          </cell>
          <cell r="AX114">
            <v>230.14000000000001</v>
          </cell>
          <cell r="AY114">
            <v>-2617.4899999999998</v>
          </cell>
          <cell r="AZ114">
            <v>116.7999999999999</v>
          </cell>
          <cell r="BA114">
            <v>68.680000000000007</v>
          </cell>
          <cell r="BK114">
            <v>457465.61</v>
          </cell>
        </row>
        <row r="115">
          <cell r="AO115">
            <v>191.55</v>
          </cell>
          <cell r="AP115">
            <v>0.1</v>
          </cell>
          <cell r="AQ115">
            <v>61493.000000000007</v>
          </cell>
          <cell r="AR115">
            <v>55424.709999999992</v>
          </cell>
          <cell r="AS115">
            <v>211264.92</v>
          </cell>
          <cell r="AT115">
            <v>44229.83</v>
          </cell>
          <cell r="AU115">
            <v>102929.45999999999</v>
          </cell>
          <cell r="AV115">
            <v>1227.83</v>
          </cell>
          <cell r="AW115">
            <v>1884.75</v>
          </cell>
          <cell r="AX115">
            <v>589.87999999999988</v>
          </cell>
          <cell r="AZ115">
            <v>-285.41000000000003</v>
          </cell>
          <cell r="BB115">
            <v>-2280.8199999999997</v>
          </cell>
          <cell r="BK115">
            <v>476669.8000000001</v>
          </cell>
        </row>
        <row r="116">
          <cell r="AO116">
            <v>362.84</v>
          </cell>
          <cell r="AP116">
            <v>0.18</v>
          </cell>
          <cell r="AQ116">
            <v>0.33</v>
          </cell>
          <cell r="AR116">
            <v>1414.3200000000002</v>
          </cell>
          <cell r="AS116">
            <v>46610.75</v>
          </cell>
          <cell r="AT116">
            <v>6865.45</v>
          </cell>
          <cell r="AU116">
            <v>144230.74</v>
          </cell>
          <cell r="AV116">
            <v>66479.259999999995</v>
          </cell>
          <cell r="AW116">
            <v>24570.02</v>
          </cell>
          <cell r="AX116">
            <v>49906.429999999993</v>
          </cell>
          <cell r="AY116">
            <v>-0.01</v>
          </cell>
          <cell r="AZ116">
            <v>20.46</v>
          </cell>
          <cell r="BD116">
            <v>-6086.8</v>
          </cell>
          <cell r="BK116">
            <v>334373.97000000003</v>
          </cell>
        </row>
        <row r="117">
          <cell r="AO117">
            <v>124448.27000000002</v>
          </cell>
          <cell r="AP117">
            <v>55790.779999999992</v>
          </cell>
          <cell r="AQ117">
            <v>118623.16</v>
          </cell>
          <cell r="AR117">
            <v>167234.59000000003</v>
          </cell>
          <cell r="AS117">
            <v>98888.749999999971</v>
          </cell>
          <cell r="AT117">
            <v>103314.62</v>
          </cell>
          <cell r="AU117">
            <v>2362.61</v>
          </cell>
          <cell r="AY117">
            <v>422.49</v>
          </cell>
          <cell r="BK117">
            <v>671085.27</v>
          </cell>
        </row>
        <row r="118">
          <cell r="AO118">
            <v>1614.25</v>
          </cell>
          <cell r="AP118">
            <v>0.81</v>
          </cell>
          <cell r="AQ118">
            <v>1.45</v>
          </cell>
          <cell r="AR118">
            <v>2.1</v>
          </cell>
          <cell r="AS118">
            <v>3.08</v>
          </cell>
          <cell r="AT118">
            <v>55739.66</v>
          </cell>
          <cell r="AU118">
            <v>122022.26999999999</v>
          </cell>
          <cell r="AV118">
            <v>105894.77999999996</v>
          </cell>
          <cell r="AW118">
            <v>94831.78</v>
          </cell>
          <cell r="AX118">
            <v>104514.42</v>
          </cell>
          <cell r="AY118">
            <v>-5966.0199999999995</v>
          </cell>
          <cell r="AZ118">
            <v>393.39</v>
          </cell>
          <cell r="BB118">
            <v>0</v>
          </cell>
          <cell r="BK118">
            <v>479051.96999999991</v>
          </cell>
        </row>
        <row r="119">
          <cell r="AO119">
            <v>286.96000000000004</v>
          </cell>
          <cell r="AP119">
            <v>0.14000000000000001</v>
          </cell>
          <cell r="AQ119">
            <v>0.26</v>
          </cell>
          <cell r="AR119">
            <v>76638.98</v>
          </cell>
          <cell r="AS119">
            <v>148939.04999999999</v>
          </cell>
          <cell r="AT119">
            <v>234562.25999999998</v>
          </cell>
          <cell r="AU119">
            <v>300776.35000000009</v>
          </cell>
          <cell r="AV119">
            <v>-26674.750000000004</v>
          </cell>
          <cell r="AW119">
            <v>16622.97</v>
          </cell>
          <cell r="AX119">
            <v>63836.800000000003</v>
          </cell>
          <cell r="AY119">
            <v>0</v>
          </cell>
          <cell r="AZ119">
            <v>18325.29</v>
          </cell>
          <cell r="BB119">
            <v>-1244.6500000000001</v>
          </cell>
          <cell r="BD119">
            <v>212.17999999999998</v>
          </cell>
          <cell r="BK119">
            <v>832281.84000000008</v>
          </cell>
        </row>
        <row r="120">
          <cell r="AO120">
            <v>2143.0299999999997</v>
          </cell>
          <cell r="AP120">
            <v>53.92</v>
          </cell>
          <cell r="AQ120">
            <v>1.98</v>
          </cell>
          <cell r="AR120">
            <v>2.8600000000000003</v>
          </cell>
          <cell r="AS120">
            <v>4.18</v>
          </cell>
          <cell r="AT120">
            <v>3.9699999999999998</v>
          </cell>
          <cell r="AU120">
            <v>87859.23000000001</v>
          </cell>
          <cell r="AV120">
            <v>68533.2</v>
          </cell>
          <cell r="AW120">
            <v>106122.86</v>
          </cell>
          <cell r="AX120">
            <v>79986.649999999994</v>
          </cell>
          <cell r="AY120">
            <v>0</v>
          </cell>
          <cell r="AZ120">
            <v>-763.83</v>
          </cell>
          <cell r="BA120">
            <v>-10528.79</v>
          </cell>
          <cell r="BD120">
            <v>-1985.37</v>
          </cell>
          <cell r="BK120">
            <v>331433.89</v>
          </cell>
        </row>
        <row r="121">
          <cell r="AO121">
            <v>106.63000000000001</v>
          </cell>
          <cell r="AP121">
            <v>0.05</v>
          </cell>
          <cell r="AQ121">
            <v>0.09</v>
          </cell>
          <cell r="AR121">
            <v>0.13</v>
          </cell>
          <cell r="AS121">
            <v>22813.57</v>
          </cell>
          <cell r="AT121">
            <v>18805.280000000002</v>
          </cell>
          <cell r="AU121">
            <v>91027.09</v>
          </cell>
          <cell r="AV121">
            <v>49495.5</v>
          </cell>
          <cell r="AW121">
            <v>27169.51</v>
          </cell>
          <cell r="AX121">
            <v>55594.650000000009</v>
          </cell>
          <cell r="AZ121">
            <v>-264.63</v>
          </cell>
          <cell r="BA121">
            <v>-4167.16</v>
          </cell>
          <cell r="BD121">
            <v>-2133.5100000000002</v>
          </cell>
          <cell r="BK121">
            <v>258447.19999999998</v>
          </cell>
        </row>
        <row r="122">
          <cell r="AO122">
            <v>2112.83</v>
          </cell>
          <cell r="AP122">
            <v>53.17</v>
          </cell>
          <cell r="AQ122">
            <v>1.9500000000000002</v>
          </cell>
          <cell r="AR122">
            <v>21536.240000000002</v>
          </cell>
          <cell r="AS122">
            <v>82880.350000000006</v>
          </cell>
          <cell r="AT122">
            <v>40848.57</v>
          </cell>
          <cell r="AU122">
            <v>44293.37</v>
          </cell>
          <cell r="AV122">
            <v>34747.230000000003</v>
          </cell>
          <cell r="AW122">
            <v>34584.480000000003</v>
          </cell>
          <cell r="AX122">
            <v>17258.38</v>
          </cell>
          <cell r="AY122">
            <v>49191.760000000009</v>
          </cell>
          <cell r="AZ122">
            <v>10557.78</v>
          </cell>
          <cell r="BA122">
            <v>754.21</v>
          </cell>
          <cell r="BB122">
            <v>12329.910000000002</v>
          </cell>
          <cell r="BC122">
            <v>0</v>
          </cell>
          <cell r="BK122">
            <v>351150.23000000004</v>
          </cell>
        </row>
        <row r="123">
          <cell r="AO123">
            <v>18493.63</v>
          </cell>
          <cell r="AP123">
            <v>58655.37999999999</v>
          </cell>
          <cell r="AQ123">
            <v>72721.23</v>
          </cell>
          <cell r="AR123">
            <v>23089.43</v>
          </cell>
          <cell r="AS123">
            <v>24679.280000000002</v>
          </cell>
          <cell r="AT123">
            <v>42371.630000000005</v>
          </cell>
          <cell r="AU123">
            <v>42722.260000000009</v>
          </cell>
          <cell r="AV123">
            <v>52126.570000000007</v>
          </cell>
          <cell r="AW123">
            <v>6186.4</v>
          </cell>
          <cell r="AX123">
            <v>13514.99</v>
          </cell>
          <cell r="AZ123">
            <v>-534.58000000000004</v>
          </cell>
          <cell r="BB123">
            <v>5806.11</v>
          </cell>
          <cell r="BK123">
            <v>359832.32999999996</v>
          </cell>
        </row>
        <row r="124">
          <cell r="AO124">
            <v>3566.61</v>
          </cell>
          <cell r="AP124">
            <v>1382.63</v>
          </cell>
          <cell r="AQ124">
            <v>4.45</v>
          </cell>
          <cell r="AR124">
            <v>10342.34</v>
          </cell>
          <cell r="AS124">
            <v>9020.82</v>
          </cell>
          <cell r="AT124">
            <v>33149.570000000007</v>
          </cell>
          <cell r="AU124">
            <v>84806.77</v>
          </cell>
          <cell r="AV124">
            <v>72460.820000000022</v>
          </cell>
          <cell r="AW124">
            <v>82445.19</v>
          </cell>
          <cell r="AX124">
            <v>23444.080000000002</v>
          </cell>
          <cell r="AY124">
            <v>-4646.32</v>
          </cell>
          <cell r="AZ124">
            <v>-167.97</v>
          </cell>
          <cell r="BC124">
            <v>5997.54</v>
          </cell>
          <cell r="BD124">
            <v>954.14</v>
          </cell>
          <cell r="BK124">
            <v>322760.67000000004</v>
          </cell>
        </row>
        <row r="125">
          <cell r="AO125">
            <v>1628.4600000000003</v>
          </cell>
          <cell r="AP125">
            <v>38286.870000000003</v>
          </cell>
          <cell r="AQ125">
            <v>179941.78000000003</v>
          </cell>
          <cell r="AR125">
            <v>77944.77</v>
          </cell>
          <cell r="AS125">
            <v>12086.259999999998</v>
          </cell>
          <cell r="AT125">
            <v>68335.900000000009</v>
          </cell>
          <cell r="AU125">
            <v>52472.479999999989</v>
          </cell>
          <cell r="BK125">
            <v>430696.52000000008</v>
          </cell>
        </row>
        <row r="126">
          <cell r="AO126">
            <v>42321.44000000001</v>
          </cell>
          <cell r="AP126">
            <v>94200.39</v>
          </cell>
          <cell r="AQ126">
            <v>154597.36999999997</v>
          </cell>
          <cell r="AR126">
            <v>52270.87</v>
          </cell>
          <cell r="AS126">
            <v>43678.720000000001</v>
          </cell>
          <cell r="AT126">
            <v>17367.500000000004</v>
          </cell>
          <cell r="AU126">
            <v>42897.23</v>
          </cell>
          <cell r="BK126">
            <v>447333.5199999999</v>
          </cell>
        </row>
        <row r="127">
          <cell r="AO127">
            <v>1519.41</v>
          </cell>
          <cell r="AP127">
            <v>1136.05</v>
          </cell>
          <cell r="AQ127">
            <v>510.43</v>
          </cell>
          <cell r="AR127">
            <v>26298.2</v>
          </cell>
          <cell r="AS127">
            <v>22054.169999999995</v>
          </cell>
          <cell r="AT127">
            <v>167632.11999999997</v>
          </cell>
          <cell r="AU127">
            <v>63579.42</v>
          </cell>
          <cell r="AV127">
            <v>6044.37</v>
          </cell>
          <cell r="AW127">
            <v>2328.2199999999998</v>
          </cell>
          <cell r="AX127">
            <v>1666.04</v>
          </cell>
          <cell r="AY127">
            <v>0</v>
          </cell>
          <cell r="AZ127">
            <v>-437.02</v>
          </cell>
          <cell r="BD127">
            <v>-155.57999999999998</v>
          </cell>
          <cell r="BF127">
            <v>2500.41</v>
          </cell>
          <cell r="BK127">
            <v>294676.23999999982</v>
          </cell>
        </row>
        <row r="128">
          <cell r="AO128">
            <v>1448.6100000000001</v>
          </cell>
          <cell r="AP128">
            <v>57289.599999999999</v>
          </cell>
          <cell r="AQ128">
            <v>79585.119999999995</v>
          </cell>
          <cell r="AR128">
            <v>18771.650000000001</v>
          </cell>
          <cell r="AU128">
            <v>420.26</v>
          </cell>
          <cell r="BA128">
            <v>79669.100000000006</v>
          </cell>
          <cell r="BB128">
            <v>-101555.94000000002</v>
          </cell>
          <cell r="BC128">
            <v>1263.1000000000001</v>
          </cell>
          <cell r="BD128">
            <v>0</v>
          </cell>
          <cell r="BE128">
            <v>549.71</v>
          </cell>
          <cell r="BG128">
            <v>1289</v>
          </cell>
          <cell r="BK128">
            <v>138730.20999999996</v>
          </cell>
        </row>
        <row r="129">
          <cell r="AP129">
            <v>31.35</v>
          </cell>
          <cell r="AQ129">
            <v>0.03</v>
          </cell>
          <cell r="AR129">
            <v>0.04</v>
          </cell>
          <cell r="AS129">
            <v>4383.2899999999991</v>
          </cell>
          <cell r="AT129">
            <v>92964.76</v>
          </cell>
          <cell r="AU129">
            <v>123343.42000000001</v>
          </cell>
          <cell r="AV129">
            <v>20930.27</v>
          </cell>
          <cell r="AW129">
            <v>23228.93</v>
          </cell>
          <cell r="AX129">
            <v>6369.58</v>
          </cell>
          <cell r="AY129">
            <v>0</v>
          </cell>
          <cell r="AZ129">
            <v>-212.01</v>
          </cell>
          <cell r="BB129">
            <v>16.59</v>
          </cell>
          <cell r="BF129">
            <v>985.44</v>
          </cell>
          <cell r="BK129">
            <v>272041.69000000006</v>
          </cell>
        </row>
        <row r="130">
          <cell r="AQ130">
            <v>23212.369999999995</v>
          </cell>
          <cell r="AR130">
            <v>56638.87</v>
          </cell>
          <cell r="AS130">
            <v>65762.280000000013</v>
          </cell>
          <cell r="AT130">
            <v>60836.77</v>
          </cell>
          <cell r="AU130">
            <v>43846.039999999994</v>
          </cell>
          <cell r="AV130">
            <v>45925.96</v>
          </cell>
          <cell r="AW130">
            <v>20655.350000000006</v>
          </cell>
          <cell r="AX130">
            <v>5001.68</v>
          </cell>
          <cell r="AY130">
            <v>52988.880000000005</v>
          </cell>
          <cell r="AZ130">
            <v>-147.01</v>
          </cell>
          <cell r="BG130">
            <v>676.82999999999993</v>
          </cell>
          <cell r="BK130">
            <v>375398.02</v>
          </cell>
        </row>
        <row r="131">
          <cell r="AR131">
            <v>25050.189999999995</v>
          </cell>
          <cell r="AS131">
            <v>28885.949999999997</v>
          </cell>
          <cell r="AT131">
            <v>10051.44</v>
          </cell>
          <cell r="AU131">
            <v>101794.27999999998</v>
          </cell>
          <cell r="AV131">
            <v>8444.7899999999991</v>
          </cell>
          <cell r="AW131">
            <v>13883.930000000002</v>
          </cell>
          <cell r="AX131">
            <v>18772.22</v>
          </cell>
          <cell r="AY131">
            <v>0</v>
          </cell>
          <cell r="BD131">
            <v>-3609.61</v>
          </cell>
          <cell r="BK131">
            <v>203273.19</v>
          </cell>
        </row>
        <row r="132">
          <cell r="AR132">
            <v>55673.530000000006</v>
          </cell>
          <cell r="AS132">
            <v>49918.049999999988</v>
          </cell>
          <cell r="AT132">
            <v>55776.11</v>
          </cell>
          <cell r="AU132">
            <v>84343.92</v>
          </cell>
          <cell r="AV132">
            <v>1252.1300000000001</v>
          </cell>
          <cell r="AW132">
            <v>5315.85</v>
          </cell>
          <cell r="AX132">
            <v>9407.7400000000016</v>
          </cell>
          <cell r="AY132">
            <v>0</v>
          </cell>
          <cell r="BD132">
            <v>-1512.34</v>
          </cell>
          <cell r="BK132">
            <v>260174.99</v>
          </cell>
        </row>
        <row r="133">
          <cell r="AR133">
            <v>486.35000000000008</v>
          </cell>
          <cell r="AS133">
            <v>573.74</v>
          </cell>
          <cell r="AT133">
            <v>17800.61</v>
          </cell>
          <cell r="AU133">
            <v>19076.82</v>
          </cell>
          <cell r="AV133">
            <v>80735.56</v>
          </cell>
          <cell r="AW133">
            <v>40406.959999999999</v>
          </cell>
          <cell r="AX133">
            <v>63968.930000000008</v>
          </cell>
          <cell r="AY133">
            <v>0.05</v>
          </cell>
          <cell r="BB133">
            <v>6786.79</v>
          </cell>
          <cell r="BK133">
            <v>229835.81000000003</v>
          </cell>
        </row>
        <row r="134">
          <cell r="AS134">
            <v>27.52</v>
          </cell>
          <cell r="AT134">
            <v>31538.05</v>
          </cell>
          <cell r="AU134">
            <v>131698.38</v>
          </cell>
          <cell r="AV134">
            <v>84146</v>
          </cell>
          <cell r="AW134">
            <v>25640.769999999997</v>
          </cell>
          <cell r="AX134">
            <v>98958.550000000017</v>
          </cell>
          <cell r="AY134">
            <v>2500.75</v>
          </cell>
          <cell r="AZ134">
            <v>509.16999999999996</v>
          </cell>
          <cell r="BB134">
            <v>1742.27</v>
          </cell>
          <cell r="BC134">
            <v>7066.66</v>
          </cell>
          <cell r="BF134">
            <v>-4622.05</v>
          </cell>
          <cell r="BH134">
            <v>-1966.4</v>
          </cell>
          <cell r="BJ134">
            <v>0</v>
          </cell>
          <cell r="BK134">
            <v>377239.67</v>
          </cell>
        </row>
        <row r="135">
          <cell r="AS135">
            <v>10263.43</v>
          </cell>
          <cell r="AT135">
            <v>16198.180000000002</v>
          </cell>
          <cell r="AU135">
            <v>78323.039999999994</v>
          </cell>
          <cell r="AV135">
            <v>3544.26</v>
          </cell>
          <cell r="AW135">
            <v>5642.7300000000005</v>
          </cell>
          <cell r="AX135">
            <v>11104.800000000001</v>
          </cell>
          <cell r="AY135">
            <v>0.01</v>
          </cell>
          <cell r="AZ135">
            <v>384.18000000000006</v>
          </cell>
          <cell r="BA135">
            <v>153.99</v>
          </cell>
          <cell r="BK135">
            <v>125614.61999999998</v>
          </cell>
        </row>
        <row r="136">
          <cell r="AU136">
            <v>201280.26999999996</v>
          </cell>
          <cell r="AV136">
            <v>132168.76</v>
          </cell>
          <cell r="AW136">
            <v>21908.920000000002</v>
          </cell>
          <cell r="AX136">
            <v>31259.340000000004</v>
          </cell>
          <cell r="AY136">
            <v>-13177.650000000001</v>
          </cell>
          <cell r="AZ136">
            <v>25789.940000000002</v>
          </cell>
          <cell r="BA136">
            <v>256.39</v>
          </cell>
          <cell r="BB136">
            <v>-844.04</v>
          </cell>
          <cell r="BK136">
            <v>398641.93</v>
          </cell>
        </row>
        <row r="137">
          <cell r="AX137">
            <v>1701.14</v>
          </cell>
          <cell r="AY137">
            <v>969.18</v>
          </cell>
          <cell r="AZ137">
            <v>4009.71</v>
          </cell>
          <cell r="BA137">
            <v>39.409999999999997</v>
          </cell>
          <cell r="BB137">
            <v>37040.560000000005</v>
          </cell>
          <cell r="BC137">
            <v>18493.34</v>
          </cell>
          <cell r="BD137">
            <v>99306.299999999988</v>
          </cell>
          <cell r="BE137">
            <v>0</v>
          </cell>
          <cell r="BF137">
            <v>19576.66</v>
          </cell>
          <cell r="BG137">
            <v>22475.5</v>
          </cell>
          <cell r="BH137">
            <v>981.13</v>
          </cell>
          <cell r="BI137">
            <v>3907.2400000000002</v>
          </cell>
          <cell r="BJ137">
            <v>2497.73</v>
          </cell>
          <cell r="BK137">
            <v>210997.90000000002</v>
          </cell>
        </row>
        <row r="138">
          <cell r="AY138">
            <v>3051.1099999999997</v>
          </cell>
          <cell r="AZ138">
            <v>31043.39</v>
          </cell>
          <cell r="BA138">
            <v>51090.650000000009</v>
          </cell>
          <cell r="BB138">
            <v>182826.30000000005</v>
          </cell>
          <cell r="BC138">
            <v>130581.70999999999</v>
          </cell>
          <cell r="BD138">
            <v>149528.50999999998</v>
          </cell>
          <cell r="BE138">
            <v>13561.44</v>
          </cell>
          <cell r="BF138">
            <v>3201.8700000000003</v>
          </cell>
          <cell r="BG138">
            <v>9489.1999999999989</v>
          </cell>
          <cell r="BI138">
            <v>11703.66</v>
          </cell>
          <cell r="BK138">
            <v>586077.84</v>
          </cell>
        </row>
        <row r="139">
          <cell r="AY139">
            <v>6669.6600000000008</v>
          </cell>
          <cell r="AZ139">
            <v>1309.2999999999997</v>
          </cell>
          <cell r="BA139">
            <v>2352</v>
          </cell>
          <cell r="BB139">
            <v>37295.15</v>
          </cell>
          <cell r="BC139">
            <v>654.84</v>
          </cell>
          <cell r="BD139">
            <v>1318.43</v>
          </cell>
          <cell r="BE139">
            <v>2889.5099999999998</v>
          </cell>
          <cell r="BG139">
            <v>488.78</v>
          </cell>
          <cell r="BI139">
            <v>-530.69000000000005</v>
          </cell>
          <cell r="BJ139">
            <v>283.08000000000004</v>
          </cell>
          <cell r="BK139">
            <v>52730.06</v>
          </cell>
        </row>
        <row r="140">
          <cell r="AY140">
            <v>3440.03</v>
          </cell>
          <cell r="AZ140">
            <v>30266.989999999998</v>
          </cell>
          <cell r="BA140">
            <v>1670.43</v>
          </cell>
          <cell r="BB140">
            <v>56681.37000000001</v>
          </cell>
          <cell r="BC140">
            <v>134443.86000000002</v>
          </cell>
          <cell r="BD140">
            <v>69157.600000000006</v>
          </cell>
          <cell r="BE140">
            <v>13995.830000000005</v>
          </cell>
          <cell r="BF140">
            <v>18355.419999999998</v>
          </cell>
          <cell r="BG140">
            <v>42688.6</v>
          </cell>
          <cell r="BH140">
            <v>0</v>
          </cell>
          <cell r="BJ140">
            <v>1583.0900000000001</v>
          </cell>
          <cell r="BK140">
            <v>372283.22000000003</v>
          </cell>
        </row>
        <row r="141">
          <cell r="AY141">
            <v>35534.57</v>
          </cell>
          <cell r="AZ141">
            <v>3695.1799999999994</v>
          </cell>
          <cell r="BA141">
            <v>4391.2700000000004</v>
          </cell>
          <cell r="BB141">
            <v>-34472.69</v>
          </cell>
          <cell r="BC141">
            <v>-6748.5200000000023</v>
          </cell>
          <cell r="BG141">
            <v>32333.950000000004</v>
          </cell>
          <cell r="BH141">
            <v>28228.810000000005</v>
          </cell>
          <cell r="BI141">
            <v>56933.98</v>
          </cell>
          <cell r="BJ141">
            <v>7432.4600000000009</v>
          </cell>
          <cell r="BK141">
            <v>127329.01000000002</v>
          </cell>
        </row>
        <row r="142">
          <cell r="AY142">
            <v>5143.3899999999994</v>
          </cell>
          <cell r="AZ142">
            <v>26537.579999999998</v>
          </cell>
          <cell r="BA142">
            <v>165388.23000000004</v>
          </cell>
          <cell r="BB142">
            <v>-101100.22000000002</v>
          </cell>
          <cell r="BC142">
            <v>-8816.64</v>
          </cell>
          <cell r="BD142">
            <v>12123.35</v>
          </cell>
          <cell r="BE142">
            <v>0</v>
          </cell>
          <cell r="BK142">
            <v>99275.690000000031</v>
          </cell>
        </row>
        <row r="143">
          <cell r="AZ143">
            <v>1258.5600000000002</v>
          </cell>
          <cell r="BA143">
            <v>138543.62</v>
          </cell>
          <cell r="BB143">
            <v>51338.770000000004</v>
          </cell>
          <cell r="BC143">
            <v>83353.36</v>
          </cell>
          <cell r="BD143">
            <v>124914.69</v>
          </cell>
          <cell r="BE143">
            <v>2.0000000004074536E-2</v>
          </cell>
          <cell r="BF143">
            <v>572.96</v>
          </cell>
          <cell r="BG143">
            <v>1205.5999999999999</v>
          </cell>
          <cell r="BJ143">
            <v>9872.2599999999984</v>
          </cell>
          <cell r="BK143">
            <v>411059.84</v>
          </cell>
        </row>
        <row r="144">
          <cell r="AZ144">
            <v>41255.51</v>
          </cell>
          <cell r="BA144">
            <v>12072.77</v>
          </cell>
          <cell r="BB144">
            <v>271.20999999999992</v>
          </cell>
          <cell r="BC144">
            <v>8183.5800000000017</v>
          </cell>
          <cell r="BE144">
            <v>1119.99</v>
          </cell>
          <cell r="BG144">
            <v>2523.23</v>
          </cell>
          <cell r="BK144">
            <v>65426.29</v>
          </cell>
        </row>
        <row r="145">
          <cell r="AZ145">
            <v>44904.72</v>
          </cell>
          <cell r="BA145">
            <v>218435.58</v>
          </cell>
          <cell r="BB145">
            <v>19231.63</v>
          </cell>
          <cell r="BC145">
            <v>22637.809999999998</v>
          </cell>
          <cell r="BD145">
            <v>1473.3200000000004</v>
          </cell>
          <cell r="BE145">
            <v>9833.119999999999</v>
          </cell>
          <cell r="BF145">
            <v>1081.47</v>
          </cell>
          <cell r="BG145">
            <v>6830.75</v>
          </cell>
          <cell r="BK145">
            <v>324428.39999999997</v>
          </cell>
        </row>
        <row r="146">
          <cell r="AZ146">
            <v>11216.460000000003</v>
          </cell>
          <cell r="BA146">
            <v>226915.35</v>
          </cell>
          <cell r="BB146">
            <v>6952.8799999999992</v>
          </cell>
          <cell r="BC146">
            <v>10132.5</v>
          </cell>
          <cell r="BD146">
            <v>5669.5300000000007</v>
          </cell>
          <cell r="BE146">
            <v>36011.01</v>
          </cell>
          <cell r="BF146">
            <v>15107.61</v>
          </cell>
          <cell r="BG146">
            <v>199947.80000000002</v>
          </cell>
          <cell r="BH146">
            <v>16669.219999999998</v>
          </cell>
          <cell r="BI146">
            <v>1478.3799999999999</v>
          </cell>
          <cell r="BJ146">
            <v>47016.83</v>
          </cell>
          <cell r="BK146">
            <v>577117.56999999995</v>
          </cell>
        </row>
        <row r="147">
          <cell r="AZ147">
            <v>6222.12</v>
          </cell>
          <cell r="BA147">
            <v>72614.75999999998</v>
          </cell>
          <cell r="BB147">
            <v>43673.340000000018</v>
          </cell>
          <cell r="BC147">
            <v>79768.249999999971</v>
          </cell>
          <cell r="BD147">
            <v>109855.69</v>
          </cell>
          <cell r="BE147">
            <v>22616.04</v>
          </cell>
          <cell r="BF147">
            <v>49610.330000000009</v>
          </cell>
          <cell r="BG147">
            <v>84395.889999999985</v>
          </cell>
          <cell r="BH147">
            <v>26692.100000000002</v>
          </cell>
          <cell r="BI147">
            <v>42351.78</v>
          </cell>
          <cell r="BJ147">
            <v>335.26</v>
          </cell>
          <cell r="BK147">
            <v>538135.55999999994</v>
          </cell>
        </row>
        <row r="148">
          <cell r="AZ148">
            <v>52757.669999999984</v>
          </cell>
          <cell r="BA148">
            <v>182122.31</v>
          </cell>
          <cell r="BB148">
            <v>69231.899999999994</v>
          </cell>
          <cell r="BC148">
            <v>337110.45999999996</v>
          </cell>
          <cell r="BD148">
            <v>146552.98000000001</v>
          </cell>
          <cell r="BE148">
            <v>14617.939999999991</v>
          </cell>
          <cell r="BF148">
            <v>1791.9899999999998</v>
          </cell>
          <cell r="BH148">
            <v>2352.2800000000002</v>
          </cell>
          <cell r="BI148">
            <v>39.720000000000006</v>
          </cell>
          <cell r="BJ148">
            <v>1976.11</v>
          </cell>
          <cell r="BK148">
            <v>808553.35999999987</v>
          </cell>
        </row>
        <row r="149">
          <cell r="AZ149">
            <v>39387.929999999993</v>
          </cell>
          <cell r="BA149">
            <v>235373.07000000004</v>
          </cell>
          <cell r="BB149">
            <v>70183.150000000009</v>
          </cell>
          <cell r="BC149">
            <v>70958.23000000001</v>
          </cell>
          <cell r="BD149">
            <v>33523.600000000006</v>
          </cell>
          <cell r="BE149">
            <v>84852.560000000012</v>
          </cell>
          <cell r="BF149">
            <v>98108.030000000013</v>
          </cell>
          <cell r="BG149">
            <v>40943.810000000005</v>
          </cell>
          <cell r="BH149">
            <v>32282.14</v>
          </cell>
          <cell r="BI149">
            <v>33057.47</v>
          </cell>
          <cell r="BJ149">
            <v>17746.590000000004</v>
          </cell>
          <cell r="BK149">
            <v>756416.58000000007</v>
          </cell>
        </row>
        <row r="150">
          <cell r="AZ150">
            <v>12296.189999999999</v>
          </cell>
          <cell r="BA150">
            <v>420.35999999999996</v>
          </cell>
          <cell r="BB150">
            <v>75.03</v>
          </cell>
          <cell r="BC150">
            <v>74.19</v>
          </cell>
          <cell r="BD150">
            <v>75.47</v>
          </cell>
          <cell r="BE150">
            <v>79.3</v>
          </cell>
          <cell r="BF150">
            <v>75.47</v>
          </cell>
          <cell r="BG150">
            <v>75.47</v>
          </cell>
          <cell r="BH150">
            <v>4299.5999999999995</v>
          </cell>
          <cell r="BI150">
            <v>37180.93</v>
          </cell>
          <cell r="BJ150">
            <v>72233.99000000002</v>
          </cell>
          <cell r="BK150">
            <v>126886.00000000001</v>
          </cell>
        </row>
        <row r="151">
          <cell r="AZ151">
            <v>43882.770000000004</v>
          </cell>
          <cell r="BA151">
            <v>52494.27</v>
          </cell>
          <cell r="BB151">
            <v>7630.2</v>
          </cell>
          <cell r="BC151">
            <v>56665.07</v>
          </cell>
          <cell r="BD151">
            <v>129408.10999999999</v>
          </cell>
          <cell r="BE151">
            <v>33587.219999999987</v>
          </cell>
          <cell r="BF151">
            <v>191461.11000000002</v>
          </cell>
          <cell r="BG151">
            <v>154016.82999999999</v>
          </cell>
          <cell r="BH151">
            <v>68120.78</v>
          </cell>
          <cell r="BI151">
            <v>110970.62000000001</v>
          </cell>
          <cell r="BJ151">
            <v>58842.239999999998</v>
          </cell>
          <cell r="BK151">
            <v>907079.22</v>
          </cell>
        </row>
        <row r="152">
          <cell r="AZ152">
            <v>66990.240000000005</v>
          </cell>
          <cell r="BA152">
            <v>238818.62999999998</v>
          </cell>
          <cell r="BB152">
            <v>40453.899999999994</v>
          </cell>
          <cell r="BC152">
            <v>136323.75</v>
          </cell>
          <cell r="BD152">
            <v>93966.98</v>
          </cell>
          <cell r="BE152">
            <v>8617.9400000000023</v>
          </cell>
          <cell r="BF152">
            <v>36433.69</v>
          </cell>
          <cell r="BG152">
            <v>7003.13</v>
          </cell>
          <cell r="BH152">
            <v>426.45000000000027</v>
          </cell>
          <cell r="BK152">
            <v>629034.70999999985</v>
          </cell>
        </row>
        <row r="153">
          <cell r="AZ153">
            <v>43217.86</v>
          </cell>
          <cell r="BA153">
            <v>4518.1299999999974</v>
          </cell>
          <cell r="BB153">
            <v>281.64</v>
          </cell>
          <cell r="BC153">
            <v>2658.32</v>
          </cell>
          <cell r="BD153">
            <v>9561.1</v>
          </cell>
          <cell r="BE153">
            <v>14377.079999999998</v>
          </cell>
          <cell r="BF153">
            <v>52150.599999999991</v>
          </cell>
          <cell r="BG153">
            <v>148204.97</v>
          </cell>
          <cell r="BH153">
            <v>73331.090000000011</v>
          </cell>
          <cell r="BI153">
            <v>155196.10000000003</v>
          </cell>
          <cell r="BJ153">
            <v>4477.4299999999994</v>
          </cell>
          <cell r="BK153">
            <v>507974.32</v>
          </cell>
        </row>
        <row r="154">
          <cell r="AZ154">
            <v>6519.92</v>
          </cell>
          <cell r="BA154">
            <v>48430.91</v>
          </cell>
          <cell r="BB154">
            <v>39533.560000000005</v>
          </cell>
          <cell r="BC154">
            <v>74700.290000000008</v>
          </cell>
          <cell r="BD154">
            <v>86264.94</v>
          </cell>
          <cell r="BE154">
            <v>10950.309999999994</v>
          </cell>
          <cell r="BF154">
            <v>49964.51</v>
          </cell>
          <cell r="BG154">
            <v>26570.550000000003</v>
          </cell>
          <cell r="BH154">
            <v>20457.620000000003</v>
          </cell>
          <cell r="BI154">
            <v>616.68000000000006</v>
          </cell>
          <cell r="BJ154">
            <v>895.56000000000006</v>
          </cell>
          <cell r="BK154">
            <v>364904.85</v>
          </cell>
        </row>
        <row r="155">
          <cell r="BA155">
            <v>74237.63</v>
          </cell>
          <cell r="BB155">
            <v>77815.809999999983</v>
          </cell>
          <cell r="BC155">
            <v>64340.259999999995</v>
          </cell>
          <cell r="BD155">
            <v>102206.90999999999</v>
          </cell>
          <cell r="BE155">
            <v>79932.25</v>
          </cell>
          <cell r="BF155">
            <v>208089.69999999998</v>
          </cell>
          <cell r="BG155">
            <v>134992.73000000004</v>
          </cell>
          <cell r="BH155">
            <v>142936.66999999998</v>
          </cell>
          <cell r="BI155">
            <v>108703.10000000002</v>
          </cell>
          <cell r="BJ155">
            <v>168880.23</v>
          </cell>
          <cell r="BK155">
            <v>1162135.29</v>
          </cell>
        </row>
        <row r="156">
          <cell r="BA156">
            <v>44972.34</v>
          </cell>
          <cell r="BB156">
            <v>10190.510000000002</v>
          </cell>
          <cell r="BC156">
            <v>66856.479999999996</v>
          </cell>
          <cell r="BD156">
            <v>43208.840000000004</v>
          </cell>
          <cell r="BE156">
            <v>-42788.950000000004</v>
          </cell>
          <cell r="BF156">
            <v>909.91000000000008</v>
          </cell>
          <cell r="BG156">
            <v>24961.089999999993</v>
          </cell>
          <cell r="BH156">
            <v>35453.08</v>
          </cell>
          <cell r="BI156">
            <v>39762.480000000003</v>
          </cell>
          <cell r="BJ156">
            <v>264776.08</v>
          </cell>
          <cell r="BK156">
            <v>488301.86</v>
          </cell>
        </row>
        <row r="157">
          <cell r="BA157">
            <v>19939.77</v>
          </cell>
          <cell r="BB157">
            <v>352.97</v>
          </cell>
          <cell r="BC157">
            <v>16111.63</v>
          </cell>
          <cell r="BD157">
            <v>101987.76000000001</v>
          </cell>
          <cell r="BE157">
            <v>61054.420000000013</v>
          </cell>
          <cell r="BF157">
            <v>77532.52</v>
          </cell>
          <cell r="BG157">
            <v>73097.290000000008</v>
          </cell>
          <cell r="BK157">
            <v>350076.36</v>
          </cell>
        </row>
        <row r="158">
          <cell r="BA158">
            <v>8536.7200000000012</v>
          </cell>
          <cell r="BB158">
            <v>12324.970000000001</v>
          </cell>
          <cell r="BC158">
            <v>31392.029999999995</v>
          </cell>
          <cell r="BD158">
            <v>206475.49000000005</v>
          </cell>
          <cell r="BE158">
            <v>59310.239999999998</v>
          </cell>
          <cell r="BF158">
            <v>8048.2200000000012</v>
          </cell>
          <cell r="BG158">
            <v>105745.58000000002</v>
          </cell>
          <cell r="BH158">
            <v>15964.73</v>
          </cell>
          <cell r="BI158">
            <v>65393.279999999999</v>
          </cell>
          <cell r="BJ158">
            <v>12655.14</v>
          </cell>
          <cell r="BK158">
            <v>525846.4</v>
          </cell>
        </row>
        <row r="159">
          <cell r="BA159">
            <v>81984.000000000015</v>
          </cell>
          <cell r="BB159">
            <v>8231.6</v>
          </cell>
          <cell r="BC159">
            <v>32090.39</v>
          </cell>
          <cell r="BD159">
            <v>42805.68</v>
          </cell>
          <cell r="BE159">
            <v>0</v>
          </cell>
          <cell r="BK159">
            <v>165111.67000000001</v>
          </cell>
        </row>
        <row r="160">
          <cell r="BA160">
            <v>133749.49999999997</v>
          </cell>
          <cell r="BB160">
            <v>63269.049999999996</v>
          </cell>
          <cell r="BC160">
            <v>142399.50999999998</v>
          </cell>
          <cell r="BD160">
            <v>225365.59999999998</v>
          </cell>
          <cell r="BE160">
            <v>37191.040000000008</v>
          </cell>
          <cell r="BF160">
            <v>9459.17</v>
          </cell>
          <cell r="BG160">
            <v>13016.440000000002</v>
          </cell>
          <cell r="BK160">
            <v>624450.31000000006</v>
          </cell>
        </row>
        <row r="161">
          <cell r="BA161">
            <v>109997.75</v>
          </cell>
          <cell r="BB161">
            <v>21057.420000000002</v>
          </cell>
          <cell r="BC161">
            <v>-1683.1700000000003</v>
          </cell>
          <cell r="BE161">
            <v>3875.02</v>
          </cell>
          <cell r="BK161">
            <v>133247.01999999999</v>
          </cell>
        </row>
        <row r="162">
          <cell r="BB162">
            <v>33404.32</v>
          </cell>
          <cell r="BC162">
            <v>129718.5</v>
          </cell>
          <cell r="BD162">
            <v>23584.829999999998</v>
          </cell>
          <cell r="BE162">
            <v>28487.09</v>
          </cell>
          <cell r="BF162">
            <v>104182.36000000002</v>
          </cell>
          <cell r="BG162">
            <v>52542.270000000004</v>
          </cell>
          <cell r="BH162">
            <v>14.450000000000291</v>
          </cell>
          <cell r="BI162">
            <v>2981.8900000000003</v>
          </cell>
          <cell r="BJ162">
            <v>2410.79</v>
          </cell>
          <cell r="BK162">
            <v>377326.5</v>
          </cell>
        </row>
        <row r="163">
          <cell r="BB163">
            <v>4524.33</v>
          </cell>
          <cell r="BC163">
            <v>65668.960000000006</v>
          </cell>
          <cell r="BD163">
            <v>271472.79000000004</v>
          </cell>
          <cell r="BE163">
            <v>168068.56999999992</v>
          </cell>
          <cell r="BF163">
            <v>104797.65999999999</v>
          </cell>
          <cell r="BG163">
            <v>87713.150000000009</v>
          </cell>
          <cell r="BH163">
            <v>0</v>
          </cell>
          <cell r="BI163">
            <v>5069.7300000000005</v>
          </cell>
          <cell r="BJ163">
            <v>27779.13</v>
          </cell>
          <cell r="BK163">
            <v>735094.32000000007</v>
          </cell>
        </row>
        <row r="164">
          <cell r="BB164">
            <v>54640.700000000004</v>
          </cell>
          <cell r="BC164">
            <v>38509.880000000005</v>
          </cell>
          <cell r="BD164">
            <v>263555.26</v>
          </cell>
          <cell r="BE164">
            <v>116860.22000000002</v>
          </cell>
          <cell r="BF164">
            <v>48325.849999999991</v>
          </cell>
          <cell r="BG164">
            <v>128028.58</v>
          </cell>
          <cell r="BH164">
            <v>0</v>
          </cell>
          <cell r="BI164">
            <v>10358.780000000001</v>
          </cell>
          <cell r="BK164">
            <v>660279.27</v>
          </cell>
        </row>
        <row r="165">
          <cell r="BB165">
            <v>131614.61999999997</v>
          </cell>
          <cell r="BC165">
            <v>16103.19</v>
          </cell>
          <cell r="BK165">
            <v>147717.80999999997</v>
          </cell>
        </row>
        <row r="166">
          <cell r="BC166">
            <v>25327.040000000001</v>
          </cell>
          <cell r="BD166">
            <v>77961.12000000001</v>
          </cell>
          <cell r="BE166">
            <v>25865.889999999996</v>
          </cell>
          <cell r="BF166">
            <v>41352.320000000007</v>
          </cell>
          <cell r="BG166">
            <v>77495.649999999994</v>
          </cell>
          <cell r="BH166">
            <v>30190.01</v>
          </cell>
          <cell r="BI166">
            <v>371.8</v>
          </cell>
          <cell r="BJ166">
            <v>1477.69</v>
          </cell>
          <cell r="BK166">
            <v>280041.51999999996</v>
          </cell>
        </row>
        <row r="167">
          <cell r="BC167">
            <v>3461.8299999999995</v>
          </cell>
          <cell r="BD167">
            <v>20.37</v>
          </cell>
          <cell r="BE167">
            <v>21.4</v>
          </cell>
          <cell r="BF167">
            <v>4137.1100000000006</v>
          </cell>
          <cell r="BG167">
            <v>44.59</v>
          </cell>
          <cell r="BH167">
            <v>11656.990000000002</v>
          </cell>
          <cell r="BI167">
            <v>42405.240000000005</v>
          </cell>
          <cell r="BJ167">
            <v>330004.82</v>
          </cell>
          <cell r="BK167">
            <v>391752.35000000003</v>
          </cell>
        </row>
        <row r="168">
          <cell r="BC168">
            <v>29164.620000000003</v>
          </cell>
          <cell r="BD168">
            <v>128738.20999999999</v>
          </cell>
          <cell r="BE168">
            <v>12688.410000000002</v>
          </cell>
          <cell r="BF168">
            <v>1319.01</v>
          </cell>
          <cell r="BG168">
            <v>65342.720000000001</v>
          </cell>
          <cell r="BH168">
            <v>1760.5500000000002</v>
          </cell>
          <cell r="BI168">
            <v>15755.33</v>
          </cell>
          <cell r="BJ168">
            <v>29693.15</v>
          </cell>
          <cell r="BK168">
            <v>284462</v>
          </cell>
        </row>
        <row r="169">
          <cell r="BC169">
            <v>28721.489999999998</v>
          </cell>
          <cell r="BD169">
            <v>55112.920000000013</v>
          </cell>
          <cell r="BE169">
            <v>35589.770000000011</v>
          </cell>
          <cell r="BF169">
            <v>121185.67</v>
          </cell>
          <cell r="BG169">
            <v>92525.119999999995</v>
          </cell>
          <cell r="BH169">
            <v>-3924.6800000000003</v>
          </cell>
          <cell r="BI169">
            <v>22894.829999999998</v>
          </cell>
          <cell r="BK169">
            <v>352105.12000000005</v>
          </cell>
        </row>
        <row r="170">
          <cell r="BD170">
            <v>10210.43</v>
          </cell>
          <cell r="BE170">
            <v>63.110000000000582</v>
          </cell>
          <cell r="BF170">
            <v>21691.759999999998</v>
          </cell>
          <cell r="BG170">
            <v>83126.81</v>
          </cell>
          <cell r="BH170">
            <v>346.52999999999952</v>
          </cell>
          <cell r="BI170">
            <v>52553.859999999993</v>
          </cell>
          <cell r="BJ170">
            <v>91951.470000000016</v>
          </cell>
          <cell r="BK170">
            <v>259943.97000000003</v>
          </cell>
        </row>
        <row r="171">
          <cell r="BD171">
            <v>10477.26</v>
          </cell>
          <cell r="BE171">
            <v>3987.17</v>
          </cell>
          <cell r="BF171">
            <v>84.710000000000008</v>
          </cell>
          <cell r="BG171">
            <v>17060.22</v>
          </cell>
          <cell r="BH171">
            <v>50366.18</v>
          </cell>
          <cell r="BI171">
            <v>77683.16</v>
          </cell>
          <cell r="BJ171">
            <v>101219.86000000003</v>
          </cell>
          <cell r="BK171">
            <v>260878.56000000006</v>
          </cell>
        </row>
        <row r="172">
          <cell r="BD172">
            <v>15264.220000000001</v>
          </cell>
          <cell r="BE172">
            <v>21073.82</v>
          </cell>
          <cell r="BF172">
            <v>56256.02</v>
          </cell>
          <cell r="BG172">
            <v>103460.12999999999</v>
          </cell>
          <cell r="BH172">
            <v>11400.449999999997</v>
          </cell>
          <cell r="BI172">
            <v>25376.05</v>
          </cell>
          <cell r="BJ172">
            <v>5029.5</v>
          </cell>
          <cell r="BK172">
            <v>237860.19</v>
          </cell>
        </row>
        <row r="173">
          <cell r="BD173">
            <v>22941.319999999996</v>
          </cell>
          <cell r="BE173">
            <v>141.82</v>
          </cell>
          <cell r="BF173">
            <v>134.96</v>
          </cell>
          <cell r="BG173">
            <v>59081.109999999993</v>
          </cell>
          <cell r="BH173">
            <v>64833.350000000006</v>
          </cell>
          <cell r="BI173">
            <v>72457.300000000017</v>
          </cell>
          <cell r="BJ173">
            <v>104130.47</v>
          </cell>
          <cell r="BK173">
            <v>323720.33</v>
          </cell>
        </row>
        <row r="174">
          <cell r="BD174">
            <v>9754.1400000000012</v>
          </cell>
          <cell r="BE174">
            <v>18845.04</v>
          </cell>
          <cell r="BF174">
            <v>15622.069999999998</v>
          </cell>
          <cell r="BG174">
            <v>123964.72</v>
          </cell>
          <cell r="BH174">
            <v>30260.61</v>
          </cell>
          <cell r="BI174">
            <v>25592.3</v>
          </cell>
          <cell r="BJ174">
            <v>9229.3299999999981</v>
          </cell>
          <cell r="BK174">
            <v>233268.21</v>
          </cell>
        </row>
        <row r="175">
          <cell r="BE175">
            <v>59022.37999999999</v>
          </cell>
          <cell r="BF175">
            <v>64746.130000000005</v>
          </cell>
          <cell r="BG175">
            <v>144073.24000000002</v>
          </cell>
          <cell r="BH175">
            <v>166548.01999999999</v>
          </cell>
          <cell r="BI175">
            <v>186317.82</v>
          </cell>
          <cell r="BJ175">
            <v>152052.60999999999</v>
          </cell>
          <cell r="BK175">
            <v>772760.20000000007</v>
          </cell>
        </row>
        <row r="176">
          <cell r="BE176">
            <v>52322.240000000005</v>
          </cell>
          <cell r="BF176">
            <v>49989.070000000014</v>
          </cell>
          <cell r="BG176">
            <v>325402.23</v>
          </cell>
          <cell r="BH176">
            <v>31770.720000000016</v>
          </cell>
          <cell r="BI176">
            <v>14952.35</v>
          </cell>
          <cell r="BJ176">
            <v>51752.800000000003</v>
          </cell>
          <cell r="BK176">
            <v>526189.41</v>
          </cell>
        </row>
        <row r="177">
          <cell r="BE177">
            <v>3790.7400000000002</v>
          </cell>
          <cell r="BF177">
            <v>43291.360000000001</v>
          </cell>
          <cell r="BG177">
            <v>86270.690000000017</v>
          </cell>
          <cell r="BH177">
            <v>78123.440000000017</v>
          </cell>
          <cell r="BI177">
            <v>189414.78999999998</v>
          </cell>
          <cell r="BJ177">
            <v>242976.2</v>
          </cell>
          <cell r="BK177">
            <v>643867.22</v>
          </cell>
        </row>
        <row r="178">
          <cell r="BF178">
            <v>8229.19</v>
          </cell>
          <cell r="BG178">
            <v>5918.9299999999994</v>
          </cell>
          <cell r="BH178">
            <v>20755.349999999999</v>
          </cell>
          <cell r="BI178">
            <v>6543.7000000000007</v>
          </cell>
          <cell r="BJ178">
            <v>2275.4300000000003</v>
          </cell>
          <cell r="BK178">
            <v>43722.6</v>
          </cell>
        </row>
        <row r="179">
          <cell r="BG179">
            <v>225558.58</v>
          </cell>
          <cell r="BH179">
            <v>128867.78</v>
          </cell>
          <cell r="BI179">
            <v>61084.98000000001</v>
          </cell>
          <cell r="BJ179">
            <v>4879.4299999999994</v>
          </cell>
          <cell r="BK179">
            <v>420390.76999999996</v>
          </cell>
        </row>
        <row r="180">
          <cell r="BG180">
            <v>53763.64</v>
          </cell>
          <cell r="BH180">
            <v>138126.76</v>
          </cell>
          <cell r="BI180">
            <v>217004.86999999997</v>
          </cell>
          <cell r="BJ180">
            <v>48891.960000000006</v>
          </cell>
          <cell r="BK180">
            <v>457787.23000000004</v>
          </cell>
        </row>
        <row r="181">
          <cell r="BH181">
            <v>22501.850000000002</v>
          </cell>
          <cell r="BI181">
            <v>45670.2</v>
          </cell>
          <cell r="BJ181">
            <v>48454.43</v>
          </cell>
          <cell r="BK181">
            <v>116626.48000000001</v>
          </cell>
        </row>
        <row r="182">
          <cell r="G182">
            <v>117409.84</v>
          </cell>
          <cell r="H182">
            <v>284477.37</v>
          </cell>
          <cell r="I182">
            <v>1097213.75</v>
          </cell>
          <cell r="J182">
            <v>807564.62999999989</v>
          </cell>
          <cell r="K182">
            <v>1067237.1799999997</v>
          </cell>
          <cell r="L182">
            <v>2072110.1</v>
          </cell>
          <cell r="M182">
            <v>1727656.98</v>
          </cell>
          <cell r="N182">
            <v>3627989.3800000008</v>
          </cell>
          <cell r="O182">
            <v>1425658.8699999996</v>
          </cell>
          <cell r="P182">
            <v>1444157.6000000006</v>
          </cell>
          <cell r="Q182">
            <v>2403394.8599999994</v>
          </cell>
          <cell r="R182">
            <v>2011738.5800000005</v>
          </cell>
          <cell r="S182">
            <v>1943953.0599999998</v>
          </cell>
          <cell r="T182">
            <v>2250374.5900000003</v>
          </cell>
          <cell r="U182">
            <v>1550858.9100000008</v>
          </cell>
          <cell r="V182">
            <v>1175521.9200000002</v>
          </cell>
          <cell r="W182">
            <v>1012605.4999999998</v>
          </cell>
          <cell r="X182">
            <v>1275410.3500000001</v>
          </cell>
          <cell r="Y182">
            <v>769173.1100000001</v>
          </cell>
          <cell r="Z182">
            <v>1147778.6900000004</v>
          </cell>
          <cell r="AA182">
            <v>255488.11000000002</v>
          </cell>
          <cell r="AB182">
            <v>4112.3999999999996</v>
          </cell>
          <cell r="AC182">
            <v>495050.05</v>
          </cell>
          <cell r="AD182">
            <v>744819.51</v>
          </cell>
          <cell r="AE182">
            <v>849891.33999999985</v>
          </cell>
          <cell r="AF182">
            <v>803129.49000000011</v>
          </cell>
          <cell r="AG182">
            <v>702186.80999999994</v>
          </cell>
          <cell r="AH182">
            <v>690462.34000000008</v>
          </cell>
          <cell r="AI182">
            <v>770788.82000000007</v>
          </cell>
          <cell r="AJ182">
            <v>631320.68000000005</v>
          </cell>
          <cell r="AK182">
            <v>516591.51000000007</v>
          </cell>
          <cell r="AL182">
            <v>622100.71</v>
          </cell>
          <cell r="AM182">
            <v>87899.76</v>
          </cell>
          <cell r="AN182">
            <v>159474.92000000001</v>
          </cell>
          <cell r="AO182">
            <v>597652.93000000005</v>
          </cell>
          <cell r="AP182">
            <v>813839.21000000031</v>
          </cell>
          <cell r="AQ182">
            <v>1424077.3299999996</v>
          </cell>
          <cell r="AR182">
            <v>1641720.04</v>
          </cell>
          <cell r="AS182">
            <v>1426867.12</v>
          </cell>
          <cell r="AT182">
            <v>1989168.97</v>
          </cell>
          <cell r="AU182">
            <v>2964493.9199999995</v>
          </cell>
          <cell r="AV182">
            <v>1286914.1099999999</v>
          </cell>
          <cell r="AW182">
            <v>1403700.8499999999</v>
          </cell>
          <cell r="AX182">
            <v>1765645.7999999996</v>
          </cell>
          <cell r="AY182">
            <v>226730.11</v>
          </cell>
          <cell r="AZ182">
            <v>723969.55</v>
          </cell>
          <cell r="BA182">
            <v>2846398.8100000005</v>
          </cell>
          <cell r="BB182">
            <v>755057.75999999989</v>
          </cell>
          <cell r="BC182">
            <v>1883102.0999999999</v>
          </cell>
          <cell r="BD182">
            <v>2770491.84</v>
          </cell>
          <cell r="BE182">
            <v>1049619.56</v>
          </cell>
          <cell r="BF182">
            <v>1565567.5300000003</v>
          </cell>
          <cell r="BG182">
            <v>2879170.2100000004</v>
          </cell>
          <cell r="BH182">
            <v>1247606.79</v>
          </cell>
          <cell r="BI182">
            <v>1741149.79</v>
          </cell>
          <cell r="BJ182">
            <v>1925713.1499999997</v>
          </cell>
          <cell r="BK182">
            <v>71474259.200000018</v>
          </cell>
        </row>
      </sheetData>
      <sheetData sheetId="6"/>
      <sheetData sheetId="7">
        <row r="1">
          <cell r="A1" t="str">
            <v>BUS_MO_L</v>
          </cell>
          <cell r="B1" t="str">
            <v>EFF_DTE_L</v>
          </cell>
          <cell r="C1" t="str">
            <v>INTRNL_CO_ID_C</v>
          </cell>
          <cell r="D1" t="str">
            <v>BUS_ID_C</v>
          </cell>
          <cell r="E1" t="str">
            <v>AFUDC_ANL_DBT_RT_F</v>
          </cell>
          <cell r="F1" t="str">
            <v>AFUDC_ANL_EQT_RT_F</v>
          </cell>
        </row>
        <row r="2">
          <cell r="A2">
            <v>41244</v>
          </cell>
          <cell r="B2">
            <v>41244</v>
          </cell>
          <cell r="C2" t="str">
            <v>01</v>
          </cell>
          <cell r="D2" t="str">
            <v>G</v>
          </cell>
          <cell r="E2">
            <v>2.2000000000000001E-3</v>
          </cell>
          <cell r="F2">
            <v>4.4000000000000003E-3</v>
          </cell>
        </row>
        <row r="3">
          <cell r="A3">
            <v>41214</v>
          </cell>
          <cell r="B3">
            <v>41214</v>
          </cell>
          <cell r="C3" t="str">
            <v>01</v>
          </cell>
          <cell r="D3" t="str">
            <v>G</v>
          </cell>
          <cell r="E3">
            <v>2.0999999999999999E-3</v>
          </cell>
          <cell r="F3">
            <v>4.4000000000000003E-3</v>
          </cell>
        </row>
        <row r="4">
          <cell r="A4">
            <v>41183</v>
          </cell>
          <cell r="B4">
            <v>41183</v>
          </cell>
          <cell r="C4" t="str">
            <v>02</v>
          </cell>
          <cell r="D4" t="str">
            <v>G</v>
          </cell>
          <cell r="E4">
            <v>2.0999999999999999E-3</v>
          </cell>
          <cell r="F4">
            <v>4.4000000000000003E-3</v>
          </cell>
        </row>
        <row r="5">
          <cell r="A5">
            <v>41153</v>
          </cell>
          <cell r="B5">
            <v>41153</v>
          </cell>
          <cell r="C5" t="str">
            <v>02</v>
          </cell>
          <cell r="D5" t="str">
            <v>G</v>
          </cell>
          <cell r="E5">
            <v>1.9E-3</v>
          </cell>
          <cell r="F5">
            <v>4.0000000000000001E-3</v>
          </cell>
        </row>
        <row r="6">
          <cell r="A6">
            <v>41122</v>
          </cell>
          <cell r="B6">
            <v>41122</v>
          </cell>
          <cell r="C6" t="str">
            <v>02</v>
          </cell>
          <cell r="D6" t="str">
            <v>G</v>
          </cell>
          <cell r="E6">
            <v>1.9E-3</v>
          </cell>
          <cell r="F6">
            <v>4.0000000000000001E-3</v>
          </cell>
        </row>
        <row r="7">
          <cell r="A7">
            <v>41091</v>
          </cell>
          <cell r="B7">
            <v>41091</v>
          </cell>
          <cell r="C7" t="str">
            <v>02</v>
          </cell>
          <cell r="D7" t="str">
            <v>G</v>
          </cell>
          <cell r="E7">
            <v>2E-3</v>
          </cell>
          <cell r="F7">
            <v>4.1999999999999997E-3</v>
          </cell>
        </row>
        <row r="8">
          <cell r="A8">
            <v>41061</v>
          </cell>
          <cell r="B8">
            <v>41061</v>
          </cell>
          <cell r="C8" t="str">
            <v>02</v>
          </cell>
          <cell r="D8" t="str">
            <v>G</v>
          </cell>
          <cell r="E8">
            <v>1.9E-3</v>
          </cell>
          <cell r="F8">
            <v>4.0000000000000001E-3</v>
          </cell>
        </row>
        <row r="9">
          <cell r="A9">
            <v>41030</v>
          </cell>
          <cell r="B9">
            <v>41030</v>
          </cell>
          <cell r="C9" t="str">
            <v>02</v>
          </cell>
          <cell r="D9" t="str">
            <v>G</v>
          </cell>
          <cell r="E9">
            <v>1.9E-3</v>
          </cell>
          <cell r="F9">
            <v>3.8999999999999998E-3</v>
          </cell>
        </row>
        <row r="10">
          <cell r="A10">
            <v>41000</v>
          </cell>
          <cell r="B10">
            <v>41000</v>
          </cell>
          <cell r="C10" t="str">
            <v>02</v>
          </cell>
          <cell r="D10" t="str">
            <v>G</v>
          </cell>
          <cell r="E10">
            <v>1.9E-3</v>
          </cell>
          <cell r="F10">
            <v>4.0000000000000001E-3</v>
          </cell>
        </row>
        <row r="11">
          <cell r="A11">
            <v>40969</v>
          </cell>
          <cell r="B11">
            <v>40969</v>
          </cell>
          <cell r="C11" t="str">
            <v>02</v>
          </cell>
          <cell r="D11" t="str">
            <v>G</v>
          </cell>
          <cell r="E11">
            <v>1.9E-3</v>
          </cell>
          <cell r="F11">
            <v>4.0000000000000001E-3</v>
          </cell>
        </row>
        <row r="12">
          <cell r="A12">
            <v>40940</v>
          </cell>
          <cell r="B12">
            <v>40940</v>
          </cell>
          <cell r="C12" t="str">
            <v>02</v>
          </cell>
          <cell r="D12" t="str">
            <v>G</v>
          </cell>
          <cell r="E12">
            <v>1.6999999999999999E-3</v>
          </cell>
          <cell r="F12">
            <v>3.3999999999999998E-3</v>
          </cell>
        </row>
        <row r="13">
          <cell r="A13">
            <v>40909</v>
          </cell>
          <cell r="B13">
            <v>40909</v>
          </cell>
          <cell r="C13" t="str">
            <v>02</v>
          </cell>
          <cell r="D13" t="str">
            <v>G</v>
          </cell>
          <cell r="E13">
            <v>2.2000000000000001E-3</v>
          </cell>
          <cell r="F13">
            <v>4.4999999999999997E-3</v>
          </cell>
        </row>
        <row r="14">
          <cell r="A14">
            <v>40878</v>
          </cell>
          <cell r="B14">
            <v>40878</v>
          </cell>
          <cell r="C14" t="str">
            <v>02</v>
          </cell>
          <cell r="D14" t="str">
            <v>G</v>
          </cell>
          <cell r="E14">
            <v>4.0000000000000002E-4</v>
          </cell>
          <cell r="F14">
            <v>1E-4</v>
          </cell>
        </row>
        <row r="15">
          <cell r="A15">
            <v>40848</v>
          </cell>
          <cell r="B15">
            <v>40848</v>
          </cell>
          <cell r="C15" t="str">
            <v>02</v>
          </cell>
          <cell r="D15" t="str">
            <v>G</v>
          </cell>
          <cell r="E15">
            <v>4.0000000000000002E-4</v>
          </cell>
          <cell r="F15">
            <v>1E-4</v>
          </cell>
        </row>
        <row r="16">
          <cell r="A16">
            <v>40817</v>
          </cell>
          <cell r="B16">
            <v>40817</v>
          </cell>
          <cell r="C16" t="str">
            <v>02</v>
          </cell>
          <cell r="D16" t="str">
            <v>G</v>
          </cell>
          <cell r="E16">
            <v>4.0000000000000002E-4</v>
          </cell>
          <cell r="F16">
            <v>1E-4</v>
          </cell>
        </row>
        <row r="17">
          <cell r="A17">
            <v>40787</v>
          </cell>
          <cell r="B17">
            <v>40787</v>
          </cell>
          <cell r="C17" t="str">
            <v>02</v>
          </cell>
          <cell r="D17" t="str">
            <v>G</v>
          </cell>
          <cell r="E17">
            <v>4.0000000000000002E-4</v>
          </cell>
          <cell r="F17">
            <v>1E-4</v>
          </cell>
        </row>
        <row r="18">
          <cell r="A18">
            <v>40756</v>
          </cell>
          <cell r="B18">
            <v>40756</v>
          </cell>
          <cell r="C18" t="str">
            <v>02</v>
          </cell>
          <cell r="D18" t="str">
            <v>G</v>
          </cell>
          <cell r="E18">
            <v>4.0000000000000002E-4</v>
          </cell>
          <cell r="F18">
            <v>1E-4</v>
          </cell>
        </row>
        <row r="19">
          <cell r="A19">
            <v>40725</v>
          </cell>
          <cell r="B19">
            <v>40725</v>
          </cell>
          <cell r="C19" t="str">
            <v>02</v>
          </cell>
          <cell r="D19" t="str">
            <v>G</v>
          </cell>
          <cell r="E19">
            <v>4.0000000000000002E-4</v>
          </cell>
          <cell r="F19">
            <v>1E-4</v>
          </cell>
        </row>
        <row r="20">
          <cell r="A20">
            <v>40695</v>
          </cell>
          <cell r="B20">
            <v>40695</v>
          </cell>
          <cell r="C20" t="str">
            <v>02</v>
          </cell>
          <cell r="D20" t="str">
            <v>G</v>
          </cell>
          <cell r="E20">
            <v>4.0000000000000002E-4</v>
          </cell>
          <cell r="F20">
            <v>1E-4</v>
          </cell>
        </row>
        <row r="21">
          <cell r="A21">
            <v>40664</v>
          </cell>
          <cell r="B21">
            <v>40664</v>
          </cell>
          <cell r="C21" t="str">
            <v>02</v>
          </cell>
          <cell r="D21" t="str">
            <v>G</v>
          </cell>
          <cell r="E21">
            <v>4.0000000000000002E-4</v>
          </cell>
          <cell r="F21">
            <v>1E-4</v>
          </cell>
        </row>
        <row r="22">
          <cell r="A22">
            <v>40634</v>
          </cell>
          <cell r="B22">
            <v>40634</v>
          </cell>
          <cell r="C22" t="str">
            <v>02</v>
          </cell>
          <cell r="D22" t="str">
            <v>G</v>
          </cell>
          <cell r="E22">
            <v>4.0000000000000002E-4</v>
          </cell>
          <cell r="F22">
            <v>1E-4</v>
          </cell>
        </row>
        <row r="23">
          <cell r="A23">
            <v>40603</v>
          </cell>
          <cell r="B23">
            <v>40603</v>
          </cell>
          <cell r="C23" t="str">
            <v>02</v>
          </cell>
          <cell r="D23" t="str">
            <v>G</v>
          </cell>
          <cell r="E23">
            <v>4.0000000000000002E-4</v>
          </cell>
          <cell r="F23">
            <v>1E-4</v>
          </cell>
        </row>
        <row r="24">
          <cell r="A24">
            <v>40575</v>
          </cell>
          <cell r="B24">
            <v>40575</v>
          </cell>
          <cell r="C24" t="str">
            <v>02</v>
          </cell>
          <cell r="D24" t="str">
            <v>G</v>
          </cell>
          <cell r="E24">
            <v>4.0000000000000002E-4</v>
          </cell>
          <cell r="F24">
            <v>1E-4</v>
          </cell>
        </row>
        <row r="25">
          <cell r="A25">
            <v>40544</v>
          </cell>
          <cell r="B25">
            <v>40544</v>
          </cell>
          <cell r="C25" t="str">
            <v>02</v>
          </cell>
          <cell r="D25" t="str">
            <v>G</v>
          </cell>
          <cell r="E25">
            <v>4.0000000000000002E-4</v>
          </cell>
          <cell r="F25">
            <v>1E-4</v>
          </cell>
        </row>
        <row r="26">
          <cell r="A26">
            <v>40513</v>
          </cell>
          <cell r="B26">
            <v>40513</v>
          </cell>
          <cell r="C26" t="str">
            <v>02</v>
          </cell>
          <cell r="D26" t="str">
            <v>G</v>
          </cell>
          <cell r="E26">
            <v>2.9999999999999997E-4</v>
          </cell>
          <cell r="F26">
            <v>0</v>
          </cell>
        </row>
        <row r="27">
          <cell r="A27">
            <v>40483</v>
          </cell>
          <cell r="B27">
            <v>40483</v>
          </cell>
          <cell r="C27" t="str">
            <v>02</v>
          </cell>
          <cell r="D27" t="str">
            <v>G</v>
          </cell>
          <cell r="E27">
            <v>2.9999999999999997E-4</v>
          </cell>
          <cell r="F27">
            <v>0</v>
          </cell>
        </row>
        <row r="28">
          <cell r="A28">
            <v>40452</v>
          </cell>
          <cell r="B28">
            <v>40452</v>
          </cell>
          <cell r="C28" t="str">
            <v>02</v>
          </cell>
          <cell r="D28" t="str">
            <v>G</v>
          </cell>
          <cell r="E28">
            <v>2.9999999999999997E-4</v>
          </cell>
          <cell r="F28">
            <v>0</v>
          </cell>
        </row>
        <row r="29">
          <cell r="A29">
            <v>40422</v>
          </cell>
          <cell r="B29">
            <v>40422</v>
          </cell>
          <cell r="C29" t="str">
            <v>02</v>
          </cell>
          <cell r="D29" t="str">
            <v>G</v>
          </cell>
          <cell r="E29">
            <v>2.9999999999999997E-4</v>
          </cell>
          <cell r="F29">
            <v>0</v>
          </cell>
        </row>
        <row r="30">
          <cell r="A30">
            <v>40391</v>
          </cell>
          <cell r="B30">
            <v>40391</v>
          </cell>
          <cell r="C30" t="str">
            <v>02</v>
          </cell>
          <cell r="D30" t="str">
            <v>G</v>
          </cell>
          <cell r="E30">
            <v>2.9999999999999997E-4</v>
          </cell>
          <cell r="F30">
            <v>0</v>
          </cell>
        </row>
        <row r="31">
          <cell r="A31">
            <v>40360</v>
          </cell>
          <cell r="B31">
            <v>40360</v>
          </cell>
          <cell r="C31" t="str">
            <v>02</v>
          </cell>
          <cell r="D31" t="str">
            <v>G</v>
          </cell>
          <cell r="E31">
            <v>2.9999999999999997E-4</v>
          </cell>
          <cell r="F31">
            <v>0</v>
          </cell>
        </row>
        <row r="32">
          <cell r="A32">
            <v>40330</v>
          </cell>
          <cell r="B32">
            <v>40330</v>
          </cell>
          <cell r="C32" t="str">
            <v>02</v>
          </cell>
          <cell r="D32" t="str">
            <v>G</v>
          </cell>
          <cell r="E32">
            <v>2.9999999999999997E-4</v>
          </cell>
          <cell r="F32">
            <v>0</v>
          </cell>
        </row>
        <row r="33">
          <cell r="A33">
            <v>40299</v>
          </cell>
          <cell r="B33">
            <v>40299</v>
          </cell>
          <cell r="C33" t="str">
            <v>02</v>
          </cell>
          <cell r="D33" t="str">
            <v>G</v>
          </cell>
          <cell r="E33">
            <v>2.9999999999999997E-4</v>
          </cell>
          <cell r="F33">
            <v>0</v>
          </cell>
        </row>
        <row r="34">
          <cell r="A34">
            <v>40269</v>
          </cell>
          <cell r="B34">
            <v>40269</v>
          </cell>
          <cell r="C34" t="str">
            <v>02</v>
          </cell>
          <cell r="D34" t="str">
            <v>G</v>
          </cell>
          <cell r="E34">
            <v>2.9999999999999997E-4</v>
          </cell>
          <cell r="F34">
            <v>0</v>
          </cell>
        </row>
        <row r="35">
          <cell r="A35">
            <v>40238</v>
          </cell>
          <cell r="B35">
            <v>40238</v>
          </cell>
          <cell r="C35" t="str">
            <v>02</v>
          </cell>
          <cell r="D35" t="str">
            <v>G</v>
          </cell>
          <cell r="E35">
            <v>2.9999999999999997E-4</v>
          </cell>
          <cell r="F35">
            <v>0</v>
          </cell>
        </row>
        <row r="36">
          <cell r="A36">
            <v>40210</v>
          </cell>
          <cell r="B36">
            <v>40210</v>
          </cell>
          <cell r="C36" t="str">
            <v>02</v>
          </cell>
          <cell r="D36" t="str">
            <v>G</v>
          </cell>
          <cell r="E36">
            <v>2.9999999999999997E-4</v>
          </cell>
          <cell r="F36">
            <v>0</v>
          </cell>
        </row>
        <row r="37">
          <cell r="A37">
            <v>40179</v>
          </cell>
          <cell r="B37">
            <v>40179</v>
          </cell>
          <cell r="C37" t="str">
            <v>02</v>
          </cell>
          <cell r="D37" t="str">
            <v>G</v>
          </cell>
          <cell r="E37">
            <v>2.9999999999999997E-4</v>
          </cell>
          <cell r="F37">
            <v>0</v>
          </cell>
        </row>
        <row r="38">
          <cell r="A38">
            <v>40148</v>
          </cell>
          <cell r="B38">
            <v>40148</v>
          </cell>
          <cell r="C38" t="str">
            <v>02</v>
          </cell>
          <cell r="D38" t="str">
            <v>G</v>
          </cell>
          <cell r="E38">
            <v>1.5E-3</v>
          </cell>
          <cell r="F38">
            <v>1.8E-3</v>
          </cell>
        </row>
        <row r="39">
          <cell r="A39">
            <v>40118</v>
          </cell>
          <cell r="B39">
            <v>40118</v>
          </cell>
          <cell r="C39" t="str">
            <v>02</v>
          </cell>
          <cell r="D39" t="str">
            <v>G</v>
          </cell>
          <cell r="E39">
            <v>1.5E-3</v>
          </cell>
          <cell r="F39">
            <v>1.8E-3</v>
          </cell>
        </row>
        <row r="40">
          <cell r="A40">
            <v>40087</v>
          </cell>
          <cell r="B40">
            <v>40087</v>
          </cell>
          <cell r="C40" t="str">
            <v>02</v>
          </cell>
          <cell r="D40" t="str">
            <v>G</v>
          </cell>
          <cell r="E40">
            <v>1.5E-3</v>
          </cell>
          <cell r="F40">
            <v>1.8E-3</v>
          </cell>
        </row>
        <row r="41">
          <cell r="A41">
            <v>40057</v>
          </cell>
          <cell r="B41">
            <v>40057</v>
          </cell>
          <cell r="C41" t="str">
            <v>02</v>
          </cell>
          <cell r="D41" t="str">
            <v>G</v>
          </cell>
          <cell r="E41">
            <v>1.5E-3</v>
          </cell>
          <cell r="F41">
            <v>1.8E-3</v>
          </cell>
        </row>
        <row r="42">
          <cell r="A42">
            <v>40026</v>
          </cell>
          <cell r="B42">
            <v>40026</v>
          </cell>
          <cell r="C42" t="str">
            <v>02</v>
          </cell>
          <cell r="D42" t="str">
            <v>G</v>
          </cell>
          <cell r="E42">
            <v>1.5E-3</v>
          </cell>
          <cell r="F42">
            <v>1.8E-3</v>
          </cell>
        </row>
        <row r="43">
          <cell r="A43">
            <v>39995</v>
          </cell>
          <cell r="B43">
            <v>39995</v>
          </cell>
          <cell r="C43" t="str">
            <v>02</v>
          </cell>
          <cell r="D43" t="str">
            <v>G</v>
          </cell>
          <cell r="E43">
            <v>1.5E-3</v>
          </cell>
          <cell r="F43">
            <v>1.8E-3</v>
          </cell>
        </row>
        <row r="44">
          <cell r="A44">
            <v>39965</v>
          </cell>
          <cell r="B44">
            <v>39965</v>
          </cell>
          <cell r="C44" t="str">
            <v>02</v>
          </cell>
          <cell r="D44" t="str">
            <v>G</v>
          </cell>
          <cell r="E44">
            <v>1.5E-3</v>
          </cell>
          <cell r="F44">
            <v>1.8E-3</v>
          </cell>
        </row>
        <row r="45">
          <cell r="A45">
            <v>39934</v>
          </cell>
          <cell r="B45">
            <v>39934</v>
          </cell>
          <cell r="C45" t="str">
            <v>02</v>
          </cell>
          <cell r="D45" t="str">
            <v>G</v>
          </cell>
          <cell r="E45">
            <v>1.5E-3</v>
          </cell>
          <cell r="F45">
            <v>1.8E-3</v>
          </cell>
        </row>
        <row r="46">
          <cell r="A46">
            <v>39904</v>
          </cell>
          <cell r="B46">
            <v>39904</v>
          </cell>
          <cell r="C46" t="str">
            <v>02</v>
          </cell>
          <cell r="D46" t="str">
            <v>G</v>
          </cell>
          <cell r="E46">
            <v>1.5E-3</v>
          </cell>
          <cell r="F46">
            <v>1.8E-3</v>
          </cell>
        </row>
        <row r="47">
          <cell r="A47">
            <v>39873</v>
          </cell>
          <cell r="B47">
            <v>39873</v>
          </cell>
          <cell r="C47" t="str">
            <v>02</v>
          </cell>
          <cell r="D47" t="str">
            <v>G</v>
          </cell>
          <cell r="E47">
            <v>1.5E-3</v>
          </cell>
          <cell r="F47">
            <v>1.8E-3</v>
          </cell>
        </row>
        <row r="48">
          <cell r="A48">
            <v>39845</v>
          </cell>
          <cell r="B48">
            <v>39845</v>
          </cell>
          <cell r="C48" t="str">
            <v>02</v>
          </cell>
          <cell r="D48" t="str">
            <v>G</v>
          </cell>
          <cell r="E48">
            <v>1.5E-3</v>
          </cell>
          <cell r="F48">
            <v>1.8E-3</v>
          </cell>
        </row>
        <row r="49">
          <cell r="A49">
            <v>39814</v>
          </cell>
          <cell r="B49">
            <v>39814</v>
          </cell>
          <cell r="C49" t="str">
            <v>02</v>
          </cell>
          <cell r="D49" t="str">
            <v>G</v>
          </cell>
          <cell r="E49">
            <v>1.5E-3</v>
          </cell>
          <cell r="F49">
            <v>1.8E-3</v>
          </cell>
        </row>
      </sheetData>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AGE"/>
      <sheetName val="SUMMARY CALC"/>
      <sheetName val="PIS AFUDC PIVOT"/>
      <sheetName val="Bucket"/>
      <sheetName val="PIS AFUDC"/>
      <sheetName val="CHARGE PIVOT"/>
      <sheetName val="Charges"/>
      <sheetName val="AFUDC Rates"/>
      <sheetName val="WO Select Query"/>
      <sheetName val="WO Select Pivot"/>
      <sheetName val="Press Release"/>
      <sheetName val="Procedures"/>
      <sheetName val="Summary for Projection"/>
    </sheetNames>
    <sheetDataSet>
      <sheetData sheetId="0"/>
      <sheetData sheetId="1"/>
      <sheetData sheetId="2">
        <row r="5">
          <cell r="B5" t="str">
            <v>(blank)</v>
          </cell>
          <cell r="C5">
            <v>0</v>
          </cell>
        </row>
        <row r="6">
          <cell r="B6" t="str">
            <v>08592052800</v>
          </cell>
          <cell r="C6">
            <v>18030.315686039343</v>
          </cell>
        </row>
        <row r="7">
          <cell r="B7" t="str">
            <v>08582152700</v>
          </cell>
          <cell r="C7">
            <v>50653.222664255278</v>
          </cell>
        </row>
        <row r="8">
          <cell r="B8" t="str">
            <v>08582152010</v>
          </cell>
          <cell r="C8">
            <v>4058.4230071865391</v>
          </cell>
        </row>
        <row r="9">
          <cell r="B9" t="str">
            <v>08582152703</v>
          </cell>
          <cell r="C9">
            <v>25872.666138665118</v>
          </cell>
        </row>
        <row r="10">
          <cell r="B10" t="str">
            <v>08582152701</v>
          </cell>
          <cell r="C10">
            <v>63883.412703545029</v>
          </cell>
        </row>
        <row r="11">
          <cell r="B11" t="str">
            <v>08573352703</v>
          </cell>
          <cell r="C11">
            <v>114470.3902617719</v>
          </cell>
        </row>
        <row r="12">
          <cell r="B12" t="str">
            <v>08582152702</v>
          </cell>
          <cell r="C12">
            <v>76278.752208433609</v>
          </cell>
        </row>
        <row r="13">
          <cell r="B13" t="str">
            <v>08573352702</v>
          </cell>
          <cell r="C13">
            <v>116501.61265871074</v>
          </cell>
        </row>
        <row r="14">
          <cell r="B14" t="str">
            <v>08595752010</v>
          </cell>
          <cell r="C14">
            <v>0</v>
          </cell>
        </row>
        <row r="15">
          <cell r="B15" t="str">
            <v>08582152707</v>
          </cell>
          <cell r="C15">
            <v>3099.1848813329739</v>
          </cell>
        </row>
        <row r="16">
          <cell r="B16" t="str">
            <v>08573352701</v>
          </cell>
          <cell r="C16">
            <v>56370.995721500032</v>
          </cell>
        </row>
        <row r="17">
          <cell r="B17" t="str">
            <v>08582152704</v>
          </cell>
          <cell r="C17">
            <v>63480.771636455029</v>
          </cell>
        </row>
        <row r="18">
          <cell r="B18" t="str">
            <v>08582152705</v>
          </cell>
          <cell r="C18">
            <v>79829.350535251564</v>
          </cell>
        </row>
        <row r="19">
          <cell r="B19" t="str">
            <v>08582152708</v>
          </cell>
          <cell r="C19">
            <v>1930.4482634406813</v>
          </cell>
        </row>
        <row r="20">
          <cell r="B20" t="str">
            <v>08573352700</v>
          </cell>
          <cell r="C20">
            <v>87039.1315186375</v>
          </cell>
        </row>
        <row r="21">
          <cell r="B21" t="str">
            <v>08574152702</v>
          </cell>
          <cell r="C21">
            <v>39258.4963038895</v>
          </cell>
        </row>
        <row r="22">
          <cell r="B22" t="str">
            <v>08582152711</v>
          </cell>
          <cell r="C22">
            <v>8696.7384176644591</v>
          </cell>
        </row>
        <row r="23">
          <cell r="B23" t="str">
            <v>08582152706</v>
          </cell>
          <cell r="C23">
            <v>17464.231043568831</v>
          </cell>
        </row>
        <row r="24">
          <cell r="B24" t="str">
            <v>08582152709</v>
          </cell>
          <cell r="C24">
            <v>9944.5681850414985</v>
          </cell>
        </row>
        <row r="25">
          <cell r="B25" t="str">
            <v>08582152710</v>
          </cell>
          <cell r="C25">
            <v>12563.465388973096</v>
          </cell>
        </row>
        <row r="26">
          <cell r="B26" t="str">
            <v>08574152713</v>
          </cell>
          <cell r="C26">
            <v>0</v>
          </cell>
        </row>
        <row r="27">
          <cell r="B27" t="str">
            <v>08574152714</v>
          </cell>
          <cell r="C27">
            <v>7064.266976076804</v>
          </cell>
        </row>
        <row r="28">
          <cell r="B28" t="str">
            <v>08574152705</v>
          </cell>
          <cell r="C28">
            <v>14379.154051273021</v>
          </cell>
        </row>
        <row r="29">
          <cell r="B29" t="str">
            <v>08574152700</v>
          </cell>
          <cell r="C29">
            <v>33799.351655264247</v>
          </cell>
        </row>
        <row r="30">
          <cell r="B30" t="str">
            <v>08574152703</v>
          </cell>
          <cell r="C30">
            <v>75588.974444133695</v>
          </cell>
        </row>
        <row r="31">
          <cell r="B31" t="str">
            <v>08574152715</v>
          </cell>
          <cell r="C31">
            <v>18949.165879670883</v>
          </cell>
        </row>
        <row r="32">
          <cell r="B32" t="str">
            <v>08574152701</v>
          </cell>
          <cell r="C32">
            <v>55035.342089671125</v>
          </cell>
        </row>
        <row r="33">
          <cell r="B33" t="str">
            <v>08574152708</v>
          </cell>
          <cell r="C33">
            <v>2601.597979757586</v>
          </cell>
        </row>
        <row r="34">
          <cell r="B34" t="str">
            <v>08574152704</v>
          </cell>
          <cell r="C34">
            <v>73917.929646348071</v>
          </cell>
        </row>
        <row r="35">
          <cell r="B35" t="str">
            <v>08573352704</v>
          </cell>
          <cell r="C35">
            <v>15454.692841762535</v>
          </cell>
        </row>
        <row r="36">
          <cell r="B36" t="str">
            <v>08595052700</v>
          </cell>
          <cell r="C36">
            <v>119961.67387712451</v>
          </cell>
        </row>
        <row r="37">
          <cell r="B37" t="str">
            <v>08595052701</v>
          </cell>
          <cell r="C37">
            <v>92763.948344048069</v>
          </cell>
        </row>
        <row r="38">
          <cell r="B38" t="str">
            <v>08574152706</v>
          </cell>
          <cell r="C38">
            <v>63506.995918871333</v>
          </cell>
        </row>
        <row r="39">
          <cell r="B39" t="str">
            <v>08574152711</v>
          </cell>
          <cell r="C39">
            <v>45930.639457350662</v>
          </cell>
        </row>
        <row r="40">
          <cell r="B40" t="str">
            <v>08582152712</v>
          </cell>
          <cell r="C40">
            <v>81727.771925932946</v>
          </cell>
        </row>
        <row r="41">
          <cell r="B41" t="str">
            <v>08574152707</v>
          </cell>
          <cell r="C41">
            <v>122323.63505572698</v>
          </cell>
        </row>
        <row r="42">
          <cell r="B42" t="str">
            <v>08574152709</v>
          </cell>
          <cell r="C42">
            <v>57742.985981992308</v>
          </cell>
        </row>
        <row r="43">
          <cell r="B43" t="str">
            <v>08574152712</v>
          </cell>
          <cell r="C43">
            <v>75863.105463271844</v>
          </cell>
        </row>
        <row r="44">
          <cell r="B44" t="str">
            <v>08595452701</v>
          </cell>
          <cell r="C44">
            <v>9297.8216552107733</v>
          </cell>
        </row>
        <row r="45">
          <cell r="B45" t="str">
            <v>08574152710</v>
          </cell>
          <cell r="C45">
            <v>69982.611513737007</v>
          </cell>
        </row>
        <row r="46">
          <cell r="B46" t="str">
            <v>08582152713</v>
          </cell>
          <cell r="C46">
            <v>74273.102811233635</v>
          </cell>
        </row>
        <row r="47">
          <cell r="B47" t="str">
            <v>08583452700</v>
          </cell>
          <cell r="C47">
            <v>23401.255220738745</v>
          </cell>
        </row>
        <row r="48">
          <cell r="B48" t="str">
            <v>08595452700</v>
          </cell>
          <cell r="C48">
            <v>3150.1248506432366</v>
          </cell>
        </row>
        <row r="49">
          <cell r="B49" t="str">
            <v>08582152714</v>
          </cell>
          <cell r="C49">
            <v>92149.003250972572</v>
          </cell>
        </row>
        <row r="50">
          <cell r="B50" t="str">
            <v>08583352525</v>
          </cell>
          <cell r="C50">
            <v>10384.187976560592</v>
          </cell>
        </row>
        <row r="51">
          <cell r="B51" t="str">
            <v>09583452525</v>
          </cell>
          <cell r="C51">
            <v>68177.794740956801</v>
          </cell>
        </row>
        <row r="52">
          <cell r="B52" t="str">
            <v>09592752525</v>
          </cell>
          <cell r="C52">
            <v>8576.9527592174491</v>
          </cell>
        </row>
        <row r="53">
          <cell r="B53" t="str">
            <v>08574152540</v>
          </cell>
          <cell r="C53">
            <v>64233.920963281314</v>
          </cell>
        </row>
        <row r="54">
          <cell r="B54" t="str">
            <v>08583352526</v>
          </cell>
          <cell r="C54">
            <v>82243.21065922972</v>
          </cell>
        </row>
        <row r="55">
          <cell r="B55" t="str">
            <v>08595552523</v>
          </cell>
          <cell r="C55">
            <v>38719.482354335509</v>
          </cell>
        </row>
        <row r="56">
          <cell r="B56" t="str">
            <v>08573352530</v>
          </cell>
          <cell r="C56">
            <v>50392.35115978714</v>
          </cell>
        </row>
        <row r="57">
          <cell r="B57" t="str">
            <v>08573352529</v>
          </cell>
          <cell r="C57">
            <v>44648.242871839349</v>
          </cell>
        </row>
        <row r="58">
          <cell r="B58" t="str">
            <v>09592052523</v>
          </cell>
          <cell r="C58">
            <v>55619.117841668281</v>
          </cell>
        </row>
        <row r="59">
          <cell r="B59" t="str">
            <v>09595552527</v>
          </cell>
          <cell r="C59">
            <v>4306.4544300278176</v>
          </cell>
        </row>
        <row r="60">
          <cell r="B60" t="str">
            <v>09583252523</v>
          </cell>
          <cell r="C60">
            <v>39977.783398284861</v>
          </cell>
        </row>
        <row r="61">
          <cell r="B61" t="str">
            <v>09582152523</v>
          </cell>
          <cell r="C61">
            <v>25626.453706111526</v>
          </cell>
        </row>
        <row r="62">
          <cell r="B62" t="str">
            <v>08582152540</v>
          </cell>
          <cell r="C62">
            <v>98896.218662434534</v>
          </cell>
        </row>
        <row r="63">
          <cell r="B63" t="str">
            <v>09574152523</v>
          </cell>
          <cell r="C63">
            <v>19159.277266376906</v>
          </cell>
        </row>
        <row r="64">
          <cell r="B64" t="str">
            <v>09574152526</v>
          </cell>
          <cell r="C64">
            <v>25862.766887123285</v>
          </cell>
        </row>
        <row r="65">
          <cell r="B65" t="str">
            <v>09574152525</v>
          </cell>
          <cell r="C65">
            <v>39071.620016437162</v>
          </cell>
        </row>
        <row r="66">
          <cell r="B66" t="str">
            <v>09582152525</v>
          </cell>
          <cell r="C66">
            <v>51548.654255901907</v>
          </cell>
        </row>
        <row r="67">
          <cell r="B67" t="str">
            <v>09595052523</v>
          </cell>
          <cell r="C67">
            <v>26208.671729416783</v>
          </cell>
        </row>
        <row r="68">
          <cell r="B68" t="str">
            <v>09582152526</v>
          </cell>
          <cell r="C68">
            <v>0</v>
          </cell>
        </row>
        <row r="69">
          <cell r="B69" t="str">
            <v>09583352523</v>
          </cell>
          <cell r="C69">
            <v>61258.173073710634</v>
          </cell>
        </row>
        <row r="70">
          <cell r="B70" t="str">
            <v>08595052526</v>
          </cell>
          <cell r="C70">
            <v>52117.845897536499</v>
          </cell>
        </row>
        <row r="71">
          <cell r="B71" t="str">
            <v>09575252523</v>
          </cell>
          <cell r="C71">
            <v>66856.774390831823</v>
          </cell>
        </row>
        <row r="72">
          <cell r="B72" t="str">
            <v>09582152527</v>
          </cell>
          <cell r="C72">
            <v>37871.53420303786</v>
          </cell>
        </row>
        <row r="73">
          <cell r="B73" t="str">
            <v>09582152528</v>
          </cell>
          <cell r="C73">
            <v>65508.592852728361</v>
          </cell>
        </row>
        <row r="74">
          <cell r="B74" t="str">
            <v>09582152531</v>
          </cell>
          <cell r="C74">
            <v>17355.462589494397</v>
          </cell>
        </row>
        <row r="75">
          <cell r="B75" t="str">
            <v>09583452526</v>
          </cell>
          <cell r="C75">
            <v>74874.490999624657</v>
          </cell>
        </row>
        <row r="76">
          <cell r="B76" t="str">
            <v>09592552523</v>
          </cell>
          <cell r="C76">
            <v>0</v>
          </cell>
        </row>
        <row r="77">
          <cell r="B77" t="str">
            <v>09592652523</v>
          </cell>
          <cell r="C77">
            <v>4490.5975240651223</v>
          </cell>
        </row>
        <row r="78">
          <cell r="B78" t="str">
            <v>09592852523</v>
          </cell>
          <cell r="C78">
            <v>21233.212083407157</v>
          </cell>
        </row>
        <row r="79">
          <cell r="B79" t="str">
            <v>09595052526</v>
          </cell>
          <cell r="C79">
            <v>11031.706481531732</v>
          </cell>
        </row>
        <row r="80">
          <cell r="B80" t="str">
            <v>09595552526</v>
          </cell>
          <cell r="C80">
            <v>54469.761977828639</v>
          </cell>
        </row>
        <row r="81">
          <cell r="B81" t="str">
            <v>09574152528</v>
          </cell>
          <cell r="C81">
            <v>21445.761177016186</v>
          </cell>
        </row>
        <row r="82">
          <cell r="B82" t="str">
            <v>09595052529</v>
          </cell>
          <cell r="C82">
            <v>20270.497462742416</v>
          </cell>
        </row>
        <row r="83">
          <cell r="B83" t="str">
            <v>09595352523</v>
          </cell>
          <cell r="C83">
            <v>4337.6366946334256</v>
          </cell>
        </row>
        <row r="84">
          <cell r="B84" t="str">
            <v>09573352523</v>
          </cell>
          <cell r="C84">
            <v>74941.538038891449</v>
          </cell>
        </row>
        <row r="85">
          <cell r="B85" t="str">
            <v>09573352527</v>
          </cell>
          <cell r="C85">
            <v>51937.855451139665</v>
          </cell>
        </row>
        <row r="86">
          <cell r="B86" t="str">
            <v>09574152527</v>
          </cell>
          <cell r="C86">
            <v>10420.163649063908</v>
          </cell>
        </row>
        <row r="87">
          <cell r="B87" t="str">
            <v>09582152530</v>
          </cell>
          <cell r="C87">
            <v>26234.66688760406</v>
          </cell>
        </row>
        <row r="88">
          <cell r="B88" t="str">
            <v>09582152532</v>
          </cell>
          <cell r="C88">
            <v>0</v>
          </cell>
        </row>
        <row r="89">
          <cell r="B89" t="str">
            <v>09582152533</v>
          </cell>
          <cell r="C89">
            <v>0</v>
          </cell>
        </row>
        <row r="90">
          <cell r="B90" t="str">
            <v>09592052525</v>
          </cell>
          <cell r="C90">
            <v>73544.928191348357</v>
          </cell>
        </row>
        <row r="91">
          <cell r="B91" t="str">
            <v>09592052527</v>
          </cell>
          <cell r="C91">
            <v>20611.932984353465</v>
          </cell>
        </row>
        <row r="92">
          <cell r="B92" t="str">
            <v>09592052528</v>
          </cell>
          <cell r="C92">
            <v>9788.6707941447021</v>
          </cell>
        </row>
        <row r="93">
          <cell r="B93" t="str">
            <v>09592452525</v>
          </cell>
          <cell r="C93">
            <v>29928.993911697235</v>
          </cell>
        </row>
        <row r="94">
          <cell r="B94" t="str">
            <v>09592452526</v>
          </cell>
          <cell r="C94">
            <v>12305.576351304964</v>
          </cell>
        </row>
        <row r="95">
          <cell r="B95" t="str">
            <v>09592452527</v>
          </cell>
          <cell r="C95">
            <v>15319.446589248619</v>
          </cell>
        </row>
        <row r="96">
          <cell r="B96" t="str">
            <v>09592452528</v>
          </cell>
          <cell r="C96">
            <v>28352.175275561902</v>
          </cell>
        </row>
        <row r="97">
          <cell r="B97" t="str">
            <v>09595052530</v>
          </cell>
          <cell r="C97">
            <v>31174.212250609613</v>
          </cell>
        </row>
        <row r="98">
          <cell r="B98" t="str">
            <v>09595752523</v>
          </cell>
          <cell r="C98">
            <v>35780.466968414141</v>
          </cell>
        </row>
        <row r="99">
          <cell r="B99" t="str">
            <v>09595952523</v>
          </cell>
          <cell r="C99">
            <v>0</v>
          </cell>
        </row>
        <row r="100">
          <cell r="B100" t="str">
            <v>08582152011</v>
          </cell>
          <cell r="C100">
            <v>0</v>
          </cell>
        </row>
        <row r="101">
          <cell r="B101" t="str">
            <v>08582152715</v>
          </cell>
          <cell r="C101">
            <v>0</v>
          </cell>
        </row>
        <row r="102">
          <cell r="B102" t="str">
            <v>09573352526</v>
          </cell>
          <cell r="C102">
            <v>36162.638991297783</v>
          </cell>
        </row>
        <row r="103">
          <cell r="B103" t="str">
            <v>09574252523</v>
          </cell>
          <cell r="C103">
            <v>0</v>
          </cell>
        </row>
        <row r="104">
          <cell r="B104" t="str">
            <v>09575152523</v>
          </cell>
          <cell r="C104">
            <v>0</v>
          </cell>
        </row>
        <row r="105">
          <cell r="B105" t="str">
            <v>09575252525</v>
          </cell>
          <cell r="C105">
            <v>0</v>
          </cell>
        </row>
        <row r="106">
          <cell r="B106" t="str">
            <v>09582152529</v>
          </cell>
          <cell r="C106">
            <v>0</v>
          </cell>
        </row>
        <row r="107">
          <cell r="B107" t="str">
            <v>09582152534</v>
          </cell>
          <cell r="C107">
            <v>16146.507683642925</v>
          </cell>
        </row>
        <row r="108">
          <cell r="B108" t="str">
            <v>09585652010</v>
          </cell>
          <cell r="C108">
            <v>0</v>
          </cell>
        </row>
        <row r="109">
          <cell r="B109" t="str">
            <v>09592052529</v>
          </cell>
          <cell r="C109">
            <v>12242.82865446602</v>
          </cell>
        </row>
        <row r="110">
          <cell r="B110" t="str">
            <v>09595052527</v>
          </cell>
          <cell r="C110">
            <v>0</v>
          </cell>
        </row>
        <row r="111">
          <cell r="B111" t="str">
            <v>09595052531</v>
          </cell>
          <cell r="C111">
            <v>52822.531180741527</v>
          </cell>
        </row>
        <row r="112">
          <cell r="B112" t="str">
            <v>09595552528</v>
          </cell>
          <cell r="C112">
            <v>36326.535984888702</v>
          </cell>
        </row>
        <row r="113">
          <cell r="B113" t="str">
            <v>09595552529</v>
          </cell>
          <cell r="C113">
            <v>24413.63055381941</v>
          </cell>
        </row>
        <row r="114">
          <cell r="B114" t="str">
            <v>BS/CI Clarksville</v>
          </cell>
          <cell r="C114">
            <v>0</v>
          </cell>
        </row>
        <row r="115">
          <cell r="B115" t="str">
            <v>BS/CI Muncie 08</v>
          </cell>
          <cell r="C115">
            <v>0</v>
          </cell>
        </row>
        <row r="116">
          <cell r="B116" t="str">
            <v>09595402052523</v>
          </cell>
          <cell r="C116">
            <v>33804.140404262231</v>
          </cell>
        </row>
        <row r="117">
          <cell r="B117" t="str">
            <v>09574102052523</v>
          </cell>
          <cell r="C117">
            <v>25883.471146105097</v>
          </cell>
        </row>
        <row r="118">
          <cell r="B118" t="str">
            <v>09582102052523</v>
          </cell>
          <cell r="C118">
            <v>20433.984621999785</v>
          </cell>
        </row>
        <row r="119">
          <cell r="B119" t="str">
            <v>09582102052525</v>
          </cell>
          <cell r="C119">
            <v>42074.794274606109</v>
          </cell>
        </row>
        <row r="120">
          <cell r="B120" t="str">
            <v>10595002052011</v>
          </cell>
          <cell r="C120">
            <v>5409.0244668704363</v>
          </cell>
        </row>
        <row r="121">
          <cell r="B121" t="str">
            <v>09595002052523</v>
          </cell>
          <cell r="C121">
            <v>23435.40946221332</v>
          </cell>
        </row>
        <row r="122">
          <cell r="B122" t="str">
            <v>09595002052525</v>
          </cell>
          <cell r="C122">
            <v>14341.379284299355</v>
          </cell>
        </row>
        <row r="123">
          <cell r="B123" t="str">
            <v>09595002052526</v>
          </cell>
          <cell r="C123">
            <v>18370.176527456497</v>
          </cell>
        </row>
        <row r="124">
          <cell r="B124" t="str">
            <v>10595002052212</v>
          </cell>
          <cell r="C124">
            <v>24999.988523790737</v>
          </cell>
        </row>
        <row r="125">
          <cell r="B125" t="str">
            <v>09592002052523</v>
          </cell>
          <cell r="C125">
            <v>33621.078323857648</v>
          </cell>
        </row>
        <row r="126">
          <cell r="B126" t="str">
            <v>09592002052525</v>
          </cell>
          <cell r="C126">
            <v>16390.970798837592</v>
          </cell>
        </row>
        <row r="127">
          <cell r="B127" t="str">
            <v>09592002052526</v>
          </cell>
          <cell r="C127">
            <v>18811.505876653839</v>
          </cell>
        </row>
        <row r="128">
          <cell r="B128" t="str">
            <v>10592702052210</v>
          </cell>
          <cell r="C128">
            <v>6206.4829637520379</v>
          </cell>
        </row>
        <row r="129">
          <cell r="B129" t="str">
            <v>10592702052212</v>
          </cell>
          <cell r="C129">
            <v>23101.340189011746</v>
          </cell>
        </row>
        <row r="130">
          <cell r="B130" t="str">
            <v>10583302052210</v>
          </cell>
          <cell r="C130">
            <v>3434.0135731576952</v>
          </cell>
        </row>
        <row r="131">
          <cell r="B131" t="str">
            <v>10595502052210</v>
          </cell>
          <cell r="C131">
            <v>20380.790740541615</v>
          </cell>
        </row>
        <row r="132">
          <cell r="B132" t="str">
            <v>10592402052210</v>
          </cell>
          <cell r="C132">
            <v>15687.349266244679</v>
          </cell>
        </row>
        <row r="133">
          <cell r="B133" t="str">
            <v>10595402052210</v>
          </cell>
          <cell r="C133">
            <v>30657.027853321037</v>
          </cell>
        </row>
        <row r="134">
          <cell r="B134" t="str">
            <v>10595502052212</v>
          </cell>
          <cell r="C134">
            <v>18843.169885532829</v>
          </cell>
        </row>
        <row r="135">
          <cell r="B135" t="str">
            <v>10573302052210</v>
          </cell>
          <cell r="C135">
            <v>21760.057905540896</v>
          </cell>
        </row>
        <row r="136">
          <cell r="B136" t="str">
            <v>10583202052210</v>
          </cell>
          <cell r="C136">
            <v>47636.398977119134</v>
          </cell>
        </row>
        <row r="137">
          <cell r="B137" t="str">
            <v>10583402052210</v>
          </cell>
          <cell r="C137">
            <v>32798.97509775345</v>
          </cell>
        </row>
        <row r="138">
          <cell r="B138" t="str">
            <v>10592002052210</v>
          </cell>
          <cell r="C138">
            <v>23622.244731296163</v>
          </cell>
        </row>
        <row r="139">
          <cell r="B139" t="str">
            <v>10592002052212</v>
          </cell>
          <cell r="C139">
            <v>58117.434030704506</v>
          </cell>
        </row>
        <row r="140">
          <cell r="B140" t="str">
            <v>10592002052213</v>
          </cell>
          <cell r="C140">
            <v>32176.698726617884</v>
          </cell>
        </row>
        <row r="141">
          <cell r="B141" t="str">
            <v>10592002052214</v>
          </cell>
          <cell r="C141">
            <v>27474.335009726507</v>
          </cell>
        </row>
        <row r="142">
          <cell r="B142" t="str">
            <v>10592702052213</v>
          </cell>
          <cell r="C142">
            <v>18062.865630735014</v>
          </cell>
        </row>
        <row r="143">
          <cell r="B143" t="str">
            <v>10592802052210</v>
          </cell>
          <cell r="C143">
            <v>23687.746006821904</v>
          </cell>
        </row>
        <row r="144">
          <cell r="B144" t="str">
            <v>10595402052212</v>
          </cell>
          <cell r="C144">
            <v>32079.930939884751</v>
          </cell>
        </row>
        <row r="145">
          <cell r="B145" t="str">
            <v>10592502052210</v>
          </cell>
          <cell r="C145">
            <v>25982.307018719501</v>
          </cell>
        </row>
        <row r="146">
          <cell r="B146" t="str">
            <v>10595302052210</v>
          </cell>
          <cell r="C146">
            <v>22147.029284495537</v>
          </cell>
        </row>
        <row r="147">
          <cell r="B147" t="str">
            <v>10595302052212</v>
          </cell>
          <cell r="C147">
            <v>8744.3849141101255</v>
          </cell>
        </row>
        <row r="148">
          <cell r="B148" t="str">
            <v>11592002052210</v>
          </cell>
          <cell r="C148">
            <v>10923.168894144754</v>
          </cell>
        </row>
        <row r="149">
          <cell r="B149" t="str">
            <v>11574102052213</v>
          </cell>
          <cell r="C149">
            <v>12044.515873154573</v>
          </cell>
        </row>
        <row r="150">
          <cell r="B150" t="str">
            <v>11595502052210</v>
          </cell>
          <cell r="C150">
            <v>0</v>
          </cell>
        </row>
        <row r="151">
          <cell r="B151" t="str">
            <v>11595502052212</v>
          </cell>
          <cell r="C151">
            <v>15702.898983283567</v>
          </cell>
        </row>
        <row r="152">
          <cell r="B152" t="str">
            <v>11573302052210</v>
          </cell>
          <cell r="C152">
            <v>11384.090599067456</v>
          </cell>
        </row>
        <row r="153">
          <cell r="B153" t="str">
            <v>11573302052212</v>
          </cell>
          <cell r="C153">
            <v>6974.9307582797492</v>
          </cell>
        </row>
        <row r="154">
          <cell r="B154" t="str">
            <v>11574102052214</v>
          </cell>
          <cell r="C154">
            <v>4773.3277056845</v>
          </cell>
        </row>
        <row r="155">
          <cell r="B155" t="str">
            <v>11574102052215</v>
          </cell>
          <cell r="C155">
            <v>368.29653908124999</v>
          </cell>
        </row>
        <row r="156">
          <cell r="B156" t="str">
            <v>11575202052214</v>
          </cell>
          <cell r="C156">
            <v>2572.3786451187498</v>
          </cell>
        </row>
        <row r="157">
          <cell r="B157" t="str">
            <v>11575302052210</v>
          </cell>
          <cell r="C157">
            <v>913.86904747125004</v>
          </cell>
        </row>
        <row r="158">
          <cell r="B158" t="str">
            <v>11583202052212</v>
          </cell>
          <cell r="C158">
            <v>23355.187745784846</v>
          </cell>
        </row>
        <row r="159">
          <cell r="B159" t="str">
            <v>11583402052210</v>
          </cell>
          <cell r="C159">
            <v>26766.770891112817</v>
          </cell>
        </row>
        <row r="160">
          <cell r="B160" t="str">
            <v>11592002052216</v>
          </cell>
          <cell r="C160">
            <v>6829.314379669504</v>
          </cell>
        </row>
        <row r="161">
          <cell r="B161" t="str">
            <v>11592702052210</v>
          </cell>
          <cell r="C161">
            <v>6773.5432053088098</v>
          </cell>
        </row>
        <row r="162">
          <cell r="B162" t="str">
            <v>11592702052212</v>
          </cell>
          <cell r="C162">
            <v>3332.6353503513292</v>
          </cell>
        </row>
        <row r="163">
          <cell r="B163" t="str">
            <v>11595002052210</v>
          </cell>
          <cell r="C163">
            <v>9291.1795272915006</v>
          </cell>
        </row>
        <row r="164">
          <cell r="B164" t="str">
            <v>11595502052213</v>
          </cell>
          <cell r="C164">
            <v>2768.3424599999998</v>
          </cell>
        </row>
        <row r="165">
          <cell r="B165" t="str">
            <v>11595902052212</v>
          </cell>
          <cell r="C165">
            <v>14945.096546547251</v>
          </cell>
        </row>
        <row r="166">
          <cell r="B166" t="str">
            <v>10573302052212</v>
          </cell>
          <cell r="C166">
            <v>13592.023764474381</v>
          </cell>
        </row>
        <row r="167">
          <cell r="B167" t="str">
            <v>11573302052213</v>
          </cell>
          <cell r="C167">
            <v>3607.9023117275001</v>
          </cell>
        </row>
        <row r="168">
          <cell r="B168" t="str">
            <v>11573302052214</v>
          </cell>
          <cell r="C168">
            <v>0</v>
          </cell>
        </row>
        <row r="169">
          <cell r="B169" t="str">
            <v>11574102052210</v>
          </cell>
          <cell r="C169">
            <v>2390.0168296422094</v>
          </cell>
        </row>
        <row r="170">
          <cell r="B170" t="str">
            <v>11575102052210</v>
          </cell>
          <cell r="C170">
            <v>2756.1184990950001</v>
          </cell>
        </row>
        <row r="171">
          <cell r="B171" t="str">
            <v>11575102052212</v>
          </cell>
          <cell r="C171">
            <v>4399.5007618575</v>
          </cell>
        </row>
        <row r="172">
          <cell r="B172" t="str">
            <v>11575302052212</v>
          </cell>
          <cell r="C172">
            <v>5807.4371744126092</v>
          </cell>
        </row>
        <row r="173">
          <cell r="B173" t="str">
            <v>11582102052210</v>
          </cell>
          <cell r="C173">
            <v>0</v>
          </cell>
        </row>
        <row r="174">
          <cell r="B174" t="str">
            <v>11582102052212</v>
          </cell>
          <cell r="C174">
            <v>0</v>
          </cell>
        </row>
        <row r="175">
          <cell r="B175" t="str">
            <v>11582102052213</v>
          </cell>
          <cell r="C175">
            <v>5726.1535008600003</v>
          </cell>
        </row>
        <row r="176">
          <cell r="B176" t="str">
            <v>11583202052213</v>
          </cell>
          <cell r="C176">
            <v>7842.2117528437511</v>
          </cell>
        </row>
        <row r="177">
          <cell r="B177" t="str">
            <v>11583202052215</v>
          </cell>
          <cell r="C177">
            <v>7511.1142650237507</v>
          </cell>
        </row>
        <row r="178">
          <cell r="B178" t="str">
            <v>11592002052212</v>
          </cell>
          <cell r="C178">
            <v>19079.724447092249</v>
          </cell>
        </row>
        <row r="179">
          <cell r="B179" t="str">
            <v>11592002052214</v>
          </cell>
          <cell r="C179">
            <v>16183.447206458772</v>
          </cell>
        </row>
        <row r="180">
          <cell r="B180" t="str">
            <v>11592002052217</v>
          </cell>
          <cell r="C180">
            <v>1990.1935625000001</v>
          </cell>
        </row>
        <row r="181">
          <cell r="B181" t="str">
            <v>11592502052210</v>
          </cell>
          <cell r="C181">
            <v>27351.816939677537</v>
          </cell>
        </row>
        <row r="182">
          <cell r="B182" t="str">
            <v>11595002052212</v>
          </cell>
          <cell r="C182">
            <v>0</v>
          </cell>
        </row>
        <row r="183">
          <cell r="B183" t="str">
            <v>11595202052210</v>
          </cell>
          <cell r="C183">
            <v>921.15120499999989</v>
          </cell>
        </row>
        <row r="184">
          <cell r="B184" t="str">
            <v>11595302052210</v>
          </cell>
          <cell r="C184">
            <v>1942.3478636412499</v>
          </cell>
        </row>
        <row r="185">
          <cell r="B185" t="str">
            <v>11595302052212</v>
          </cell>
          <cell r="C185">
            <v>32104.924604715372</v>
          </cell>
        </row>
        <row r="186">
          <cell r="B186" t="str">
            <v>11595302052213</v>
          </cell>
          <cell r="C186">
            <v>0</v>
          </cell>
        </row>
        <row r="187">
          <cell r="B187" t="str">
            <v>11595402052213</v>
          </cell>
          <cell r="C187">
            <v>16896.911193428186</v>
          </cell>
        </row>
        <row r="188">
          <cell r="B188" t="str">
            <v>11595802052210</v>
          </cell>
          <cell r="C188">
            <v>7153.4420380662505</v>
          </cell>
        </row>
        <row r="189">
          <cell r="B189" t="str">
            <v>11592402052212</v>
          </cell>
          <cell r="C189">
            <v>6000.5987372337495</v>
          </cell>
        </row>
        <row r="190">
          <cell r="B190" t="str">
            <v>12592402052210</v>
          </cell>
          <cell r="C190">
            <v>7420.9832806407776</v>
          </cell>
        </row>
        <row r="191">
          <cell r="B191" t="str">
            <v>12582102052212</v>
          </cell>
          <cell r="C191">
            <v>0</v>
          </cell>
        </row>
        <row r="192">
          <cell r="B192" t="str">
            <v>12575302052210</v>
          </cell>
          <cell r="C192">
            <v>6715.6423803147773</v>
          </cell>
        </row>
        <row r="193">
          <cell r="B193" t="str">
            <v>12592502052210</v>
          </cell>
          <cell r="C193">
            <v>0</v>
          </cell>
        </row>
        <row r="194">
          <cell r="B194" t="str">
            <v>11583202052214</v>
          </cell>
          <cell r="C194">
            <v>0</v>
          </cell>
        </row>
        <row r="195">
          <cell r="B195" t="str">
            <v>11575202052215</v>
          </cell>
          <cell r="C195">
            <v>0</v>
          </cell>
        </row>
        <row r="196">
          <cell r="B196" t="str">
            <v>11592002052215</v>
          </cell>
          <cell r="C196">
            <v>0</v>
          </cell>
        </row>
        <row r="197">
          <cell r="B197" t="str">
            <v>11592402052210</v>
          </cell>
          <cell r="C197">
            <v>0</v>
          </cell>
        </row>
        <row r="198">
          <cell r="B198" t="str">
            <v>11592902052212</v>
          </cell>
          <cell r="C198">
            <v>0</v>
          </cell>
        </row>
        <row r="199">
          <cell r="B199" t="str">
            <v>11595402052210</v>
          </cell>
          <cell r="C199">
            <v>0</v>
          </cell>
        </row>
        <row r="200">
          <cell r="B200" t="str">
            <v>12575102052210</v>
          </cell>
          <cell r="C200">
            <v>0</v>
          </cell>
        </row>
        <row r="201">
          <cell r="B201" t="str">
            <v>12583302052210</v>
          </cell>
          <cell r="C201">
            <v>0</v>
          </cell>
        </row>
        <row r="202">
          <cell r="B202" t="str">
            <v>12583402052210</v>
          </cell>
          <cell r="C202">
            <v>0</v>
          </cell>
        </row>
        <row r="203">
          <cell r="B203" t="str">
            <v>12592602052212</v>
          </cell>
          <cell r="C203">
            <v>0</v>
          </cell>
        </row>
        <row r="204">
          <cell r="B204" t="str">
            <v>12595002052210</v>
          </cell>
          <cell r="C204">
            <v>0</v>
          </cell>
        </row>
        <row r="205">
          <cell r="B205" t="str">
            <v>11595402052212</v>
          </cell>
          <cell r="C205">
            <v>0</v>
          </cell>
        </row>
        <row r="206">
          <cell r="B206" t="str">
            <v>12573302052212</v>
          </cell>
          <cell r="C206">
            <v>0</v>
          </cell>
        </row>
        <row r="207">
          <cell r="B207" t="str">
            <v>12575202052210</v>
          </cell>
          <cell r="C207">
            <v>0</v>
          </cell>
        </row>
        <row r="208">
          <cell r="B208" t="str">
            <v>12583402052212</v>
          </cell>
          <cell r="C208">
            <v>0</v>
          </cell>
        </row>
        <row r="209">
          <cell r="B209" t="str">
            <v>12595002052212</v>
          </cell>
          <cell r="C209">
            <v>0</v>
          </cell>
        </row>
        <row r="210">
          <cell r="B210" t="str">
            <v>12595502052212</v>
          </cell>
          <cell r="C210">
            <v>0</v>
          </cell>
        </row>
        <row r="211">
          <cell r="B211" t="str">
            <v>12595702052210</v>
          </cell>
          <cell r="C211">
            <v>0</v>
          </cell>
        </row>
        <row r="212">
          <cell r="B212" t="str">
            <v>12595902052212</v>
          </cell>
          <cell r="C212">
            <v>0</v>
          </cell>
        </row>
        <row r="213">
          <cell r="C213">
            <v>5070811.5535206925</v>
          </cell>
        </row>
      </sheetData>
      <sheetData sheetId="3"/>
      <sheetData sheetId="4"/>
      <sheetData sheetId="5">
        <row r="4">
          <cell r="G4">
            <v>39569</v>
          </cell>
          <cell r="H4">
            <v>39600</v>
          </cell>
          <cell r="I4">
            <v>39630</v>
          </cell>
          <cell r="J4">
            <v>39661</v>
          </cell>
          <cell r="K4">
            <v>39692</v>
          </cell>
          <cell r="L4">
            <v>39722</v>
          </cell>
          <cell r="M4">
            <v>39753</v>
          </cell>
          <cell r="N4">
            <v>39783</v>
          </cell>
          <cell r="O4">
            <v>39814</v>
          </cell>
          <cell r="P4">
            <v>39845</v>
          </cell>
          <cell r="Q4">
            <v>39873</v>
          </cell>
          <cell r="R4">
            <v>39904</v>
          </cell>
          <cell r="S4">
            <v>39934</v>
          </cell>
          <cell r="T4">
            <v>39965</v>
          </cell>
          <cell r="U4">
            <v>39995</v>
          </cell>
          <cell r="V4">
            <v>40026</v>
          </cell>
          <cell r="W4">
            <v>40057</v>
          </cell>
          <cell r="X4">
            <v>40087</v>
          </cell>
          <cell r="Y4">
            <v>40118</v>
          </cell>
          <cell r="Z4">
            <v>40148</v>
          </cell>
          <cell r="AA4">
            <v>40179</v>
          </cell>
          <cell r="AB4">
            <v>40210</v>
          </cell>
          <cell r="AC4">
            <v>40238</v>
          </cell>
          <cell r="AD4">
            <v>40269</v>
          </cell>
          <cell r="AE4">
            <v>40299</v>
          </cell>
          <cell r="AF4">
            <v>40330</v>
          </cell>
          <cell r="AG4">
            <v>40360</v>
          </cell>
          <cell r="AH4">
            <v>40391</v>
          </cell>
          <cell r="AI4">
            <v>40422</v>
          </cell>
          <cell r="AJ4">
            <v>40452</v>
          </cell>
          <cell r="AK4">
            <v>40483</v>
          </cell>
          <cell r="AL4">
            <v>40513</v>
          </cell>
          <cell r="AM4">
            <v>40544</v>
          </cell>
          <cell r="AN4">
            <v>40575</v>
          </cell>
          <cell r="AO4">
            <v>40603</v>
          </cell>
          <cell r="AP4">
            <v>40634</v>
          </cell>
          <cell r="AQ4">
            <v>40664</v>
          </cell>
          <cell r="AR4">
            <v>40695</v>
          </cell>
          <cell r="AS4">
            <v>40725</v>
          </cell>
          <cell r="AT4">
            <v>40756</v>
          </cell>
          <cell r="AU4">
            <v>40787</v>
          </cell>
          <cell r="AV4">
            <v>40817</v>
          </cell>
          <cell r="AW4">
            <v>40848</v>
          </cell>
          <cell r="AX4">
            <v>40878</v>
          </cell>
          <cell r="AY4">
            <v>40909</v>
          </cell>
          <cell r="AZ4">
            <v>40940</v>
          </cell>
          <cell r="BA4">
            <v>40969</v>
          </cell>
          <cell r="BB4">
            <v>41000</v>
          </cell>
          <cell r="BC4">
            <v>41030</v>
          </cell>
          <cell r="BD4">
            <v>41061</v>
          </cell>
          <cell r="BE4">
            <v>41091</v>
          </cell>
          <cell r="BF4">
            <v>41122</v>
          </cell>
          <cell r="BG4">
            <v>41153</v>
          </cell>
          <cell r="BH4">
            <v>41183</v>
          </cell>
          <cell r="BI4">
            <v>41214</v>
          </cell>
          <cell r="BJ4">
            <v>41244</v>
          </cell>
          <cell r="BK4" t="str">
            <v>Grand Total</v>
          </cell>
        </row>
        <row r="5">
          <cell r="B5" t="str">
            <v>08573352529</v>
          </cell>
          <cell r="C5">
            <v>598452.99</v>
          </cell>
          <cell r="D5">
            <v>0</v>
          </cell>
          <cell r="T5">
            <v>14175.740000000002</v>
          </cell>
          <cell r="U5">
            <v>10623.710000000001</v>
          </cell>
          <cell r="V5">
            <v>6207.3</v>
          </cell>
          <cell r="W5">
            <v>31306.269999999997</v>
          </cell>
          <cell r="X5">
            <v>65457.130000000005</v>
          </cell>
          <cell r="Y5">
            <v>11230.800000000001</v>
          </cell>
          <cell r="Z5">
            <v>8779.2100000000009</v>
          </cell>
          <cell r="AA5">
            <v>2892.7400000000002</v>
          </cell>
          <cell r="AB5">
            <v>799.82</v>
          </cell>
          <cell r="AC5">
            <v>25051.210000000003</v>
          </cell>
          <cell r="AD5">
            <v>27054.020000000008</v>
          </cell>
          <cell r="AE5">
            <v>32999.82</v>
          </cell>
          <cell r="AF5">
            <v>24427.460000000003</v>
          </cell>
          <cell r="AG5">
            <v>26745.32</v>
          </cell>
          <cell r="AH5">
            <v>46570.689999999995</v>
          </cell>
          <cell r="AI5">
            <v>41445.69</v>
          </cell>
          <cell r="AJ5">
            <v>56800.659999999996</v>
          </cell>
          <cell r="AK5">
            <v>60023.57</v>
          </cell>
          <cell r="AL5">
            <v>95569.05</v>
          </cell>
          <cell r="AM5">
            <v>235.51</v>
          </cell>
          <cell r="AN5">
            <v>28.12</v>
          </cell>
          <cell r="AS5">
            <v>10029.15</v>
          </cell>
          <cell r="BK5">
            <v>598452.99</v>
          </cell>
        </row>
        <row r="6">
          <cell r="B6" t="str">
            <v>08573352530</v>
          </cell>
          <cell r="C6">
            <v>520557.29</v>
          </cell>
          <cell r="D6">
            <v>0</v>
          </cell>
          <cell r="Q6">
            <v>257.08</v>
          </cell>
          <cell r="R6">
            <v>756.3900000000001</v>
          </cell>
          <cell r="S6">
            <v>37110.429999999978</v>
          </cell>
          <cell r="T6">
            <v>147372.29999999999</v>
          </cell>
          <cell r="U6">
            <v>158313.78000000003</v>
          </cell>
          <cell r="V6">
            <v>55675.12</v>
          </cell>
          <cell r="W6">
            <v>36819.61</v>
          </cell>
          <cell r="X6">
            <v>75303.37999999999</v>
          </cell>
          <cell r="Y6">
            <v>16643.599999999999</v>
          </cell>
          <cell r="Z6">
            <v>7947.92</v>
          </cell>
          <cell r="AB6">
            <v>-15519.730000000001</v>
          </cell>
          <cell r="AC6">
            <v>-122.58999999999999</v>
          </cell>
          <cell r="BK6">
            <v>520557.29</v>
          </cell>
        </row>
        <row r="7">
          <cell r="B7" t="str">
            <v>08573352700</v>
          </cell>
          <cell r="C7">
            <v>841605.79999999993</v>
          </cell>
          <cell r="D7">
            <v>0</v>
          </cell>
          <cell r="J7">
            <v>8946.99</v>
          </cell>
          <cell r="K7">
            <v>6318.6100000000006</v>
          </cell>
          <cell r="L7">
            <v>125.62</v>
          </cell>
          <cell r="M7">
            <v>53.870000000000005</v>
          </cell>
          <cell r="N7">
            <v>38811.42</v>
          </cell>
          <cell r="O7">
            <v>79169.930000000008</v>
          </cell>
          <cell r="P7">
            <v>41707.229999999996</v>
          </cell>
          <cell r="Q7">
            <v>135980.65999999997</v>
          </cell>
          <cell r="R7">
            <v>104320.3</v>
          </cell>
          <cell r="S7">
            <v>105461.64</v>
          </cell>
          <cell r="T7">
            <v>152558.28999999995</v>
          </cell>
          <cell r="U7">
            <v>101177.37000000001</v>
          </cell>
          <cell r="V7">
            <v>44600.759999999995</v>
          </cell>
          <cell r="W7">
            <v>-5649.16</v>
          </cell>
          <cell r="X7">
            <v>503.52</v>
          </cell>
          <cell r="Y7">
            <v>29111.23</v>
          </cell>
          <cell r="Z7">
            <v>5785.46</v>
          </cell>
          <cell r="AA7">
            <v>-400.12</v>
          </cell>
          <cell r="AB7">
            <v>-6977.8200000000006</v>
          </cell>
          <cell r="BK7">
            <v>841605.79999999993</v>
          </cell>
        </row>
        <row r="8">
          <cell r="B8" t="str">
            <v>08573352701</v>
          </cell>
          <cell r="C8">
            <v>489274.02000000014</v>
          </cell>
          <cell r="D8">
            <v>0</v>
          </cell>
          <cell r="I8">
            <v>336.1</v>
          </cell>
          <cell r="J8">
            <v>3317.2599999999998</v>
          </cell>
          <cell r="K8">
            <v>9.86</v>
          </cell>
          <cell r="L8">
            <v>79539.87000000001</v>
          </cell>
          <cell r="M8">
            <v>31416.59</v>
          </cell>
          <cell r="N8">
            <v>73229.409999999989</v>
          </cell>
          <cell r="O8">
            <v>95102.830000000016</v>
          </cell>
          <cell r="P8">
            <v>107561.18000000004</v>
          </cell>
          <cell r="Q8">
            <v>36961.87000000001</v>
          </cell>
          <cell r="R8">
            <v>27890.14</v>
          </cell>
          <cell r="S8">
            <v>10777.779999999999</v>
          </cell>
          <cell r="T8">
            <v>7324.3700000000008</v>
          </cell>
          <cell r="U8">
            <v>5290.52</v>
          </cell>
          <cell r="V8">
            <v>-2887.0000000000005</v>
          </cell>
          <cell r="W8">
            <v>31.43</v>
          </cell>
          <cell r="X8">
            <v>-61.18</v>
          </cell>
          <cell r="Y8">
            <v>18372.010000000002</v>
          </cell>
          <cell r="Z8">
            <v>722.6</v>
          </cell>
          <cell r="AC8">
            <v>-5661.62</v>
          </cell>
          <cell r="BK8">
            <v>489274.02000000014</v>
          </cell>
        </row>
        <row r="9">
          <cell r="B9" t="str">
            <v>08573352702</v>
          </cell>
          <cell r="C9">
            <v>977703.7200000002</v>
          </cell>
          <cell r="D9">
            <v>0</v>
          </cell>
          <cell r="H9">
            <v>22631.229999999996</v>
          </cell>
          <cell r="I9">
            <v>58737.150000000009</v>
          </cell>
          <cell r="J9">
            <v>58805.279999999999</v>
          </cell>
          <cell r="K9">
            <v>224269.53000000003</v>
          </cell>
          <cell r="L9">
            <v>291974.2</v>
          </cell>
          <cell r="M9">
            <v>91639.24</v>
          </cell>
          <cell r="N9">
            <v>81724.37</v>
          </cell>
          <cell r="O9">
            <v>34996.159999999989</v>
          </cell>
          <cell r="P9">
            <v>37662.579999999987</v>
          </cell>
          <cell r="Q9">
            <v>1880.8400000000001</v>
          </cell>
          <cell r="R9">
            <v>903.82999999999993</v>
          </cell>
          <cell r="S9">
            <v>6889.1699999999992</v>
          </cell>
          <cell r="T9">
            <v>3351.09</v>
          </cell>
          <cell r="U9">
            <v>3586.8100000000004</v>
          </cell>
          <cell r="V9">
            <v>7553.47</v>
          </cell>
          <cell r="W9">
            <v>-2333.0700000000006</v>
          </cell>
          <cell r="X9">
            <v>57029.549999999996</v>
          </cell>
          <cell r="Z9">
            <v>163.17000000000002</v>
          </cell>
          <cell r="AA9">
            <v>-278.64999999999998</v>
          </cell>
          <cell r="AC9">
            <v>-3482.2300000000005</v>
          </cell>
          <cell r="BK9">
            <v>977703.7200000002</v>
          </cell>
        </row>
        <row r="10">
          <cell r="B10" t="str">
            <v>08573352703</v>
          </cell>
          <cell r="C10">
            <v>1000132.92</v>
          </cell>
          <cell r="D10">
            <v>0</v>
          </cell>
          <cell r="H10">
            <v>22664.47</v>
          </cell>
          <cell r="I10">
            <v>169972.39</v>
          </cell>
          <cell r="J10">
            <v>89714.01999999999</v>
          </cell>
          <cell r="K10">
            <v>114857.58999999997</v>
          </cell>
          <cell r="L10">
            <v>94034.859999999986</v>
          </cell>
          <cell r="M10">
            <v>67471.19</v>
          </cell>
          <cell r="N10">
            <v>83523.31</v>
          </cell>
          <cell r="O10">
            <v>48271.810000000005</v>
          </cell>
          <cell r="P10">
            <v>77967.960000000021</v>
          </cell>
          <cell r="Q10">
            <v>117226.41000000003</v>
          </cell>
          <cell r="R10">
            <v>35735.1</v>
          </cell>
          <cell r="S10">
            <v>4050.4699999999993</v>
          </cell>
          <cell r="T10">
            <v>24937.839999999997</v>
          </cell>
          <cell r="U10">
            <v>15746.120000000003</v>
          </cell>
          <cell r="V10">
            <v>1206.79</v>
          </cell>
          <cell r="W10">
            <v>5642.5</v>
          </cell>
          <cell r="X10">
            <v>3533.3</v>
          </cell>
          <cell r="Y10">
            <v>30629.11</v>
          </cell>
          <cell r="Z10">
            <v>1212.0999999999999</v>
          </cell>
          <cell r="AA10">
            <v>2072.8699999999994</v>
          </cell>
          <cell r="AD10">
            <v>-10337.290000000001</v>
          </cell>
          <cell r="BK10">
            <v>1000132.92</v>
          </cell>
        </row>
        <row r="11">
          <cell r="B11" t="str">
            <v>08573352704</v>
          </cell>
          <cell r="C11">
            <v>163891.16000000003</v>
          </cell>
          <cell r="D11">
            <v>0</v>
          </cell>
          <cell r="K11">
            <v>1389.9099999999999</v>
          </cell>
          <cell r="L11">
            <v>5.14</v>
          </cell>
          <cell r="M11">
            <v>4.88</v>
          </cell>
          <cell r="N11">
            <v>2640.29</v>
          </cell>
          <cell r="O11">
            <v>15.350000000000001</v>
          </cell>
          <cell r="P11">
            <v>6.09</v>
          </cell>
          <cell r="Q11">
            <v>102636.37</v>
          </cell>
          <cell r="R11">
            <v>106.69</v>
          </cell>
          <cell r="S11">
            <v>106.81</v>
          </cell>
          <cell r="T11">
            <v>-62522.879999999997</v>
          </cell>
          <cell r="U11">
            <v>44081.45</v>
          </cell>
          <cell r="V11">
            <v>10886.330000000004</v>
          </cell>
          <cell r="W11">
            <v>32292.090000000004</v>
          </cell>
          <cell r="X11">
            <v>14789.539999999999</v>
          </cell>
          <cell r="Y11">
            <v>16108.470000000001</v>
          </cell>
          <cell r="Z11">
            <v>3781.2300000000005</v>
          </cell>
          <cell r="AC11">
            <v>-2436.6</v>
          </cell>
          <cell r="BK11">
            <v>163891.16000000003</v>
          </cell>
        </row>
        <row r="12">
          <cell r="B12" t="str">
            <v>08574152540</v>
          </cell>
          <cell r="C12">
            <v>1064568.9200000002</v>
          </cell>
          <cell r="D12">
            <v>0</v>
          </cell>
          <cell r="T12">
            <v>16159.86</v>
          </cell>
          <cell r="U12">
            <v>46.86</v>
          </cell>
          <cell r="W12">
            <v>1839.8600000000001</v>
          </cell>
          <cell r="AA12">
            <v>995.91</v>
          </cell>
          <cell r="AH12">
            <v>103461.24999999999</v>
          </cell>
          <cell r="AI12">
            <v>57946.650000000016</v>
          </cell>
          <cell r="AJ12">
            <v>45335.219999999994</v>
          </cell>
          <cell r="AK12">
            <v>60031.669999999991</v>
          </cell>
          <cell r="AL12">
            <v>7773.3700000000008</v>
          </cell>
          <cell r="AM12">
            <v>74955.670000000013</v>
          </cell>
          <cell r="AN12">
            <v>47955.240000000005</v>
          </cell>
          <cell r="AO12">
            <v>62162.789999999994</v>
          </cell>
          <cell r="AP12">
            <v>79882.989999999991</v>
          </cell>
          <cell r="AQ12">
            <v>52450.409999999989</v>
          </cell>
          <cell r="AR12">
            <v>97752.239999999991</v>
          </cell>
          <cell r="AS12">
            <v>26641.429999999997</v>
          </cell>
          <cell r="AT12">
            <v>4807.0300000000007</v>
          </cell>
          <cell r="AU12">
            <v>3472.6099999999997</v>
          </cell>
          <cell r="AV12">
            <v>23335.72</v>
          </cell>
          <cell r="AW12">
            <v>64425.250000000007</v>
          </cell>
          <cell r="AX12">
            <v>95953.99</v>
          </cell>
          <cell r="AY12">
            <v>24780.57</v>
          </cell>
          <cell r="AZ12">
            <v>24062.98</v>
          </cell>
          <cell r="BA12">
            <v>89359.359999999986</v>
          </cell>
          <cell r="BB12">
            <v>1294.7199999999998</v>
          </cell>
          <cell r="BC12">
            <v>10038.82</v>
          </cell>
          <cell r="BD12">
            <v>215.29</v>
          </cell>
          <cell r="BE12">
            <v>338.87999999999994</v>
          </cell>
          <cell r="BF12">
            <v>-10562.93</v>
          </cell>
          <cell r="BH12">
            <v>-2240.87</v>
          </cell>
          <cell r="BI12">
            <v>-103.91999999999999</v>
          </cell>
          <cell r="BJ12">
            <v>0</v>
          </cell>
          <cell r="BK12">
            <v>1064568.9200000002</v>
          </cell>
        </row>
        <row r="13">
          <cell r="B13" t="str">
            <v>08574152700</v>
          </cell>
          <cell r="C13">
            <v>291646.95999999996</v>
          </cell>
          <cell r="D13">
            <v>0</v>
          </cell>
          <cell r="J13">
            <v>24297.170000000002</v>
          </cell>
          <cell r="K13">
            <v>2044.85</v>
          </cell>
          <cell r="L13">
            <v>9021.630000000001</v>
          </cell>
          <cell r="M13">
            <v>98657.369999999981</v>
          </cell>
          <cell r="N13">
            <v>82910.959999999992</v>
          </cell>
          <cell r="O13">
            <v>18440.600000000002</v>
          </cell>
          <cell r="P13">
            <v>5912.6900000000014</v>
          </cell>
          <cell r="Q13">
            <v>-304.14</v>
          </cell>
          <cell r="R13">
            <v>11.370000000000005</v>
          </cell>
          <cell r="S13">
            <v>39385.78</v>
          </cell>
          <cell r="T13">
            <v>10909.800000000001</v>
          </cell>
          <cell r="U13">
            <v>1772.0200000000002</v>
          </cell>
          <cell r="V13">
            <v>2531.42</v>
          </cell>
          <cell r="W13">
            <v>893.68000000000006</v>
          </cell>
          <cell r="X13">
            <v>-4838.24</v>
          </cell>
          <cell r="BK13">
            <v>291646.95999999996</v>
          </cell>
        </row>
        <row r="14">
          <cell r="B14" t="str">
            <v>08574152701</v>
          </cell>
          <cell r="C14">
            <v>489456.94000000006</v>
          </cell>
          <cell r="D14">
            <v>0</v>
          </cell>
          <cell r="J14">
            <v>41885.839999999997</v>
          </cell>
          <cell r="K14">
            <v>22247.43</v>
          </cell>
          <cell r="L14">
            <v>149074.06999999998</v>
          </cell>
          <cell r="M14">
            <v>162139.20000000001</v>
          </cell>
          <cell r="N14">
            <v>60897.71</v>
          </cell>
          <cell r="O14">
            <v>43108.750000000007</v>
          </cell>
          <cell r="P14">
            <v>264.95</v>
          </cell>
          <cell r="Q14">
            <v>3243.6500000000005</v>
          </cell>
          <cell r="R14">
            <v>176.9</v>
          </cell>
          <cell r="S14">
            <v>5244.1799999999994</v>
          </cell>
          <cell r="T14">
            <v>4627.0700000000006</v>
          </cell>
          <cell r="U14">
            <v>518.19000000000005</v>
          </cell>
          <cell r="V14">
            <v>826.71000000000026</v>
          </cell>
          <cell r="X14">
            <v>-3711.1900000000005</v>
          </cell>
          <cell r="Z14">
            <v>-1086.52</v>
          </cell>
          <cell r="BK14">
            <v>489456.94000000006</v>
          </cell>
        </row>
        <row r="15">
          <cell r="B15" t="str">
            <v>08574152702</v>
          </cell>
          <cell r="C15">
            <v>316274.32999999996</v>
          </cell>
          <cell r="D15">
            <v>0</v>
          </cell>
          <cell r="J15">
            <v>35482.930000000008</v>
          </cell>
          <cell r="K15">
            <v>6644.5700000000006</v>
          </cell>
          <cell r="L15">
            <v>85392.08</v>
          </cell>
          <cell r="M15">
            <v>54590.520000000004</v>
          </cell>
          <cell r="N15">
            <v>98483.069999999992</v>
          </cell>
          <cell r="O15">
            <v>13153.819999999998</v>
          </cell>
          <cell r="P15">
            <v>2120.98</v>
          </cell>
          <cell r="Q15">
            <v>157.75</v>
          </cell>
          <cell r="R15">
            <v>-1223.52</v>
          </cell>
          <cell r="U15">
            <v>21760.660000000003</v>
          </cell>
          <cell r="W15">
            <v>178.71999999999997</v>
          </cell>
          <cell r="X15">
            <v>-1993.2700000000002</v>
          </cell>
          <cell r="Z15">
            <v>1526.0200000000002</v>
          </cell>
          <cell r="BK15">
            <v>316274.32999999996</v>
          </cell>
        </row>
        <row r="16">
          <cell r="B16" t="str">
            <v>08574152703</v>
          </cell>
          <cell r="C16">
            <v>611376.54</v>
          </cell>
          <cell r="D16">
            <v>0</v>
          </cell>
          <cell r="J16">
            <v>47503.469999999994</v>
          </cell>
          <cell r="K16">
            <v>25318.989999999998</v>
          </cell>
          <cell r="L16">
            <v>117474.96000000004</v>
          </cell>
          <cell r="M16">
            <v>164423.99000000002</v>
          </cell>
          <cell r="N16">
            <v>165198.19</v>
          </cell>
          <cell r="O16">
            <v>42379.519999999997</v>
          </cell>
          <cell r="P16">
            <v>2576.9600000000005</v>
          </cell>
          <cell r="Q16">
            <v>1451.5499999999997</v>
          </cell>
          <cell r="R16">
            <v>-1725.48</v>
          </cell>
          <cell r="T16">
            <v>6564.5300000000007</v>
          </cell>
          <cell r="U16">
            <v>3159.4300000000003</v>
          </cell>
          <cell r="V16">
            <v>41103.370000000003</v>
          </cell>
          <cell r="W16">
            <v>-978.5100000000001</v>
          </cell>
          <cell r="X16">
            <v>-4062.8799999999997</v>
          </cell>
          <cell r="Z16">
            <v>988.45000000000016</v>
          </cell>
          <cell r="BK16">
            <v>611376.54</v>
          </cell>
        </row>
        <row r="17">
          <cell r="B17" t="str">
            <v>08574152704</v>
          </cell>
          <cell r="C17">
            <v>648342.91000000015</v>
          </cell>
          <cell r="D17">
            <v>0</v>
          </cell>
          <cell r="J17">
            <v>4453.34</v>
          </cell>
          <cell r="K17">
            <v>4240.2299999999996</v>
          </cell>
          <cell r="L17">
            <v>41843.120000000003</v>
          </cell>
          <cell r="M17">
            <v>58649.21</v>
          </cell>
          <cell r="N17">
            <v>289924.06000000011</v>
          </cell>
          <cell r="O17">
            <v>26058.579999999994</v>
          </cell>
          <cell r="P17">
            <v>48214.14</v>
          </cell>
          <cell r="Q17">
            <v>5228.2099999999991</v>
          </cell>
          <cell r="R17">
            <v>1490.94</v>
          </cell>
          <cell r="S17">
            <v>116039.81000000001</v>
          </cell>
          <cell r="T17">
            <v>49451.310000000005</v>
          </cell>
          <cell r="U17">
            <v>-6981.31</v>
          </cell>
          <cell r="V17">
            <v>2371.41</v>
          </cell>
          <cell r="W17">
            <v>4187.7700000000004</v>
          </cell>
          <cell r="X17">
            <v>-4215.9699999999993</v>
          </cell>
          <cell r="Y17">
            <v>48.599999999999994</v>
          </cell>
          <cell r="Z17">
            <v>7339.46</v>
          </cell>
          <cell r="BK17">
            <v>648342.91000000015</v>
          </cell>
        </row>
        <row r="18">
          <cell r="B18" t="str">
            <v>08574152705</v>
          </cell>
          <cell r="C18">
            <v>130547.38999999998</v>
          </cell>
          <cell r="D18">
            <v>0</v>
          </cell>
          <cell r="J18">
            <v>3208.4500000000003</v>
          </cell>
          <cell r="K18">
            <v>2619.62</v>
          </cell>
          <cell r="L18">
            <v>211.66</v>
          </cell>
          <cell r="M18">
            <v>10181.020000000002</v>
          </cell>
          <cell r="N18">
            <v>1606.69</v>
          </cell>
          <cell r="O18">
            <v>1680.38</v>
          </cell>
          <cell r="P18">
            <v>12390.29</v>
          </cell>
          <cell r="Q18">
            <v>57979.719999999994</v>
          </cell>
          <cell r="R18">
            <v>16591.22</v>
          </cell>
          <cell r="S18">
            <v>118.14000000000001</v>
          </cell>
          <cell r="T18">
            <v>6056.5300000000007</v>
          </cell>
          <cell r="U18">
            <v>847.68</v>
          </cell>
          <cell r="V18">
            <v>13122.199999999999</v>
          </cell>
          <cell r="W18">
            <v>3933.79</v>
          </cell>
          <cell r="BK18">
            <v>130547.38999999998</v>
          </cell>
        </row>
        <row r="19">
          <cell r="B19" t="str">
            <v>08574152706</v>
          </cell>
          <cell r="C19">
            <v>576733.92000000004</v>
          </cell>
          <cell r="D19">
            <v>0</v>
          </cell>
          <cell r="J19">
            <v>2912.6600000000003</v>
          </cell>
          <cell r="K19">
            <v>7724.42</v>
          </cell>
          <cell r="L19">
            <v>39.36</v>
          </cell>
          <cell r="M19">
            <v>21155.57</v>
          </cell>
          <cell r="N19">
            <v>61578.330000000009</v>
          </cell>
          <cell r="O19">
            <v>134815.76999999999</v>
          </cell>
          <cell r="P19">
            <v>19900.419999999998</v>
          </cell>
          <cell r="Q19">
            <v>164170.87000000002</v>
          </cell>
          <cell r="R19">
            <v>70566.53</v>
          </cell>
          <cell r="S19">
            <v>33518.89</v>
          </cell>
          <cell r="T19">
            <v>5138.8399999999992</v>
          </cell>
          <cell r="U19">
            <v>17934.59</v>
          </cell>
          <cell r="V19">
            <v>13035.29</v>
          </cell>
          <cell r="Z19">
            <v>23223.11</v>
          </cell>
          <cell r="AB19">
            <v>953.31999999999994</v>
          </cell>
          <cell r="AC19">
            <v>65.95</v>
          </cell>
          <cell r="BK19">
            <v>576733.92000000004</v>
          </cell>
        </row>
        <row r="20">
          <cell r="B20" t="str">
            <v>08574152707</v>
          </cell>
          <cell r="C20">
            <v>1027680.16</v>
          </cell>
          <cell r="D20">
            <v>0</v>
          </cell>
          <cell r="J20">
            <v>3610.5000000000005</v>
          </cell>
          <cell r="K20">
            <v>7472.7300000000005</v>
          </cell>
          <cell r="L20">
            <v>16889.27</v>
          </cell>
          <cell r="M20">
            <v>4040.03</v>
          </cell>
          <cell r="N20">
            <v>226850.92</v>
          </cell>
          <cell r="O20">
            <v>441793.28000000003</v>
          </cell>
          <cell r="P20">
            <v>185223.14</v>
          </cell>
          <cell r="Q20">
            <v>112813.26</v>
          </cell>
          <cell r="R20">
            <v>1100.8</v>
          </cell>
          <cell r="S20">
            <v>363.82</v>
          </cell>
          <cell r="T20">
            <v>120.42</v>
          </cell>
          <cell r="U20">
            <v>27401.99</v>
          </cell>
          <cell r="BK20">
            <v>1027680.16</v>
          </cell>
        </row>
        <row r="21">
          <cell r="B21" t="str">
            <v>08574152708</v>
          </cell>
          <cell r="C21">
            <v>20888.469999999998</v>
          </cell>
          <cell r="D21">
            <v>0</v>
          </cell>
          <cell r="K21">
            <v>1989.1200000000001</v>
          </cell>
          <cell r="L21">
            <v>233.19</v>
          </cell>
          <cell r="M21">
            <v>2398.6300000000006</v>
          </cell>
          <cell r="N21">
            <v>14547.369999999997</v>
          </cell>
          <cell r="O21">
            <v>355.70000000000016</v>
          </cell>
          <cell r="P21">
            <v>342.55000000000007</v>
          </cell>
          <cell r="Q21">
            <v>1182.94</v>
          </cell>
          <cell r="X21">
            <v>-161.03</v>
          </cell>
          <cell r="BK21">
            <v>20888.469999999998</v>
          </cell>
        </row>
        <row r="22">
          <cell r="B22" t="str">
            <v>08574152709</v>
          </cell>
          <cell r="C22">
            <v>537826.19000000006</v>
          </cell>
          <cell r="D22">
            <v>0</v>
          </cell>
          <cell r="J22">
            <v>15823.28</v>
          </cell>
          <cell r="K22">
            <v>10640.13</v>
          </cell>
          <cell r="L22">
            <v>5380.7</v>
          </cell>
          <cell r="M22">
            <v>1408.1100000000001</v>
          </cell>
          <cell r="N22">
            <v>199959.61000000002</v>
          </cell>
          <cell r="O22">
            <v>99399.540000000023</v>
          </cell>
          <cell r="P22">
            <v>25475.609999999997</v>
          </cell>
          <cell r="Q22">
            <v>8840.4700000000012</v>
          </cell>
          <cell r="R22">
            <v>31185.719999999994</v>
          </cell>
          <cell r="S22">
            <v>24874.45</v>
          </cell>
          <cell r="T22">
            <v>36650.730000000003</v>
          </cell>
          <cell r="U22">
            <v>32850.230000000003</v>
          </cell>
          <cell r="V22">
            <v>35371.97</v>
          </cell>
          <cell r="W22">
            <v>3110</v>
          </cell>
          <cell r="X22">
            <v>315.3</v>
          </cell>
          <cell r="Y22">
            <v>72.900000000000006</v>
          </cell>
          <cell r="Z22">
            <v>6467.4400000000005</v>
          </cell>
          <cell r="BK22">
            <v>537826.19000000006</v>
          </cell>
        </row>
        <row r="23">
          <cell r="B23" t="str">
            <v>08574152710</v>
          </cell>
          <cell r="C23">
            <v>633024.7899999998</v>
          </cell>
          <cell r="D23">
            <v>0</v>
          </cell>
          <cell r="J23">
            <v>4941.3099999999995</v>
          </cell>
          <cell r="K23">
            <v>4485.9500000000007</v>
          </cell>
          <cell r="L23">
            <v>2306.8100000000004</v>
          </cell>
          <cell r="M23">
            <v>3191.96</v>
          </cell>
          <cell r="N23">
            <v>36840.249999999993</v>
          </cell>
          <cell r="O23">
            <v>51713.4</v>
          </cell>
          <cell r="P23">
            <v>98973.549999999988</v>
          </cell>
          <cell r="Q23">
            <v>135913.26</v>
          </cell>
          <cell r="R23">
            <v>215177.17999999996</v>
          </cell>
          <cell r="S23">
            <v>33109.22</v>
          </cell>
          <cell r="T23">
            <v>5077.4699999999993</v>
          </cell>
          <cell r="U23">
            <v>43897.41</v>
          </cell>
          <cell r="V23">
            <v>1734.2</v>
          </cell>
          <cell r="W23">
            <v>1640.04</v>
          </cell>
          <cell r="X23">
            <v>1150.2</v>
          </cell>
          <cell r="Y23">
            <v>-9677.56</v>
          </cell>
          <cell r="Z23">
            <v>2793.34</v>
          </cell>
          <cell r="AB23">
            <v>-243.2</v>
          </cell>
          <cell r="BK23">
            <v>633024.7899999998</v>
          </cell>
        </row>
        <row r="24">
          <cell r="B24" t="str">
            <v>08574152711</v>
          </cell>
          <cell r="C24">
            <v>431605.83000000007</v>
          </cell>
          <cell r="D24">
            <v>0</v>
          </cell>
          <cell r="K24">
            <v>5762.6500000000005</v>
          </cell>
          <cell r="L24">
            <v>21.32</v>
          </cell>
          <cell r="M24">
            <v>35385.51</v>
          </cell>
          <cell r="N24">
            <v>27308.730000000003</v>
          </cell>
          <cell r="O24">
            <v>1158.3700000000001</v>
          </cell>
          <cell r="P24">
            <v>16376.92</v>
          </cell>
          <cell r="Q24">
            <v>111456.59999999999</v>
          </cell>
          <cell r="R24">
            <v>126091.15000000001</v>
          </cell>
          <cell r="S24">
            <v>23734.199999999993</v>
          </cell>
          <cell r="T24">
            <v>7829.8899999999994</v>
          </cell>
          <cell r="U24">
            <v>8001.5300000000007</v>
          </cell>
          <cell r="V24">
            <v>36543.19</v>
          </cell>
          <cell r="W24">
            <v>9204.0500000000011</v>
          </cell>
          <cell r="X24">
            <v>23002.47</v>
          </cell>
          <cell r="Y24">
            <v>24.3</v>
          </cell>
          <cell r="Z24">
            <v>-295.04999999999995</v>
          </cell>
          <cell r="BK24">
            <v>431605.83000000007</v>
          </cell>
        </row>
        <row r="25">
          <cell r="B25" t="str">
            <v>08574152712</v>
          </cell>
          <cell r="C25">
            <v>680988.28000000014</v>
          </cell>
          <cell r="D25">
            <v>0</v>
          </cell>
          <cell r="K25">
            <v>7046.79</v>
          </cell>
          <cell r="L25">
            <v>4398.3600000000006</v>
          </cell>
          <cell r="M25">
            <v>23645.56</v>
          </cell>
          <cell r="N25">
            <v>79923.180000000008</v>
          </cell>
          <cell r="O25">
            <v>30513.199999999993</v>
          </cell>
          <cell r="P25">
            <v>99473.869999999966</v>
          </cell>
          <cell r="Q25">
            <v>188538.68999999997</v>
          </cell>
          <cell r="R25">
            <v>109605.27</v>
          </cell>
          <cell r="S25">
            <v>83368.470000000016</v>
          </cell>
          <cell r="T25">
            <v>6310.1600000000008</v>
          </cell>
          <cell r="U25">
            <v>2523.6799999999998</v>
          </cell>
          <cell r="V25">
            <v>39796.06</v>
          </cell>
          <cell r="W25">
            <v>5041.7400000000007</v>
          </cell>
          <cell r="X25">
            <v>10739.150000000001</v>
          </cell>
          <cell r="Y25">
            <v>-10444.58</v>
          </cell>
          <cell r="Z25">
            <v>508.68</v>
          </cell>
          <cell r="BK25">
            <v>680988.28000000014</v>
          </cell>
        </row>
        <row r="26">
          <cell r="B26" t="str">
            <v>08574152713</v>
          </cell>
          <cell r="C26">
            <v>2.2737367544323206E-12</v>
          </cell>
          <cell r="D26">
            <v>0</v>
          </cell>
          <cell r="M26">
            <v>1348.26</v>
          </cell>
          <cell r="N26">
            <v>3009.5700000000006</v>
          </cell>
          <cell r="O26">
            <v>16.559999999999999</v>
          </cell>
          <cell r="P26">
            <v>6.5600000000000005</v>
          </cell>
          <cell r="Q26">
            <v>6.57</v>
          </cell>
          <cell r="R26">
            <v>4.3899999999999997</v>
          </cell>
          <cell r="S26">
            <v>4.3899999999999997</v>
          </cell>
          <cell r="T26">
            <v>14.06</v>
          </cell>
          <cell r="U26">
            <v>-2846.8500000000004</v>
          </cell>
          <cell r="V26">
            <v>-1563.5099999999998</v>
          </cell>
          <cell r="BK26">
            <v>2.2737367544323206E-12</v>
          </cell>
        </row>
        <row r="27">
          <cell r="B27" t="str">
            <v>08574152714</v>
          </cell>
          <cell r="C27">
            <v>61603.439999999995</v>
          </cell>
          <cell r="D27">
            <v>0</v>
          </cell>
          <cell r="M27">
            <v>5864.74</v>
          </cell>
          <cell r="N27">
            <v>5005.4100000000008</v>
          </cell>
          <cell r="O27">
            <v>13879.279999999997</v>
          </cell>
          <cell r="P27">
            <v>22667.670000000002</v>
          </cell>
          <cell r="Q27">
            <v>5099.8799999999983</v>
          </cell>
          <cell r="R27">
            <v>122.64000000000001</v>
          </cell>
          <cell r="S27">
            <v>988.34</v>
          </cell>
          <cell r="T27">
            <v>-302.3</v>
          </cell>
          <cell r="U27">
            <v>-432.56</v>
          </cell>
          <cell r="V27">
            <v>8963.4</v>
          </cell>
          <cell r="W27">
            <v>355.49</v>
          </cell>
          <cell r="X27">
            <v>-608.54999999999995</v>
          </cell>
          <cell r="BK27">
            <v>61603.439999999995</v>
          </cell>
        </row>
        <row r="28">
          <cell r="B28" t="str">
            <v>08574152715</v>
          </cell>
          <cell r="C28">
            <v>179488.26</v>
          </cell>
          <cell r="D28">
            <v>0</v>
          </cell>
          <cell r="K28">
            <v>106.08000000000001</v>
          </cell>
          <cell r="L28">
            <v>0.39</v>
          </cell>
          <cell r="M28">
            <v>10574.28</v>
          </cell>
          <cell r="N28">
            <v>6440.14</v>
          </cell>
          <cell r="O28">
            <v>4241.3</v>
          </cell>
          <cell r="P28">
            <v>22278.01</v>
          </cell>
          <cell r="Q28">
            <v>40074.44</v>
          </cell>
          <cell r="R28">
            <v>30053.29</v>
          </cell>
          <cell r="S28">
            <v>2454.0100000000002</v>
          </cell>
          <cell r="T28">
            <v>4726.62</v>
          </cell>
          <cell r="U28">
            <v>13556.579999999998</v>
          </cell>
          <cell r="V28">
            <v>26279.660000000003</v>
          </cell>
          <cell r="W28">
            <v>123.19999999999986</v>
          </cell>
          <cell r="X28">
            <v>18580.260000000002</v>
          </cell>
          <cell r="BK28">
            <v>179488.26</v>
          </cell>
        </row>
        <row r="29">
          <cell r="B29" t="str">
            <v>08582152010</v>
          </cell>
          <cell r="C29">
            <v>33374.9</v>
          </cell>
          <cell r="D29">
            <v>0</v>
          </cell>
          <cell r="G29">
            <v>32614.09</v>
          </cell>
          <cell r="H29">
            <v>88.06</v>
          </cell>
          <cell r="I29">
            <v>-88.06</v>
          </cell>
          <cell r="Q29">
            <v>974.89</v>
          </cell>
          <cell r="R29">
            <v>32.57</v>
          </cell>
          <cell r="S29">
            <v>32.57</v>
          </cell>
          <cell r="T29">
            <v>-279.22000000000003</v>
          </cell>
          <cell r="BK29">
            <v>33374.9</v>
          </cell>
        </row>
        <row r="30">
          <cell r="B30" t="str">
            <v>08582152540</v>
          </cell>
          <cell r="C30">
            <v>1181073.8400000001</v>
          </cell>
          <cell r="D30">
            <v>0</v>
          </cell>
          <cell r="Q30">
            <v>17702.48</v>
          </cell>
          <cell r="R30">
            <v>17.7</v>
          </cell>
          <cell r="S30">
            <v>12165.12</v>
          </cell>
          <cell r="T30">
            <v>164149.66</v>
          </cell>
          <cell r="U30">
            <v>103822.87000000001</v>
          </cell>
          <cell r="V30">
            <v>145934.98000000001</v>
          </cell>
          <cell r="W30">
            <v>79567.669999999984</v>
          </cell>
          <cell r="X30">
            <v>154262.70000000001</v>
          </cell>
          <cell r="Y30">
            <v>202163.49999999997</v>
          </cell>
          <cell r="Z30">
            <v>316988.91000000003</v>
          </cell>
          <cell r="AA30">
            <v>-6620.2300000000005</v>
          </cell>
          <cell r="AB30">
            <v>-9081.52</v>
          </cell>
          <cell r="BK30">
            <v>1181073.8400000001</v>
          </cell>
        </row>
        <row r="31">
          <cell r="B31" t="str">
            <v>08582152700</v>
          </cell>
          <cell r="C31">
            <v>510550.38000000006</v>
          </cell>
          <cell r="D31">
            <v>0</v>
          </cell>
          <cell r="H31">
            <v>18989</v>
          </cell>
          <cell r="I31">
            <v>290060.03000000003</v>
          </cell>
          <cell r="J31">
            <v>955.5</v>
          </cell>
          <cell r="K31">
            <v>172216.55000000002</v>
          </cell>
          <cell r="M31">
            <v>12221.4</v>
          </cell>
          <cell r="N31">
            <v>1359.0300000000002</v>
          </cell>
          <cell r="P31">
            <v>5310.8</v>
          </cell>
          <cell r="Q31">
            <v>9336.7900000000009</v>
          </cell>
          <cell r="S31">
            <v>-8.2600000000000016</v>
          </cell>
          <cell r="W31">
            <v>117.13</v>
          </cell>
          <cell r="X31">
            <v>-7.5900000000000007</v>
          </cell>
          <cell r="BK31">
            <v>510550.38000000006</v>
          </cell>
        </row>
        <row r="32">
          <cell r="B32" t="str">
            <v>08582152701</v>
          </cell>
          <cell r="C32">
            <v>656137.21000000008</v>
          </cell>
          <cell r="D32">
            <v>0</v>
          </cell>
          <cell r="H32">
            <v>42616.130000000005</v>
          </cell>
          <cell r="I32">
            <v>269939.44000000006</v>
          </cell>
          <cell r="J32">
            <v>44797.960000000006</v>
          </cell>
          <cell r="K32">
            <v>127875.75</v>
          </cell>
          <cell r="L32">
            <v>50435.709999999992</v>
          </cell>
          <cell r="M32">
            <v>8836.08</v>
          </cell>
          <cell r="N32">
            <v>29545.57</v>
          </cell>
          <cell r="O32">
            <v>2272.0200000000004</v>
          </cell>
          <cell r="P32">
            <v>23626.240000000002</v>
          </cell>
          <cell r="Q32">
            <v>53258.77</v>
          </cell>
          <cell r="R32">
            <v>0</v>
          </cell>
          <cell r="S32">
            <v>340.03</v>
          </cell>
          <cell r="T32">
            <v>2479.54</v>
          </cell>
          <cell r="U32">
            <v>113.97</v>
          </cell>
          <cell r="BK32">
            <v>656137.21000000008</v>
          </cell>
        </row>
        <row r="33">
          <cell r="B33" t="str">
            <v>08582152702</v>
          </cell>
          <cell r="C33">
            <v>670615.26</v>
          </cell>
          <cell r="D33">
            <v>0</v>
          </cell>
          <cell r="H33">
            <v>61954.119999999995</v>
          </cell>
          <cell r="I33">
            <v>24407.509999999995</v>
          </cell>
          <cell r="J33">
            <v>122918.15000000002</v>
          </cell>
          <cell r="K33">
            <v>138350.04</v>
          </cell>
          <cell r="L33">
            <v>154466.28999999998</v>
          </cell>
          <cell r="M33">
            <v>43598.29</v>
          </cell>
          <cell r="N33">
            <v>83108.090000000011</v>
          </cell>
          <cell r="O33">
            <v>245.78999999999976</v>
          </cell>
          <cell r="P33">
            <v>25516.23</v>
          </cell>
          <cell r="Q33">
            <v>14352.230000000001</v>
          </cell>
          <cell r="R33">
            <v>257.17</v>
          </cell>
          <cell r="S33">
            <v>601.1</v>
          </cell>
          <cell r="T33">
            <v>2005.93</v>
          </cell>
          <cell r="U33">
            <v>-3016.7500000000005</v>
          </cell>
          <cell r="V33">
            <v>3563.34</v>
          </cell>
          <cell r="X33">
            <v>-1712.27</v>
          </cell>
          <cell r="BK33">
            <v>670615.26</v>
          </cell>
        </row>
        <row r="34">
          <cell r="B34" t="str">
            <v>08582152703</v>
          </cell>
          <cell r="C34">
            <v>247040.84</v>
          </cell>
          <cell r="D34">
            <v>0</v>
          </cell>
          <cell r="G34">
            <v>54308.13</v>
          </cell>
          <cell r="H34">
            <v>33238.429999999993</v>
          </cell>
          <cell r="I34">
            <v>50804.560000000005</v>
          </cell>
          <cell r="J34">
            <v>76165.710000000036</v>
          </cell>
          <cell r="K34">
            <v>-31991.46</v>
          </cell>
          <cell r="L34">
            <v>13544.39</v>
          </cell>
          <cell r="M34">
            <v>35819.460000000006</v>
          </cell>
          <cell r="N34">
            <v>-1741.98</v>
          </cell>
          <cell r="P34">
            <v>9906.68</v>
          </cell>
          <cell r="Q34">
            <v>2824.65</v>
          </cell>
          <cell r="S34">
            <v>0</v>
          </cell>
          <cell r="U34">
            <v>4162.2699999999995</v>
          </cell>
          <cell r="BK34">
            <v>247040.84</v>
          </cell>
        </row>
        <row r="35">
          <cell r="B35" t="str">
            <v>08582152704</v>
          </cell>
          <cell r="C35">
            <v>515174.99000000005</v>
          </cell>
          <cell r="D35">
            <v>0</v>
          </cell>
          <cell r="I35">
            <v>71707.64</v>
          </cell>
          <cell r="J35">
            <v>42201.409999999996</v>
          </cell>
          <cell r="K35">
            <v>104351.49000000002</v>
          </cell>
          <cell r="L35">
            <v>163683.25</v>
          </cell>
          <cell r="M35">
            <v>31969.5</v>
          </cell>
          <cell r="N35">
            <v>75329.259999999995</v>
          </cell>
          <cell r="O35">
            <v>7632.3899999999994</v>
          </cell>
          <cell r="P35">
            <v>3422.34</v>
          </cell>
          <cell r="Q35">
            <v>4016.99</v>
          </cell>
          <cell r="R35">
            <v>6103.92</v>
          </cell>
          <cell r="S35">
            <v>-1923.64</v>
          </cell>
          <cell r="T35">
            <v>5546.4299999999994</v>
          </cell>
          <cell r="U35">
            <v>911.17000000000007</v>
          </cell>
          <cell r="V35">
            <v>7201.2800000000007</v>
          </cell>
          <cell r="W35">
            <v>-4918.95</v>
          </cell>
          <cell r="X35">
            <v>-2059.4899999999998</v>
          </cell>
          <cell r="BK35">
            <v>515174.99000000005</v>
          </cell>
        </row>
        <row r="36">
          <cell r="B36" t="str">
            <v>08582152705</v>
          </cell>
          <cell r="C36">
            <v>723662.00000000012</v>
          </cell>
          <cell r="D36">
            <v>0</v>
          </cell>
          <cell r="I36">
            <v>90639.489999999991</v>
          </cell>
          <cell r="J36">
            <v>25578.07</v>
          </cell>
          <cell r="K36">
            <v>48874.729999999989</v>
          </cell>
          <cell r="L36">
            <v>313801.25999999995</v>
          </cell>
          <cell r="M36">
            <v>53613.16</v>
          </cell>
          <cell r="N36">
            <v>117739.18000000001</v>
          </cell>
          <cell r="O36">
            <v>18954.399999999994</v>
          </cell>
          <cell r="P36">
            <v>46315.15</v>
          </cell>
          <cell r="Q36">
            <v>2079.42</v>
          </cell>
          <cell r="R36">
            <v>0</v>
          </cell>
          <cell r="S36">
            <v>11334.840000000002</v>
          </cell>
          <cell r="T36">
            <v>607.99</v>
          </cell>
          <cell r="U36">
            <v>21.8</v>
          </cell>
          <cell r="X36">
            <v>-2190.4499999999998</v>
          </cell>
          <cell r="Z36">
            <v>-3707.04</v>
          </cell>
          <cell r="BK36">
            <v>723662.00000000012</v>
          </cell>
        </row>
        <row r="37">
          <cell r="B37" t="str">
            <v>08582152706</v>
          </cell>
          <cell r="C37">
            <v>158989.14999999997</v>
          </cell>
          <cell r="D37">
            <v>0</v>
          </cell>
          <cell r="I37">
            <v>31678.98</v>
          </cell>
          <cell r="J37">
            <v>20505.25</v>
          </cell>
          <cell r="K37">
            <v>4716.75</v>
          </cell>
          <cell r="L37">
            <v>38292.99</v>
          </cell>
          <cell r="M37">
            <v>17352.670000000002</v>
          </cell>
          <cell r="N37">
            <v>16327.78</v>
          </cell>
          <cell r="O37">
            <v>-183.27</v>
          </cell>
          <cell r="P37">
            <v>12528.03</v>
          </cell>
          <cell r="Q37">
            <v>17967.73</v>
          </cell>
          <cell r="R37">
            <v>-263.7</v>
          </cell>
          <cell r="S37">
            <v>11123.89</v>
          </cell>
          <cell r="U37">
            <v>-11057.95</v>
          </cell>
          <cell r="BK37">
            <v>158989.14999999997</v>
          </cell>
        </row>
        <row r="38">
          <cell r="B38" t="str">
            <v>08582152707</v>
          </cell>
          <cell r="C38">
            <v>28158.930000000008</v>
          </cell>
          <cell r="D38">
            <v>0</v>
          </cell>
          <cell r="H38">
            <v>1567.8000000000002</v>
          </cell>
          <cell r="I38">
            <v>37452.140000000007</v>
          </cell>
          <cell r="J38">
            <v>21672.74</v>
          </cell>
          <cell r="K38">
            <v>-37883.14</v>
          </cell>
          <cell r="M38">
            <v>2302.0500000000002</v>
          </cell>
          <cell r="N38">
            <v>1123.48</v>
          </cell>
          <cell r="P38">
            <v>612.79999999999995</v>
          </cell>
          <cell r="R38">
            <v>0</v>
          </cell>
          <cell r="V38">
            <v>1311.06</v>
          </cell>
          <cell r="BK38">
            <v>28158.930000000008</v>
          </cell>
        </row>
        <row r="39">
          <cell r="B39" t="str">
            <v>08582152708</v>
          </cell>
          <cell r="C39">
            <v>16683.210000000003</v>
          </cell>
          <cell r="D39">
            <v>0</v>
          </cell>
          <cell r="J39">
            <v>912.96</v>
          </cell>
          <cell r="K39">
            <v>2.46</v>
          </cell>
          <cell r="L39">
            <v>1719.2799999999997</v>
          </cell>
          <cell r="M39">
            <v>1919.66</v>
          </cell>
          <cell r="N39">
            <v>9521.7900000000009</v>
          </cell>
          <cell r="O39">
            <v>53.49</v>
          </cell>
          <cell r="P39">
            <v>-112.51</v>
          </cell>
          <cell r="R39">
            <v>-645.55999999999995</v>
          </cell>
          <cell r="S39">
            <v>3311.6400000000003</v>
          </cell>
          <cell r="BK39">
            <v>16683.210000000003</v>
          </cell>
        </row>
        <row r="40">
          <cell r="B40" t="str">
            <v>08582152709</v>
          </cell>
          <cell r="C40">
            <v>92585.809999999983</v>
          </cell>
          <cell r="D40">
            <v>0</v>
          </cell>
          <cell r="J40">
            <v>8506.2199999999993</v>
          </cell>
          <cell r="K40">
            <v>1663.47</v>
          </cell>
          <cell r="L40">
            <v>38354.080000000009</v>
          </cell>
          <cell r="M40">
            <v>29406.29</v>
          </cell>
          <cell r="N40">
            <v>1388.4299999999998</v>
          </cell>
          <cell r="P40">
            <v>-127.35000000000001</v>
          </cell>
          <cell r="R40">
            <v>-669.64</v>
          </cell>
          <cell r="S40">
            <v>13744.73</v>
          </cell>
          <cell r="V40">
            <v>319.58</v>
          </cell>
          <cell r="BK40">
            <v>92585.809999999983</v>
          </cell>
        </row>
        <row r="41">
          <cell r="B41" t="str">
            <v>08582152710</v>
          </cell>
          <cell r="C41">
            <v>115284.60999999999</v>
          </cell>
          <cell r="D41">
            <v>0</v>
          </cell>
          <cell r="J41">
            <v>10211.390000000001</v>
          </cell>
          <cell r="K41">
            <v>661.92</v>
          </cell>
          <cell r="L41">
            <v>11741.97</v>
          </cell>
          <cell r="M41">
            <v>35998.910000000011</v>
          </cell>
          <cell r="N41">
            <v>21279.339999999997</v>
          </cell>
          <cell r="O41">
            <v>92.69</v>
          </cell>
          <cell r="P41">
            <v>1758.01</v>
          </cell>
          <cell r="Q41">
            <v>20439.250000000004</v>
          </cell>
          <cell r="R41">
            <v>-527.13</v>
          </cell>
          <cell r="S41">
            <v>12416.14</v>
          </cell>
          <cell r="T41">
            <v>1444.19</v>
          </cell>
          <cell r="V41">
            <v>710.4</v>
          </cell>
          <cell r="Z41">
            <v>-942.47</v>
          </cell>
          <cell r="BK41">
            <v>115284.60999999999</v>
          </cell>
        </row>
        <row r="42">
          <cell r="B42" t="str">
            <v>08582152711</v>
          </cell>
          <cell r="C42">
            <v>78796.259999999995</v>
          </cell>
          <cell r="D42">
            <v>0</v>
          </cell>
          <cell r="J42">
            <v>6948.59</v>
          </cell>
          <cell r="K42">
            <v>1533.02</v>
          </cell>
          <cell r="L42">
            <v>25004.989999999998</v>
          </cell>
          <cell r="M42">
            <v>33388.93</v>
          </cell>
          <cell r="N42">
            <v>13025.899999999998</v>
          </cell>
          <cell r="P42">
            <v>-103.22</v>
          </cell>
          <cell r="R42">
            <v>-327.9</v>
          </cell>
          <cell r="S42">
            <v>340.03</v>
          </cell>
          <cell r="Z42">
            <v>-1014.0799999999999</v>
          </cell>
          <cell r="BK42">
            <v>78796.259999999995</v>
          </cell>
        </row>
        <row r="43">
          <cell r="B43" t="str">
            <v>08582152712</v>
          </cell>
          <cell r="C43">
            <v>760401.96000000008</v>
          </cell>
          <cell r="D43">
            <v>0</v>
          </cell>
          <cell r="K43">
            <v>14890.76</v>
          </cell>
          <cell r="L43">
            <v>71796.340000000026</v>
          </cell>
          <cell r="M43">
            <v>193578.04</v>
          </cell>
          <cell r="N43">
            <v>308150.8</v>
          </cell>
          <cell r="O43">
            <v>6508.1499999999987</v>
          </cell>
          <cell r="P43">
            <v>13251.53</v>
          </cell>
          <cell r="Q43">
            <v>91599.41</v>
          </cell>
          <cell r="R43">
            <v>472.59999999999997</v>
          </cell>
          <cell r="S43">
            <v>47070.12000000001</v>
          </cell>
          <cell r="T43">
            <v>11307.75</v>
          </cell>
          <cell r="U43">
            <v>1739.4199999999998</v>
          </cell>
          <cell r="V43">
            <v>929.93000000000006</v>
          </cell>
          <cell r="W43">
            <v>-6138.37</v>
          </cell>
          <cell r="Z43">
            <v>-1231.3900000000001</v>
          </cell>
          <cell r="AA43">
            <v>6476.87</v>
          </cell>
          <cell r="BK43">
            <v>760401.96000000008</v>
          </cell>
        </row>
        <row r="44">
          <cell r="B44" t="str">
            <v>08582152713</v>
          </cell>
          <cell r="C44">
            <v>668344.82999999984</v>
          </cell>
          <cell r="D44">
            <v>0</v>
          </cell>
          <cell r="K44">
            <v>8780.4600000000009</v>
          </cell>
          <cell r="L44">
            <v>49406.57</v>
          </cell>
          <cell r="M44">
            <v>79428.210000000006</v>
          </cell>
          <cell r="N44">
            <v>208913.71</v>
          </cell>
          <cell r="O44">
            <v>25227.879999999997</v>
          </cell>
          <cell r="P44">
            <v>87770.640000000014</v>
          </cell>
          <cell r="Q44">
            <v>82074.110000000015</v>
          </cell>
          <cell r="R44">
            <v>25958.329999999998</v>
          </cell>
          <cell r="S44">
            <v>66041.69</v>
          </cell>
          <cell r="T44">
            <v>31331</v>
          </cell>
          <cell r="U44">
            <v>17064.59</v>
          </cell>
          <cell r="V44">
            <v>-1501.9300000000005</v>
          </cell>
          <cell r="W44">
            <v>5.9300000000000006</v>
          </cell>
          <cell r="X44">
            <v>-5092.3900000000003</v>
          </cell>
          <cell r="Y44">
            <v>-1095</v>
          </cell>
          <cell r="Z44">
            <v>-5968.97</v>
          </cell>
          <cell r="BK44">
            <v>668344.82999999984</v>
          </cell>
        </row>
        <row r="45">
          <cell r="B45" t="str">
            <v>08582152714</v>
          </cell>
          <cell r="C45">
            <v>820187.94999999984</v>
          </cell>
          <cell r="D45">
            <v>0</v>
          </cell>
          <cell r="K45">
            <v>9853.4500000000007</v>
          </cell>
          <cell r="L45">
            <v>47651.81</v>
          </cell>
          <cell r="M45">
            <v>14672.590000000002</v>
          </cell>
          <cell r="N45">
            <v>211706.18</v>
          </cell>
          <cell r="O45">
            <v>23187.479999999996</v>
          </cell>
          <cell r="P45">
            <v>65486.55000000001</v>
          </cell>
          <cell r="Q45">
            <v>190645.12999999998</v>
          </cell>
          <cell r="R45">
            <v>153492.66</v>
          </cell>
          <cell r="S45">
            <v>24240.120000000003</v>
          </cell>
          <cell r="T45">
            <v>87693.21</v>
          </cell>
          <cell r="U45">
            <v>7889.2400000000007</v>
          </cell>
          <cell r="V45">
            <v>-3288.7799999999997</v>
          </cell>
          <cell r="W45">
            <v>560.86000000000013</v>
          </cell>
          <cell r="X45">
            <v>-5666.16</v>
          </cell>
          <cell r="Z45">
            <v>-7728.24</v>
          </cell>
          <cell r="AA45">
            <v>-208.15</v>
          </cell>
          <cell r="BK45">
            <v>820187.94999999984</v>
          </cell>
        </row>
        <row r="46">
          <cell r="B46" t="str">
            <v>08583352525</v>
          </cell>
          <cell r="C46">
            <v>95920.34</v>
          </cell>
          <cell r="D46">
            <v>0</v>
          </cell>
          <cell r="P46">
            <v>12839.48</v>
          </cell>
          <cell r="Q46">
            <v>36267.35</v>
          </cell>
          <cell r="R46">
            <v>33315.94</v>
          </cell>
          <cell r="S46">
            <v>3979.14</v>
          </cell>
          <cell r="T46">
            <v>138.97</v>
          </cell>
          <cell r="Z46">
            <v>9501.2300000000014</v>
          </cell>
          <cell r="AG46">
            <v>-121.77</v>
          </cell>
          <cell r="BK46">
            <v>95920.34</v>
          </cell>
        </row>
        <row r="47">
          <cell r="B47" t="str">
            <v>08583352526</v>
          </cell>
          <cell r="C47">
            <v>902189.17000000016</v>
          </cell>
          <cell r="D47">
            <v>0</v>
          </cell>
          <cell r="P47">
            <v>37803.240000000005</v>
          </cell>
          <cell r="Q47">
            <v>28068.75</v>
          </cell>
          <cell r="R47">
            <v>172042.6400000001</v>
          </cell>
          <cell r="S47">
            <v>240405.77</v>
          </cell>
          <cell r="T47">
            <v>108197.85999999999</v>
          </cell>
          <cell r="U47">
            <v>63295.640000000021</v>
          </cell>
          <cell r="V47">
            <v>64115.170000000013</v>
          </cell>
          <cell r="W47">
            <v>28835.18</v>
          </cell>
          <cell r="X47">
            <v>107826.84</v>
          </cell>
          <cell r="Y47">
            <v>11340.9</v>
          </cell>
          <cell r="Z47">
            <v>31346.859999999997</v>
          </cell>
          <cell r="AA47">
            <v>8910.32</v>
          </cell>
          <cell r="BK47">
            <v>902189.17000000016</v>
          </cell>
        </row>
        <row r="48">
          <cell r="B48" t="str">
            <v>08583452700</v>
          </cell>
          <cell r="C48">
            <v>204270.9</v>
          </cell>
          <cell r="D48">
            <v>0</v>
          </cell>
          <cell r="K48">
            <v>5943.5900000000011</v>
          </cell>
          <cell r="L48">
            <v>19950.829999999998</v>
          </cell>
          <cell r="M48">
            <v>19278.110000000004</v>
          </cell>
          <cell r="N48">
            <v>103484.25000000001</v>
          </cell>
          <cell r="O48">
            <v>1180.5600000000002</v>
          </cell>
          <cell r="P48">
            <v>34846.36</v>
          </cell>
          <cell r="Q48">
            <v>5974.52</v>
          </cell>
          <cell r="R48">
            <v>-367.23</v>
          </cell>
          <cell r="S48">
            <v>962.26</v>
          </cell>
          <cell r="T48">
            <v>9695.9900000000016</v>
          </cell>
          <cell r="W48">
            <v>1010.4899999999999</v>
          </cell>
          <cell r="AH48">
            <v>2311.17</v>
          </cell>
          <cell r="BK48">
            <v>204270.9</v>
          </cell>
        </row>
        <row r="49">
          <cell r="B49" t="str">
            <v>08592052800</v>
          </cell>
          <cell r="C49">
            <v>155599.37000000002</v>
          </cell>
          <cell r="D49">
            <v>0</v>
          </cell>
          <cell r="G49">
            <v>30487.62</v>
          </cell>
          <cell r="H49">
            <v>80728.13</v>
          </cell>
          <cell r="I49">
            <v>1566.38</v>
          </cell>
          <cell r="J49">
            <v>4707.82</v>
          </cell>
          <cell r="K49">
            <v>1432.32</v>
          </cell>
          <cell r="L49">
            <v>17303.580000000002</v>
          </cell>
          <cell r="M49">
            <v>19725.5</v>
          </cell>
          <cell r="N49">
            <v>-351.98000000000008</v>
          </cell>
          <cell r="BK49">
            <v>155599.37000000002</v>
          </cell>
        </row>
        <row r="50">
          <cell r="B50" t="str">
            <v>08595052526</v>
          </cell>
          <cell r="C50">
            <v>504933.72000000003</v>
          </cell>
          <cell r="D50">
            <v>0</v>
          </cell>
          <cell r="Q50">
            <v>40098.35</v>
          </cell>
          <cell r="R50">
            <v>124428.40000000001</v>
          </cell>
          <cell r="S50">
            <v>138729.69</v>
          </cell>
          <cell r="T50">
            <v>107659.13999999998</v>
          </cell>
          <cell r="U50">
            <v>26722.210000000006</v>
          </cell>
          <cell r="V50">
            <v>-1237.8800000000001</v>
          </cell>
          <cell r="W50">
            <v>25983.51</v>
          </cell>
          <cell r="X50">
            <v>45548.270000000004</v>
          </cell>
          <cell r="Y50">
            <v>2431.2600000000002</v>
          </cell>
          <cell r="Z50">
            <v>-5593.5400000000009</v>
          </cell>
          <cell r="AC50">
            <v>164.31</v>
          </cell>
          <cell r="BK50">
            <v>504933.72000000003</v>
          </cell>
        </row>
        <row r="51">
          <cell r="B51" t="str">
            <v>08595052700</v>
          </cell>
          <cell r="C51">
            <v>1366236.43</v>
          </cell>
          <cell r="D51">
            <v>0</v>
          </cell>
          <cell r="J51">
            <v>30460.240000000002</v>
          </cell>
          <cell r="K51">
            <v>28570.149999999998</v>
          </cell>
          <cell r="L51">
            <v>55161.279999999999</v>
          </cell>
          <cell r="M51">
            <v>36399.99</v>
          </cell>
          <cell r="N51">
            <v>360616.73</v>
          </cell>
          <cell r="O51">
            <v>150373.04</v>
          </cell>
          <cell r="P51">
            <v>123093.38000000002</v>
          </cell>
          <cell r="Q51">
            <v>251108.13000000003</v>
          </cell>
          <cell r="R51">
            <v>84464.849999999991</v>
          </cell>
          <cell r="S51">
            <v>18510.120000000003</v>
          </cell>
          <cell r="T51">
            <v>25683.010000000002</v>
          </cell>
          <cell r="U51">
            <v>8736.69</v>
          </cell>
          <cell r="V51">
            <v>51654.2</v>
          </cell>
          <cell r="W51">
            <v>4990.7599999999993</v>
          </cell>
          <cell r="X51">
            <v>139323.35</v>
          </cell>
          <cell r="Z51">
            <v>-2852.37</v>
          </cell>
          <cell r="AG51">
            <v>1015.2399999999999</v>
          </cell>
          <cell r="AH51">
            <v>-1072.3600000000001</v>
          </cell>
          <cell r="BK51">
            <v>1366236.43</v>
          </cell>
        </row>
        <row r="52">
          <cell r="B52" t="str">
            <v>08595052701</v>
          </cell>
          <cell r="C52">
            <v>744788.07000000018</v>
          </cell>
          <cell r="D52">
            <v>0</v>
          </cell>
          <cell r="J52">
            <v>46120.12</v>
          </cell>
          <cell r="K52">
            <v>8916.74</v>
          </cell>
          <cell r="L52">
            <v>93127.670000000013</v>
          </cell>
          <cell r="M52">
            <v>199891.74999999997</v>
          </cell>
          <cell r="N52">
            <v>363051.41000000003</v>
          </cell>
          <cell r="O52">
            <v>9514.3900000000012</v>
          </cell>
          <cell r="P52">
            <v>13771.230000000001</v>
          </cell>
          <cell r="Q52">
            <v>17237.11</v>
          </cell>
          <cell r="R52">
            <v>984.87</v>
          </cell>
          <cell r="S52">
            <v>5710.8</v>
          </cell>
          <cell r="T52">
            <v>2662.29</v>
          </cell>
          <cell r="U52">
            <v>14597.18</v>
          </cell>
          <cell r="V52">
            <v>950.66000000000008</v>
          </cell>
          <cell r="W52">
            <v>-6353.32</v>
          </cell>
          <cell r="Z52">
            <v>-7979.5599999999995</v>
          </cell>
          <cell r="AB52">
            <v>1090.99</v>
          </cell>
          <cell r="AC52">
            <v>-18506.260000000002</v>
          </cell>
          <cell r="BK52">
            <v>744788.07000000018</v>
          </cell>
        </row>
        <row r="53">
          <cell r="B53" t="str">
            <v>08595452700</v>
          </cell>
          <cell r="C53">
            <v>26557.250000000004</v>
          </cell>
          <cell r="D53">
            <v>0</v>
          </cell>
          <cell r="K53">
            <v>1050.26</v>
          </cell>
          <cell r="L53">
            <v>606.1400000000001</v>
          </cell>
          <cell r="M53">
            <v>1616.71</v>
          </cell>
          <cell r="N53">
            <v>13464.45</v>
          </cell>
          <cell r="O53">
            <v>232.20999999999998</v>
          </cell>
          <cell r="P53">
            <v>4926.1000000000004</v>
          </cell>
          <cell r="Q53">
            <v>2723.5299999999997</v>
          </cell>
          <cell r="R53">
            <v>24.62</v>
          </cell>
          <cell r="S53">
            <v>24.64</v>
          </cell>
          <cell r="T53">
            <v>2260.86</v>
          </cell>
          <cell r="U53">
            <v>78.09</v>
          </cell>
          <cell r="V53">
            <v>64.63</v>
          </cell>
          <cell r="W53">
            <v>70.02</v>
          </cell>
          <cell r="X53">
            <v>-63.92</v>
          </cell>
          <cell r="Y53">
            <v>-521.09</v>
          </cell>
          <cell r="BK53">
            <v>26557.250000000004</v>
          </cell>
        </row>
        <row r="54">
          <cell r="B54" t="str">
            <v>08595452701</v>
          </cell>
          <cell r="C54">
            <v>79204.630000000019</v>
          </cell>
          <cell r="D54">
            <v>0</v>
          </cell>
          <cell r="K54">
            <v>2238.81</v>
          </cell>
          <cell r="L54">
            <v>8095.0599999999995</v>
          </cell>
          <cell r="M54">
            <v>8399.9500000000007</v>
          </cell>
          <cell r="N54">
            <v>50534.970000000008</v>
          </cell>
          <cell r="O54">
            <v>103.52</v>
          </cell>
          <cell r="P54">
            <v>5746.96</v>
          </cell>
          <cell r="Q54">
            <v>1202.49</v>
          </cell>
          <cell r="R54">
            <v>-21.330000000000002</v>
          </cell>
          <cell r="S54">
            <v>888.34</v>
          </cell>
          <cell r="T54">
            <v>1272.04</v>
          </cell>
          <cell r="U54">
            <v>3345.08</v>
          </cell>
          <cell r="X54">
            <v>-2601.2600000000002</v>
          </cell>
          <cell r="BK54">
            <v>79204.630000000019</v>
          </cell>
        </row>
        <row r="55">
          <cell r="B55" t="str">
            <v>08595552523</v>
          </cell>
          <cell r="C55">
            <v>516456.08999999997</v>
          </cell>
          <cell r="D55">
            <v>0</v>
          </cell>
          <cell r="Q55">
            <v>1672.14</v>
          </cell>
          <cell r="R55">
            <v>1.67</v>
          </cell>
          <cell r="S55">
            <v>1.67</v>
          </cell>
          <cell r="T55">
            <v>12808.64</v>
          </cell>
          <cell r="U55">
            <v>797.85</v>
          </cell>
          <cell r="W55">
            <v>3310.2400000000002</v>
          </cell>
          <cell r="AA55">
            <v>2550.0500000000002</v>
          </cell>
          <cell r="AB55">
            <v>588.84</v>
          </cell>
          <cell r="AC55">
            <v>77102.55</v>
          </cell>
          <cell r="AD55">
            <v>136103.53</v>
          </cell>
          <cell r="AE55">
            <v>81159.51999999999</v>
          </cell>
          <cell r="AF55">
            <v>18514.03</v>
          </cell>
          <cell r="AG55">
            <v>1752.98</v>
          </cell>
          <cell r="AH55">
            <v>18863.03</v>
          </cell>
          <cell r="AI55">
            <v>7419.9699999999993</v>
          </cell>
          <cell r="AJ55">
            <v>60852.44</v>
          </cell>
          <cell r="AK55">
            <v>63068.36</v>
          </cell>
          <cell r="AL55">
            <v>33685.700000000004</v>
          </cell>
          <cell r="AM55">
            <v>-4920.1000000000004</v>
          </cell>
          <cell r="AO55">
            <v>1122.98</v>
          </cell>
          <cell r="BK55">
            <v>516456.08999999997</v>
          </cell>
        </row>
        <row r="56">
          <cell r="B56" t="str">
            <v>09573352523</v>
          </cell>
          <cell r="C56">
            <v>988840.02</v>
          </cell>
          <cell r="D56">
            <v>0</v>
          </cell>
          <cell r="W56">
            <v>21558.62</v>
          </cell>
          <cell r="X56">
            <v>38.81</v>
          </cell>
          <cell r="Y56">
            <v>71.28</v>
          </cell>
          <cell r="Z56">
            <v>199.29000000000002</v>
          </cell>
          <cell r="AA56">
            <v>4072.8300000000004</v>
          </cell>
          <cell r="AB56">
            <v>181.57999999999998</v>
          </cell>
          <cell r="AC56">
            <v>182.86</v>
          </cell>
          <cell r="AD56">
            <v>80520.810000000012</v>
          </cell>
          <cell r="AE56">
            <v>130706.65</v>
          </cell>
          <cell r="AF56">
            <v>127847.48000000001</v>
          </cell>
          <cell r="AG56">
            <v>169270.99</v>
          </cell>
          <cell r="AH56">
            <v>128043.08</v>
          </cell>
          <cell r="AI56">
            <v>246668.40000000002</v>
          </cell>
          <cell r="AJ56">
            <v>90690.32</v>
          </cell>
          <cell r="AK56">
            <v>989.9</v>
          </cell>
          <cell r="AL56">
            <v>-12202.88</v>
          </cell>
          <cell r="BK56">
            <v>988840.02</v>
          </cell>
        </row>
        <row r="57">
          <cell r="B57" t="str">
            <v>09573352526</v>
          </cell>
          <cell r="C57">
            <v>521756.59</v>
          </cell>
          <cell r="D57">
            <v>0</v>
          </cell>
          <cell r="AA57">
            <v>22941.55</v>
          </cell>
          <cell r="AB57">
            <v>160.59</v>
          </cell>
          <cell r="AC57">
            <v>80.86</v>
          </cell>
          <cell r="AD57">
            <v>162.28</v>
          </cell>
          <cell r="AE57">
            <v>5.84</v>
          </cell>
          <cell r="AF57">
            <v>4.67</v>
          </cell>
          <cell r="AN57">
            <v>11.68</v>
          </cell>
          <cell r="AO57">
            <v>87831.65</v>
          </cell>
          <cell r="AP57">
            <v>69360.429999999993</v>
          </cell>
          <cell r="AQ57">
            <v>69617.430000000008</v>
          </cell>
          <cell r="AR57">
            <v>34051.280000000006</v>
          </cell>
          <cell r="AS57">
            <v>34517.08</v>
          </cell>
          <cell r="AT57">
            <v>15514.279999999999</v>
          </cell>
          <cell r="AU57">
            <v>28299.98</v>
          </cell>
          <cell r="AV57">
            <v>20825.080000000002</v>
          </cell>
          <cell r="AW57">
            <v>85218.4</v>
          </cell>
          <cell r="AX57">
            <v>60598.960000000006</v>
          </cell>
          <cell r="AY57">
            <v>-870.07999999999993</v>
          </cell>
          <cell r="AZ57">
            <v>-1637.8300000000002</v>
          </cell>
          <cell r="BE57">
            <v>-4937.54</v>
          </cell>
          <cell r="BK57">
            <v>521756.59</v>
          </cell>
        </row>
        <row r="58">
          <cell r="B58" t="str">
            <v>09573352527</v>
          </cell>
          <cell r="C58">
            <v>755261.53</v>
          </cell>
          <cell r="D58">
            <v>0</v>
          </cell>
          <cell r="T58">
            <v>32.03</v>
          </cell>
          <cell r="U58">
            <v>0.09</v>
          </cell>
          <cell r="V58">
            <v>0.08</v>
          </cell>
          <cell r="W58">
            <v>17834.150000000001</v>
          </cell>
          <cell r="AA58">
            <v>1176.55</v>
          </cell>
          <cell r="AO58">
            <v>55545.490000000005</v>
          </cell>
          <cell r="AP58">
            <v>27292.58</v>
          </cell>
          <cell r="AQ58">
            <v>529.11</v>
          </cell>
          <cell r="AR58">
            <v>86536.45</v>
          </cell>
          <cell r="AS58">
            <v>59243.470000000008</v>
          </cell>
          <cell r="AT58">
            <v>117103.92</v>
          </cell>
          <cell r="AU58">
            <v>97202.489999999991</v>
          </cell>
          <cell r="AV58">
            <v>50831.099999999984</v>
          </cell>
          <cell r="AW58">
            <v>148869.97999999998</v>
          </cell>
          <cell r="AX58">
            <v>108029.43000000001</v>
          </cell>
          <cell r="AY58">
            <v>-12054.75</v>
          </cell>
          <cell r="AZ58">
            <v>-7848.1799999999994</v>
          </cell>
          <cell r="BE58">
            <v>4937.54</v>
          </cell>
          <cell r="BK58">
            <v>755261.53</v>
          </cell>
        </row>
        <row r="59">
          <cell r="B59" t="str">
            <v>09574152523</v>
          </cell>
          <cell r="C59">
            <v>270801.40000000002</v>
          </cell>
          <cell r="D59">
            <v>0</v>
          </cell>
          <cell r="T59">
            <v>9963.59</v>
          </cell>
          <cell r="U59">
            <v>28.900000000000002</v>
          </cell>
          <cell r="W59">
            <v>1265.3999999999999</v>
          </cell>
          <cell r="Y59">
            <v>343.47</v>
          </cell>
          <cell r="AA59">
            <v>3758.4500000000003</v>
          </cell>
          <cell r="AR59">
            <v>2227.8000000000002</v>
          </cell>
          <cell r="AS59">
            <v>24644.53</v>
          </cell>
          <cell r="AT59">
            <v>89642.810000000012</v>
          </cell>
          <cell r="AU59">
            <v>70605.959999999992</v>
          </cell>
          <cell r="AV59">
            <v>303.72000000000003</v>
          </cell>
          <cell r="AW59">
            <v>37020.450000000004</v>
          </cell>
          <cell r="AX59">
            <v>41112.320000000007</v>
          </cell>
          <cell r="AY59">
            <v>-4028.8900000000003</v>
          </cell>
          <cell r="BE59">
            <v>-6087.1100000000006</v>
          </cell>
          <cell r="BK59">
            <v>270801.40000000002</v>
          </cell>
        </row>
        <row r="60">
          <cell r="B60" t="str">
            <v>09574152525</v>
          </cell>
          <cell r="C60">
            <v>423199</v>
          </cell>
          <cell r="D60">
            <v>0</v>
          </cell>
          <cell r="R60">
            <v>243.87</v>
          </cell>
          <cell r="S60">
            <v>66595.76999999999</v>
          </cell>
          <cell r="T60">
            <v>78689.590000000011</v>
          </cell>
          <cell r="U60">
            <v>67210.37999999999</v>
          </cell>
          <cell r="V60">
            <v>53214.2</v>
          </cell>
          <cell r="W60">
            <v>53734.150000000009</v>
          </cell>
          <cell r="X60">
            <v>44241.62</v>
          </cell>
          <cell r="Y60">
            <v>32712.550000000007</v>
          </cell>
          <cell r="Z60">
            <v>27368.170000000002</v>
          </cell>
          <cell r="AA60">
            <v>-811.3</v>
          </cell>
          <cell r="BK60">
            <v>423199</v>
          </cell>
        </row>
        <row r="61">
          <cell r="B61" t="str">
            <v>09574152526</v>
          </cell>
          <cell r="C61">
            <v>282634.19</v>
          </cell>
          <cell r="D61">
            <v>0</v>
          </cell>
          <cell r="R61">
            <v>40939.579999999994</v>
          </cell>
          <cell r="S61">
            <v>43945.490000000005</v>
          </cell>
          <cell r="T61">
            <v>42017.530000000013</v>
          </cell>
          <cell r="U61">
            <v>34839.61</v>
          </cell>
          <cell r="V61">
            <v>30878.759999999991</v>
          </cell>
          <cell r="W61">
            <v>60977.87</v>
          </cell>
          <cell r="X61">
            <v>23205.949999999997</v>
          </cell>
          <cell r="Y61">
            <v>4236.6400000000003</v>
          </cell>
          <cell r="Z61">
            <v>290.06000000000051</v>
          </cell>
          <cell r="AB61">
            <v>1302.7</v>
          </cell>
          <cell r="BK61">
            <v>282634.19</v>
          </cell>
        </row>
        <row r="62">
          <cell r="B62" t="str">
            <v>09574152527</v>
          </cell>
          <cell r="C62">
            <v>150295.28000000003</v>
          </cell>
          <cell r="D62">
            <v>0</v>
          </cell>
          <cell r="AA62">
            <v>8041.9600000000009</v>
          </cell>
          <cell r="AB62">
            <v>56.29</v>
          </cell>
          <cell r="AC62">
            <v>28.34</v>
          </cell>
          <cell r="AD62">
            <v>56.89</v>
          </cell>
          <cell r="AE62">
            <v>2.0499999999999998</v>
          </cell>
          <cell r="AN62">
            <v>4.09</v>
          </cell>
          <cell r="AO62">
            <v>4.09</v>
          </cell>
          <cell r="AP62">
            <v>4.0999999999999996</v>
          </cell>
          <cell r="AQ62">
            <v>7.38</v>
          </cell>
          <cell r="AR62">
            <v>32625.05</v>
          </cell>
          <cell r="AS62">
            <v>21695.199999999993</v>
          </cell>
          <cell r="AT62">
            <v>39134.870000000003</v>
          </cell>
          <cell r="AU62">
            <v>20324.659999999996</v>
          </cell>
          <cell r="AV62">
            <v>6159.7100000000009</v>
          </cell>
          <cell r="AW62">
            <v>2119.23</v>
          </cell>
          <cell r="AX62">
            <v>14664.349999999999</v>
          </cell>
          <cell r="AY62">
            <v>1252.8900000000001</v>
          </cell>
          <cell r="AZ62">
            <v>1024.94</v>
          </cell>
          <cell r="BB62">
            <v>2119.7200000000003</v>
          </cell>
          <cell r="BF62">
            <v>969.47</v>
          </cell>
          <cell r="BJ62">
            <v>0</v>
          </cell>
          <cell r="BK62">
            <v>150295.28000000003</v>
          </cell>
        </row>
        <row r="63">
          <cell r="B63" t="str">
            <v>09574152528</v>
          </cell>
          <cell r="C63">
            <v>280671.15999999997</v>
          </cell>
          <cell r="D63">
            <v>0</v>
          </cell>
          <cell r="T63">
            <v>2020.1200000000001</v>
          </cell>
          <cell r="U63">
            <v>3955.6100000000006</v>
          </cell>
          <cell r="W63">
            <v>1290.72</v>
          </cell>
          <cell r="AA63">
            <v>4392.78</v>
          </cell>
          <cell r="AB63">
            <v>24312.260000000002</v>
          </cell>
          <cell r="AC63">
            <v>49046.35</v>
          </cell>
          <cell r="AD63">
            <v>62293.090000000004</v>
          </cell>
          <cell r="AE63">
            <v>30403.809999999998</v>
          </cell>
          <cell r="AF63">
            <v>31444.93</v>
          </cell>
          <cell r="AG63">
            <v>38113.51999999999</v>
          </cell>
          <cell r="AH63">
            <v>0</v>
          </cell>
          <cell r="AI63">
            <v>32021.65</v>
          </cell>
          <cell r="AJ63">
            <v>18.14</v>
          </cell>
          <cell r="AL63">
            <v>1358.18</v>
          </cell>
          <cell r="BK63">
            <v>280671.15999999997</v>
          </cell>
        </row>
        <row r="64">
          <cell r="B64" t="str">
            <v>09574252523</v>
          </cell>
          <cell r="C64">
            <v>21910.150000000005</v>
          </cell>
          <cell r="D64">
            <v>0</v>
          </cell>
          <cell r="AA64">
            <v>21521.550000000003</v>
          </cell>
          <cell r="AB64">
            <v>150.65</v>
          </cell>
          <cell r="AC64">
            <v>75.849999999999994</v>
          </cell>
          <cell r="AD64">
            <v>152.24</v>
          </cell>
          <cell r="AE64">
            <v>5.48</v>
          </cell>
          <cell r="AF64">
            <v>4.38</v>
          </cell>
          <cell r="BK64">
            <v>21910.150000000005</v>
          </cell>
        </row>
        <row r="65">
          <cell r="B65" t="str">
            <v>09575152523</v>
          </cell>
          <cell r="C65">
            <v>20529.150000000001</v>
          </cell>
          <cell r="D65">
            <v>0</v>
          </cell>
          <cell r="AA65">
            <v>20161.02</v>
          </cell>
          <cell r="AB65">
            <v>141.12</v>
          </cell>
          <cell r="AC65">
            <v>71.06</v>
          </cell>
          <cell r="AD65">
            <v>142.61000000000001</v>
          </cell>
          <cell r="AE65">
            <v>5.13</v>
          </cell>
          <cell r="AF65">
            <v>8.2100000000000009</v>
          </cell>
          <cell r="BK65">
            <v>20529.150000000001</v>
          </cell>
        </row>
        <row r="66">
          <cell r="B66" t="str">
            <v>09575252523</v>
          </cell>
          <cell r="C66">
            <v>736288.64</v>
          </cell>
          <cell r="D66">
            <v>0</v>
          </cell>
          <cell r="S66">
            <v>6718.49</v>
          </cell>
          <cell r="T66">
            <v>77117.64999999998</v>
          </cell>
          <cell r="U66">
            <v>111822.41</v>
          </cell>
          <cell r="V66">
            <v>111499.53000000003</v>
          </cell>
          <cell r="W66">
            <v>148804.91000000003</v>
          </cell>
          <cell r="X66">
            <v>147509.96000000002</v>
          </cell>
          <cell r="Y66">
            <v>142710.97999999998</v>
          </cell>
          <cell r="Z66">
            <v>-610.60000000000014</v>
          </cell>
          <cell r="AA66">
            <v>4010.2000000000003</v>
          </cell>
          <cell r="AB66">
            <v>-13194.710000000001</v>
          </cell>
          <cell r="AC66">
            <v>-100.18</v>
          </cell>
          <cell r="BK66">
            <v>736288.64</v>
          </cell>
        </row>
        <row r="67">
          <cell r="B67" t="str">
            <v>09575252525</v>
          </cell>
          <cell r="C67">
            <v>32564.510000000002</v>
          </cell>
          <cell r="D67">
            <v>0</v>
          </cell>
          <cell r="X67">
            <v>164.71</v>
          </cell>
          <cell r="Y67">
            <v>0.55000000000000004</v>
          </cell>
          <cell r="Z67">
            <v>1.52</v>
          </cell>
          <cell r="AA67">
            <v>31813.77</v>
          </cell>
          <cell r="AB67">
            <v>223.86</v>
          </cell>
          <cell r="AC67">
            <v>112.72</v>
          </cell>
          <cell r="AD67">
            <v>226.22000000000003</v>
          </cell>
          <cell r="AE67">
            <v>8.14</v>
          </cell>
          <cell r="AF67">
            <v>13.02</v>
          </cell>
          <cell r="BK67">
            <v>32564.510000000002</v>
          </cell>
        </row>
        <row r="68">
          <cell r="B68" t="str">
            <v>09582152523</v>
          </cell>
          <cell r="C68">
            <v>379495.70000000007</v>
          </cell>
          <cell r="D68">
            <v>0</v>
          </cell>
          <cell r="T68">
            <v>12430.26</v>
          </cell>
          <cell r="U68">
            <v>683.27</v>
          </cell>
          <cell r="V68">
            <v>16.170000000000002</v>
          </cell>
          <cell r="W68">
            <v>3089.3599999999997</v>
          </cell>
          <cell r="AA68">
            <v>728.94</v>
          </cell>
          <cell r="AC68">
            <v>600.4</v>
          </cell>
          <cell r="AO68">
            <v>13366.850000000002</v>
          </cell>
          <cell r="AP68">
            <v>15160.83</v>
          </cell>
          <cell r="AQ68">
            <v>16557.11</v>
          </cell>
          <cell r="AR68">
            <v>17101.320000000003</v>
          </cell>
          <cell r="AS68">
            <v>51169.409999999996</v>
          </cell>
          <cell r="AT68">
            <v>35183.450000000004</v>
          </cell>
          <cell r="AU68">
            <v>81171.300000000017</v>
          </cell>
          <cell r="AV68">
            <v>51377.83</v>
          </cell>
          <cell r="AW68">
            <v>27792.190000000002</v>
          </cell>
          <cell r="AX68">
            <v>15017.859999999999</v>
          </cell>
          <cell r="AY68">
            <v>5840.3600000000006</v>
          </cell>
          <cell r="AZ68">
            <v>4326.51</v>
          </cell>
          <cell r="BA68">
            <v>3231.78</v>
          </cell>
          <cell r="BB68">
            <v>7168.05</v>
          </cell>
          <cell r="BC68">
            <v>3340.55</v>
          </cell>
          <cell r="BD68">
            <v>14141.9</v>
          </cell>
          <cell r="BK68">
            <v>379495.70000000007</v>
          </cell>
        </row>
        <row r="69">
          <cell r="B69" t="str">
            <v>09582152525</v>
          </cell>
          <cell r="C69">
            <v>496536.37999999995</v>
          </cell>
          <cell r="D69">
            <v>0</v>
          </cell>
          <cell r="Q69">
            <v>39462.550000000003</v>
          </cell>
          <cell r="R69">
            <v>67019.180000000022</v>
          </cell>
          <cell r="S69">
            <v>214713.46999999997</v>
          </cell>
          <cell r="T69">
            <v>125529.95999999998</v>
          </cell>
          <cell r="U69">
            <v>20632.750000000004</v>
          </cell>
          <cell r="V69">
            <v>27283.05</v>
          </cell>
          <cell r="W69">
            <v>6234.23</v>
          </cell>
          <cell r="X69">
            <v>1771.68</v>
          </cell>
          <cell r="Y69">
            <v>-6110.49</v>
          </cell>
          <cell r="BK69">
            <v>496536.37999999995</v>
          </cell>
        </row>
        <row r="70">
          <cell r="B70" t="str">
            <v>09582152527</v>
          </cell>
          <cell r="C70">
            <v>496918.88000000006</v>
          </cell>
          <cell r="D70">
            <v>0</v>
          </cell>
          <cell r="S70">
            <v>1560.19</v>
          </cell>
          <cell r="T70">
            <v>13466.210000000001</v>
          </cell>
          <cell r="U70">
            <v>2297.33</v>
          </cell>
          <cell r="V70">
            <v>41.58</v>
          </cell>
          <cell r="W70">
            <v>2500.44</v>
          </cell>
          <cell r="X70">
            <v>429</v>
          </cell>
          <cell r="Y70">
            <v>328.5</v>
          </cell>
          <cell r="AA70">
            <v>680.24</v>
          </cell>
          <cell r="AC70">
            <v>52220.170000000006</v>
          </cell>
          <cell r="AD70">
            <v>123597.65000000002</v>
          </cell>
          <cell r="AE70">
            <v>78001.63</v>
          </cell>
          <cell r="AF70">
            <v>30998.75</v>
          </cell>
          <cell r="AG70">
            <v>109706.82</v>
          </cell>
          <cell r="AH70">
            <v>50783.580000000009</v>
          </cell>
          <cell r="AI70">
            <v>33592.149999999994</v>
          </cell>
          <cell r="AJ70">
            <v>4813.22</v>
          </cell>
          <cell r="AO70">
            <v>-7657.2100000000009</v>
          </cell>
          <cell r="AQ70">
            <v>-441.37</v>
          </cell>
          <cell r="BK70">
            <v>496918.88000000006</v>
          </cell>
        </row>
        <row r="71">
          <cell r="B71" t="str">
            <v>09582152528</v>
          </cell>
          <cell r="C71">
            <v>786363.89000000013</v>
          </cell>
          <cell r="D71">
            <v>0</v>
          </cell>
          <cell r="S71">
            <v>3331.17</v>
          </cell>
          <cell r="T71">
            <v>141670.65000000002</v>
          </cell>
          <cell r="U71">
            <v>63765.770000000011</v>
          </cell>
          <cell r="V71">
            <v>64022.37</v>
          </cell>
          <cell r="W71">
            <v>48082.079999999994</v>
          </cell>
          <cell r="X71">
            <v>91516.34</v>
          </cell>
          <cell r="Y71">
            <v>100455.75000000001</v>
          </cell>
          <cell r="Z71">
            <v>280957.73000000004</v>
          </cell>
          <cell r="AA71">
            <v>-7437.97</v>
          </cell>
          <cell r="BK71">
            <v>786363.89000000013</v>
          </cell>
        </row>
        <row r="72">
          <cell r="B72" t="str">
            <v>09582152529</v>
          </cell>
          <cell r="C72">
            <v>40908.910000000003</v>
          </cell>
          <cell r="D72">
            <v>0</v>
          </cell>
          <cell r="AA72">
            <v>40872.47</v>
          </cell>
          <cell r="AB72">
            <v>286.11</v>
          </cell>
          <cell r="AC72">
            <v>-560.44000000000005</v>
          </cell>
          <cell r="AD72">
            <v>284.19</v>
          </cell>
          <cell r="AE72">
            <v>10.220000000000001</v>
          </cell>
          <cell r="AF72">
            <v>16.36</v>
          </cell>
          <cell r="BK72">
            <v>40908.910000000003</v>
          </cell>
        </row>
        <row r="73">
          <cell r="B73" t="str">
            <v>09582152530</v>
          </cell>
          <cell r="C73">
            <v>370711.09</v>
          </cell>
          <cell r="D73">
            <v>0</v>
          </cell>
          <cell r="AA73">
            <v>10414.65</v>
          </cell>
          <cell r="AB73">
            <v>72.91</v>
          </cell>
          <cell r="AC73">
            <v>36.71</v>
          </cell>
          <cell r="AD73">
            <v>73.67</v>
          </cell>
          <cell r="AE73">
            <v>2.65</v>
          </cell>
          <cell r="AF73">
            <v>2.12</v>
          </cell>
          <cell r="AN73">
            <v>5.3</v>
          </cell>
          <cell r="AO73">
            <v>24049.56</v>
          </cell>
          <cell r="AP73">
            <v>12983.890000000001</v>
          </cell>
          <cell r="AQ73">
            <v>103343.97</v>
          </cell>
          <cell r="AR73">
            <v>83334.06</v>
          </cell>
          <cell r="AS73">
            <v>43694.469999999994</v>
          </cell>
          <cell r="AT73">
            <v>2212.33</v>
          </cell>
          <cell r="AU73">
            <v>3350.51</v>
          </cell>
          <cell r="AV73">
            <v>260</v>
          </cell>
          <cell r="AW73">
            <v>50639.210000000006</v>
          </cell>
          <cell r="AX73">
            <v>36235.08</v>
          </cell>
          <cell r="BK73">
            <v>370711.09</v>
          </cell>
        </row>
        <row r="74">
          <cell r="B74" t="str">
            <v>09582152531</v>
          </cell>
          <cell r="C74">
            <v>228278.29</v>
          </cell>
          <cell r="D74">
            <v>0</v>
          </cell>
          <cell r="T74">
            <v>24272.579999999998</v>
          </cell>
          <cell r="U74">
            <v>2444.54</v>
          </cell>
          <cell r="X74">
            <v>-340.06</v>
          </cell>
          <cell r="AB74">
            <v>503.58</v>
          </cell>
          <cell r="AD74">
            <v>5252.94</v>
          </cell>
          <cell r="AE74">
            <v>39979.469999999994</v>
          </cell>
          <cell r="AF74">
            <v>27195.8</v>
          </cell>
          <cell r="AG74">
            <v>15808.47</v>
          </cell>
          <cell r="AH74">
            <v>31292.73</v>
          </cell>
          <cell r="AI74">
            <v>43395.6</v>
          </cell>
          <cell r="AJ74">
            <v>25293.219999999998</v>
          </cell>
          <cell r="AK74">
            <v>11339.960000000001</v>
          </cell>
          <cell r="AL74">
            <v>7906.42</v>
          </cell>
          <cell r="AO74">
            <v>-6066.96</v>
          </cell>
          <cell r="BK74">
            <v>228278.29</v>
          </cell>
        </row>
        <row r="75">
          <cell r="B75" t="str">
            <v>09582152533</v>
          </cell>
          <cell r="C75">
            <v>7921.0700000000006</v>
          </cell>
          <cell r="D75">
            <v>0</v>
          </cell>
          <cell r="W75">
            <v>2525.1200000000003</v>
          </cell>
          <cell r="AA75">
            <v>5208.3900000000003</v>
          </cell>
          <cell r="AB75">
            <v>187.56</v>
          </cell>
          <cell r="BK75">
            <v>7921.0700000000006</v>
          </cell>
        </row>
        <row r="76">
          <cell r="B76" t="str">
            <v>09582152534</v>
          </cell>
          <cell r="C76">
            <v>216796.18999999997</v>
          </cell>
          <cell r="D76">
            <v>0</v>
          </cell>
          <cell r="AB76">
            <v>85.05</v>
          </cell>
          <cell r="AC76">
            <v>2505.08</v>
          </cell>
          <cell r="AD76">
            <v>18.14</v>
          </cell>
          <cell r="AE76">
            <v>512.92000000000007</v>
          </cell>
          <cell r="AF76">
            <v>1.25</v>
          </cell>
          <cell r="AG76">
            <v>1.25</v>
          </cell>
          <cell r="AH76">
            <v>1.25</v>
          </cell>
          <cell r="AI76">
            <v>0.94000000000000006</v>
          </cell>
          <cell r="AJ76">
            <v>27706.739999999998</v>
          </cell>
          <cell r="AK76">
            <v>60469.270000000004</v>
          </cell>
          <cell r="AL76">
            <v>121562.95999999999</v>
          </cell>
          <cell r="AM76">
            <v>3067.38</v>
          </cell>
          <cell r="BF76">
            <v>863.96</v>
          </cell>
          <cell r="BK76">
            <v>216796.18999999997</v>
          </cell>
        </row>
        <row r="77">
          <cell r="B77" t="str">
            <v>09583252523</v>
          </cell>
          <cell r="C77">
            <v>360874.1700000001</v>
          </cell>
          <cell r="D77">
            <v>0</v>
          </cell>
          <cell r="P77">
            <v>31660.15</v>
          </cell>
          <cell r="Q77">
            <v>128809.59000000003</v>
          </cell>
          <cell r="R77">
            <v>176390.80000000002</v>
          </cell>
          <cell r="S77">
            <v>23643.149999999998</v>
          </cell>
          <cell r="T77">
            <v>4967.95</v>
          </cell>
          <cell r="U77">
            <v>698.13</v>
          </cell>
          <cell r="W77">
            <v>115.46000000000001</v>
          </cell>
          <cell r="X77">
            <v>-5387.33</v>
          </cell>
          <cell r="AG77">
            <v>-23.73</v>
          </cell>
          <cell r="BK77">
            <v>360874.1700000001</v>
          </cell>
        </row>
        <row r="78">
          <cell r="B78" t="str">
            <v>09583352523</v>
          </cell>
          <cell r="C78">
            <v>706297.57</v>
          </cell>
          <cell r="D78">
            <v>0</v>
          </cell>
          <cell r="R78">
            <v>70545.460000000006</v>
          </cell>
          <cell r="S78">
            <v>76378.98000000001</v>
          </cell>
          <cell r="T78">
            <v>136061.56</v>
          </cell>
          <cell r="U78">
            <v>77720.61</v>
          </cell>
          <cell r="V78">
            <v>35807.450000000004</v>
          </cell>
          <cell r="W78">
            <v>34520.489999999991</v>
          </cell>
          <cell r="X78">
            <v>101600.89999999998</v>
          </cell>
          <cell r="Y78">
            <v>51705.439999999995</v>
          </cell>
          <cell r="Z78">
            <v>116697.65000000001</v>
          </cell>
          <cell r="AI78">
            <v>5259.0300000000007</v>
          </cell>
          <cell r="BK78">
            <v>706297.57</v>
          </cell>
        </row>
        <row r="79">
          <cell r="B79" t="str">
            <v>09583452525</v>
          </cell>
          <cell r="C79">
            <v>641466.69000000018</v>
          </cell>
          <cell r="D79">
            <v>0</v>
          </cell>
          <cell r="P79">
            <v>30433.030000000002</v>
          </cell>
          <cell r="Q79">
            <v>98722.99</v>
          </cell>
          <cell r="R79">
            <v>191915.05</v>
          </cell>
          <cell r="S79">
            <v>137169.76</v>
          </cell>
          <cell r="T79">
            <v>136004.72</v>
          </cell>
          <cell r="U79">
            <v>35216.86</v>
          </cell>
          <cell r="V79">
            <v>2471.6</v>
          </cell>
          <cell r="W79">
            <v>19521.68</v>
          </cell>
          <cell r="X79">
            <v>1250.92</v>
          </cell>
          <cell r="Y79">
            <v>2143.2400000000002</v>
          </cell>
          <cell r="Z79">
            <v>3225.2900000000004</v>
          </cell>
          <cell r="AA79">
            <v>-29.46</v>
          </cell>
          <cell r="AG79">
            <v>-16578.989999999998</v>
          </cell>
          <cell r="BK79">
            <v>641466.69000000018</v>
          </cell>
        </row>
        <row r="80">
          <cell r="B80" t="str">
            <v>09583452526</v>
          </cell>
          <cell r="C80">
            <v>867141.06000000017</v>
          </cell>
          <cell r="D80">
            <v>0</v>
          </cell>
          <cell r="S80">
            <v>40311.62000000001</v>
          </cell>
          <cell r="T80">
            <v>58557.32</v>
          </cell>
          <cell r="U80">
            <v>97083.520000000004</v>
          </cell>
          <cell r="V80">
            <v>67898.490000000005</v>
          </cell>
          <cell r="W80">
            <v>75149.37000000001</v>
          </cell>
          <cell r="X80">
            <v>142725.5</v>
          </cell>
          <cell r="Y80">
            <v>86581.35</v>
          </cell>
          <cell r="Z80">
            <v>320239.71000000002</v>
          </cell>
          <cell r="AA80">
            <v>-21405.82</v>
          </cell>
          <cell r="BK80">
            <v>867141.06000000017</v>
          </cell>
        </row>
        <row r="81">
          <cell r="B81" t="str">
            <v>09592052523</v>
          </cell>
          <cell r="C81">
            <v>573300.37</v>
          </cell>
          <cell r="D81">
            <v>0</v>
          </cell>
          <cell r="P81">
            <v>26772.400000000001</v>
          </cell>
          <cell r="Q81">
            <v>8188.3900000000012</v>
          </cell>
          <cell r="R81">
            <v>66617.62000000001</v>
          </cell>
          <cell r="S81">
            <v>135653.01</v>
          </cell>
          <cell r="T81">
            <v>110287.99000000002</v>
          </cell>
          <cell r="U81">
            <v>85016.8</v>
          </cell>
          <cell r="V81">
            <v>41683.199999999997</v>
          </cell>
          <cell r="W81">
            <v>41043.31</v>
          </cell>
          <cell r="X81">
            <v>25748.9</v>
          </cell>
          <cell r="Y81">
            <v>34279</v>
          </cell>
          <cell r="Z81">
            <v>228.26</v>
          </cell>
          <cell r="AG81">
            <v>-2218.5100000000002</v>
          </cell>
          <cell r="BK81">
            <v>573300.37</v>
          </cell>
        </row>
        <row r="82">
          <cell r="B82" t="str">
            <v>09592052525</v>
          </cell>
          <cell r="C82">
            <v>1147303.8500000003</v>
          </cell>
          <cell r="D82">
            <v>0</v>
          </cell>
          <cell r="W82">
            <v>13933.490000000002</v>
          </cell>
          <cell r="X82">
            <v>25.08</v>
          </cell>
          <cell r="Y82">
            <v>46.07</v>
          </cell>
          <cell r="Z82">
            <v>128.80000000000001</v>
          </cell>
          <cell r="AA82">
            <v>21293.050000000003</v>
          </cell>
          <cell r="AB82">
            <v>247.99</v>
          </cell>
          <cell r="AC82">
            <v>124.86</v>
          </cell>
          <cell r="AD82">
            <v>250.6</v>
          </cell>
          <cell r="AE82">
            <v>18.02</v>
          </cell>
          <cell r="AN82">
            <v>18.03</v>
          </cell>
          <cell r="AO82">
            <v>923.31999999999994</v>
          </cell>
          <cell r="AP82">
            <v>18.5</v>
          </cell>
          <cell r="AQ82">
            <v>33.33</v>
          </cell>
          <cell r="AR82">
            <v>48.180000000000007</v>
          </cell>
          <cell r="AS82">
            <v>70.509999999999991</v>
          </cell>
          <cell r="AT82">
            <v>71937.14</v>
          </cell>
          <cell r="AU82">
            <v>101428.98999999999</v>
          </cell>
          <cell r="AV82">
            <v>116327.03000000001</v>
          </cell>
          <cell r="AW82">
            <v>127439.64</v>
          </cell>
          <cell r="AX82">
            <v>477667.53</v>
          </cell>
          <cell r="AY82">
            <v>2810.3</v>
          </cell>
          <cell r="AZ82">
            <v>61663.02</v>
          </cell>
          <cell r="BA82">
            <v>65515.759999999995</v>
          </cell>
          <cell r="BB82">
            <v>-3077.1299999999997</v>
          </cell>
          <cell r="BC82">
            <v>5352.8</v>
          </cell>
          <cell r="BD82">
            <v>9052.89</v>
          </cell>
          <cell r="BE82">
            <v>30281.87</v>
          </cell>
          <cell r="BF82">
            <v>41020.6</v>
          </cell>
          <cell r="BG82">
            <v>2703.58</v>
          </cell>
          <cell r="BK82">
            <v>1147303.8500000003</v>
          </cell>
        </row>
        <row r="83">
          <cell r="B83" t="str">
            <v>09592052527</v>
          </cell>
          <cell r="C83">
            <v>271620.06999999995</v>
          </cell>
          <cell r="D83">
            <v>0</v>
          </cell>
          <cell r="W83">
            <v>42.39</v>
          </cell>
          <cell r="AA83">
            <v>4251.7</v>
          </cell>
          <cell r="AB83">
            <v>213.4</v>
          </cell>
          <cell r="AC83">
            <v>3948.33</v>
          </cell>
          <cell r="AE83">
            <v>10534.809999999998</v>
          </cell>
          <cell r="AF83">
            <v>78694.09</v>
          </cell>
          <cell r="AG83">
            <v>52329.380000000005</v>
          </cell>
          <cell r="AH83">
            <v>67840.83</v>
          </cell>
          <cell r="AI83">
            <v>28032.75</v>
          </cell>
          <cell r="AJ83">
            <v>7233.34</v>
          </cell>
          <cell r="AK83">
            <v>1133.3399999999999</v>
          </cell>
          <cell r="AL83">
            <v>6223.33</v>
          </cell>
          <cell r="AM83">
            <v>360</v>
          </cell>
          <cell r="AN83">
            <v>10782.380000000001</v>
          </cell>
          <cell r="BK83">
            <v>271620.06999999995</v>
          </cell>
        </row>
        <row r="84">
          <cell r="B84" t="str">
            <v>09592052528</v>
          </cell>
          <cell r="C84">
            <v>181690.19</v>
          </cell>
          <cell r="D84">
            <v>0</v>
          </cell>
          <cell r="W84">
            <v>56.56</v>
          </cell>
          <cell r="AA84">
            <v>2916.7000000000003</v>
          </cell>
          <cell r="AR84">
            <v>3.8600000000000003</v>
          </cell>
          <cell r="AS84">
            <v>5.66</v>
          </cell>
          <cell r="AT84">
            <v>5.37</v>
          </cell>
          <cell r="AU84">
            <v>5.3800000000000008</v>
          </cell>
          <cell r="AV84">
            <v>4.49</v>
          </cell>
          <cell r="AW84">
            <v>3.3</v>
          </cell>
          <cell r="AX84">
            <v>6555.14</v>
          </cell>
          <cell r="AY84">
            <v>19387.52</v>
          </cell>
          <cell r="AZ84">
            <v>11430.71</v>
          </cell>
          <cell r="BA84">
            <v>137426.97</v>
          </cell>
          <cell r="BB84">
            <v>3168.53</v>
          </cell>
          <cell r="BC84">
            <v>280</v>
          </cell>
          <cell r="BF84">
            <v>420</v>
          </cell>
          <cell r="BH84">
            <v>20</v>
          </cell>
          <cell r="BK84">
            <v>181690.19</v>
          </cell>
        </row>
        <row r="85">
          <cell r="B85" t="str">
            <v>09592052529</v>
          </cell>
          <cell r="C85">
            <v>159018.6</v>
          </cell>
          <cell r="D85">
            <v>0</v>
          </cell>
          <cell r="AB85">
            <v>1120.1000000000001</v>
          </cell>
          <cell r="AC85">
            <v>40927.01</v>
          </cell>
          <cell r="AD85">
            <v>66103.37999999999</v>
          </cell>
          <cell r="AE85">
            <v>35263.629999999997</v>
          </cell>
          <cell r="AF85">
            <v>230.22000000000003</v>
          </cell>
          <cell r="AG85">
            <v>13934.07</v>
          </cell>
          <cell r="AH85">
            <v>1440.19</v>
          </cell>
          <cell r="BK85">
            <v>159018.6</v>
          </cell>
        </row>
        <row r="86">
          <cell r="B86" t="str">
            <v>09592452525</v>
          </cell>
          <cell r="C86">
            <v>424314.87</v>
          </cell>
          <cell r="D86">
            <v>0</v>
          </cell>
          <cell r="W86">
            <v>223.81</v>
          </cell>
          <cell r="AA86">
            <v>9955.1799999999985</v>
          </cell>
          <cell r="AO86">
            <v>246.97</v>
          </cell>
          <cell r="AP86">
            <v>16417.55</v>
          </cell>
          <cell r="AQ86">
            <v>59088.07</v>
          </cell>
          <cell r="AR86">
            <v>93122.06</v>
          </cell>
          <cell r="AS86">
            <v>54992.21</v>
          </cell>
          <cell r="AT86">
            <v>28450.6</v>
          </cell>
          <cell r="AU86">
            <v>79386.23</v>
          </cell>
          <cell r="AV86">
            <v>10.209999999999837</v>
          </cell>
          <cell r="AW86">
            <v>40039.269999999997</v>
          </cell>
          <cell r="AX86">
            <v>42382.71</v>
          </cell>
          <cell r="AY86">
            <v>0</v>
          </cell>
          <cell r="BK86">
            <v>424314.87</v>
          </cell>
        </row>
        <row r="87">
          <cell r="B87" t="str">
            <v>09592452526</v>
          </cell>
          <cell r="C87">
            <v>174553.37</v>
          </cell>
          <cell r="D87">
            <v>0</v>
          </cell>
          <cell r="W87">
            <v>224.03</v>
          </cell>
          <cell r="AA87">
            <v>6905.6100000000006</v>
          </cell>
          <cell r="AO87">
            <v>105.39000000000001</v>
          </cell>
          <cell r="AP87">
            <v>1580.2</v>
          </cell>
          <cell r="AQ87">
            <v>24372.950000000004</v>
          </cell>
          <cell r="AR87">
            <v>41582.160000000003</v>
          </cell>
          <cell r="AS87">
            <v>10015.65</v>
          </cell>
          <cell r="AT87">
            <v>10877.4</v>
          </cell>
          <cell r="AU87">
            <v>47954.700000000004</v>
          </cell>
          <cell r="AV87">
            <v>3465.35</v>
          </cell>
          <cell r="AW87">
            <v>14433.570000000002</v>
          </cell>
          <cell r="AX87">
            <v>13036.36</v>
          </cell>
          <cell r="BK87">
            <v>174553.37</v>
          </cell>
        </row>
        <row r="88">
          <cell r="B88" t="str">
            <v>09592452527</v>
          </cell>
          <cell r="C88">
            <v>211687.24</v>
          </cell>
          <cell r="D88">
            <v>0</v>
          </cell>
          <cell r="W88">
            <v>2355.21</v>
          </cell>
          <cell r="AA88">
            <v>4042.09</v>
          </cell>
          <cell r="AB88">
            <v>250.92000000000002</v>
          </cell>
          <cell r="AC88">
            <v>3155.14</v>
          </cell>
          <cell r="AI88">
            <v>2728.32</v>
          </cell>
          <cell r="AJ88">
            <v>48196.680000000008</v>
          </cell>
          <cell r="AK88">
            <v>42154.540000000008</v>
          </cell>
          <cell r="AL88">
            <v>18063.920000000002</v>
          </cell>
          <cell r="AM88">
            <v>11369.48</v>
          </cell>
          <cell r="AN88">
            <v>7875.3399999999992</v>
          </cell>
          <cell r="AO88">
            <v>5646.3600000000006</v>
          </cell>
          <cell r="AP88">
            <v>11267.75</v>
          </cell>
          <cell r="AW88">
            <v>33242.399999999994</v>
          </cell>
          <cell r="AX88">
            <v>21339.09</v>
          </cell>
          <cell r="BK88">
            <v>211687.24</v>
          </cell>
        </row>
        <row r="89">
          <cell r="B89" t="str">
            <v>09592452528</v>
          </cell>
          <cell r="C89">
            <v>372097.38000000006</v>
          </cell>
          <cell r="D89">
            <v>0</v>
          </cell>
          <cell r="AA89">
            <v>18811.919999999998</v>
          </cell>
          <cell r="AB89">
            <v>879.65</v>
          </cell>
          <cell r="AC89">
            <v>12713.61</v>
          </cell>
          <cell r="AD89">
            <v>17483.309999999998</v>
          </cell>
          <cell r="AE89">
            <v>71144.66</v>
          </cell>
          <cell r="AF89">
            <v>70659.420000000013</v>
          </cell>
          <cell r="AG89">
            <v>67915.650000000009</v>
          </cell>
          <cell r="AH89">
            <v>51173.96</v>
          </cell>
          <cell r="AI89">
            <v>45152.18</v>
          </cell>
          <cell r="AJ89">
            <v>9186.0600000000013</v>
          </cell>
          <cell r="AK89">
            <v>6976.9599999999991</v>
          </cell>
          <cell r="BK89">
            <v>372097.38000000006</v>
          </cell>
        </row>
        <row r="90">
          <cell r="B90" t="str">
            <v>09592552523</v>
          </cell>
          <cell r="C90">
            <v>2.7292057502847911E-13</v>
          </cell>
          <cell r="D90">
            <v>0</v>
          </cell>
          <cell r="T90">
            <v>1488.2</v>
          </cell>
          <cell r="U90">
            <v>4.3100000000000005</v>
          </cell>
          <cell r="V90">
            <v>3.58</v>
          </cell>
          <cell r="W90">
            <v>515.77</v>
          </cell>
          <cell r="X90">
            <v>3.62</v>
          </cell>
          <cell r="Y90">
            <v>6.65</v>
          </cell>
          <cell r="Z90">
            <v>-2012.72</v>
          </cell>
          <cell r="AA90">
            <v>3885.2400000000007</v>
          </cell>
          <cell r="AB90">
            <v>-3886.4500000000003</v>
          </cell>
          <cell r="AC90">
            <v>-8.17</v>
          </cell>
          <cell r="AD90">
            <v>-0.03</v>
          </cell>
          <cell r="BK90">
            <v>2.7292057502847911E-13</v>
          </cell>
        </row>
        <row r="91">
          <cell r="B91" t="str">
            <v>09592652523</v>
          </cell>
          <cell r="C91">
            <v>50796.57</v>
          </cell>
          <cell r="D91">
            <v>0</v>
          </cell>
          <cell r="S91">
            <v>5027.25</v>
          </cell>
          <cell r="T91">
            <v>16.080000000000002</v>
          </cell>
          <cell r="U91">
            <v>14.620000000000001</v>
          </cell>
          <cell r="V91">
            <v>745.77</v>
          </cell>
          <cell r="W91">
            <v>25685.5</v>
          </cell>
          <cell r="X91">
            <v>12338.94</v>
          </cell>
          <cell r="Y91">
            <v>169.92999999999998</v>
          </cell>
          <cell r="Z91">
            <v>1750.77</v>
          </cell>
          <cell r="AB91">
            <v>5047.71</v>
          </cell>
          <cell r="BK91">
            <v>50796.57</v>
          </cell>
        </row>
        <row r="92">
          <cell r="B92" t="str">
            <v>09592752525</v>
          </cell>
          <cell r="C92">
            <v>96521.819999999992</v>
          </cell>
          <cell r="D92">
            <v>0</v>
          </cell>
          <cell r="T92">
            <v>5365.53</v>
          </cell>
          <cell r="U92">
            <v>1253.2900000000002</v>
          </cell>
          <cell r="V92">
            <v>31293.24</v>
          </cell>
          <cell r="W92">
            <v>54618.62</v>
          </cell>
          <cell r="X92">
            <v>4896.3599999999997</v>
          </cell>
          <cell r="Y92">
            <v>-411.83000000000004</v>
          </cell>
          <cell r="Z92">
            <v>-488.26000000000005</v>
          </cell>
          <cell r="AA92">
            <v>-674.36</v>
          </cell>
          <cell r="AB92">
            <v>-2446.96</v>
          </cell>
          <cell r="AI92">
            <v>3116.1900000000005</v>
          </cell>
          <cell r="BK92">
            <v>96521.819999999992</v>
          </cell>
        </row>
        <row r="93">
          <cell r="B93" t="str">
            <v>09592852523</v>
          </cell>
          <cell r="C93">
            <v>212843.09</v>
          </cell>
          <cell r="D93">
            <v>0</v>
          </cell>
          <cell r="S93">
            <v>12312.68</v>
          </cell>
          <cell r="T93">
            <v>109592.68999999999</v>
          </cell>
          <cell r="U93">
            <v>67949.209999999992</v>
          </cell>
          <cell r="V93">
            <v>16414.330000000005</v>
          </cell>
          <cell r="W93">
            <v>8546.2199999999993</v>
          </cell>
          <cell r="X93">
            <v>123.03</v>
          </cell>
          <cell r="Y93">
            <v>709.3</v>
          </cell>
          <cell r="Z93">
            <v>-2783.01</v>
          </cell>
          <cell r="AC93">
            <v>-21.36</v>
          </cell>
          <cell r="BK93">
            <v>212843.09</v>
          </cell>
        </row>
        <row r="94">
          <cell r="B94" t="str">
            <v>09595052523</v>
          </cell>
          <cell r="C94">
            <v>295415.08</v>
          </cell>
          <cell r="D94">
            <v>0</v>
          </cell>
          <cell r="T94">
            <v>20843.160000000007</v>
          </cell>
          <cell r="U94">
            <v>85973.440000000002</v>
          </cell>
          <cell r="V94">
            <v>87570.469999999972</v>
          </cell>
          <cell r="W94">
            <v>87314.190000000017</v>
          </cell>
          <cell r="X94">
            <v>4329.4400000000005</v>
          </cell>
          <cell r="Y94">
            <v>2756.28</v>
          </cell>
          <cell r="Z94">
            <v>5447.35</v>
          </cell>
          <cell r="AA94">
            <v>6227.1500000000005</v>
          </cell>
          <cell r="AB94">
            <v>2103.23</v>
          </cell>
          <cell r="AC94">
            <v>-3023.5000000000005</v>
          </cell>
          <cell r="AJ94">
            <v>-4126.13</v>
          </cell>
          <cell r="BK94">
            <v>295415.08</v>
          </cell>
        </row>
        <row r="95">
          <cell r="B95" t="str">
            <v>09595052526</v>
          </cell>
          <cell r="C95">
            <v>113060.48</v>
          </cell>
          <cell r="D95">
            <v>0</v>
          </cell>
          <cell r="S95">
            <v>14171.480000000001</v>
          </cell>
          <cell r="T95">
            <v>41204.429999999993</v>
          </cell>
          <cell r="U95">
            <v>43862.009999999995</v>
          </cell>
          <cell r="V95">
            <v>-3481.5900000000006</v>
          </cell>
          <cell r="W95">
            <v>2828.0700000000011</v>
          </cell>
          <cell r="X95">
            <v>1041.0800000000002</v>
          </cell>
          <cell r="Z95">
            <v>6462.72</v>
          </cell>
          <cell r="AA95">
            <v>6863.74</v>
          </cell>
          <cell r="AB95">
            <v>9312.7099999999991</v>
          </cell>
          <cell r="AC95">
            <v>-9204.17</v>
          </cell>
          <cell r="BK95">
            <v>113060.48</v>
          </cell>
        </row>
        <row r="96">
          <cell r="B96" t="str">
            <v>09595052529</v>
          </cell>
          <cell r="C96">
            <v>399331.53999999986</v>
          </cell>
          <cell r="D96">
            <v>0</v>
          </cell>
          <cell r="T96">
            <v>4814.53</v>
          </cell>
          <cell r="U96">
            <v>2076.15</v>
          </cell>
          <cell r="V96">
            <v>10352.1</v>
          </cell>
          <cell r="W96">
            <v>778.91</v>
          </cell>
          <cell r="AY96">
            <v>120.75</v>
          </cell>
          <cell r="AZ96">
            <v>100950.89000000001</v>
          </cell>
          <cell r="BA96">
            <v>349077.28999999992</v>
          </cell>
          <cell r="BB96">
            <v>-162693.63</v>
          </cell>
          <cell r="BC96">
            <v>1960.6800000000003</v>
          </cell>
          <cell r="BD96">
            <v>71596.09</v>
          </cell>
          <cell r="BE96">
            <v>1060.4099999999999</v>
          </cell>
          <cell r="BF96">
            <v>7116.14</v>
          </cell>
          <cell r="BG96">
            <v>12121.230000000001</v>
          </cell>
          <cell r="BK96">
            <v>399331.53999999986</v>
          </cell>
        </row>
        <row r="97">
          <cell r="B97" t="str">
            <v>09595052530</v>
          </cell>
          <cell r="C97">
            <v>404207.03000000009</v>
          </cell>
          <cell r="D97">
            <v>0</v>
          </cell>
          <cell r="T97">
            <v>34370.870000000003</v>
          </cell>
          <cell r="U97">
            <v>171.84</v>
          </cell>
          <cell r="V97">
            <v>-17445.919999999998</v>
          </cell>
          <cell r="AB97">
            <v>3139.56</v>
          </cell>
          <cell r="AC97">
            <v>204207.37000000002</v>
          </cell>
          <cell r="AD97">
            <v>131392.12000000002</v>
          </cell>
          <cell r="AE97">
            <v>24624.329999999998</v>
          </cell>
          <cell r="AF97">
            <v>12856.5</v>
          </cell>
          <cell r="AG97">
            <v>159.94000000000003</v>
          </cell>
          <cell r="AH97">
            <v>2214.13</v>
          </cell>
          <cell r="AI97">
            <v>8516.2899999999991</v>
          </cell>
          <cell r="AJ97">
            <v>0</v>
          </cell>
          <cell r="BK97">
            <v>404207.03000000009</v>
          </cell>
        </row>
        <row r="98">
          <cell r="B98" t="str">
            <v>09595052531</v>
          </cell>
          <cell r="C98">
            <v>704391.85</v>
          </cell>
          <cell r="D98">
            <v>0</v>
          </cell>
          <cell r="AB98">
            <v>1295.17</v>
          </cell>
          <cell r="AC98">
            <v>17047.600000000002</v>
          </cell>
          <cell r="AD98">
            <v>7683.93</v>
          </cell>
          <cell r="AE98">
            <v>181820.48</v>
          </cell>
          <cell r="AF98">
            <v>90190.16</v>
          </cell>
          <cell r="AG98">
            <v>97753.680000000008</v>
          </cell>
          <cell r="AH98">
            <v>120301.46</v>
          </cell>
          <cell r="AI98">
            <v>61099.07</v>
          </cell>
          <cell r="AJ98">
            <v>69357.59</v>
          </cell>
          <cell r="AK98">
            <v>28215.570000000003</v>
          </cell>
          <cell r="AL98">
            <v>27537.040000000001</v>
          </cell>
          <cell r="AM98">
            <v>2090.1</v>
          </cell>
          <cell r="BK98">
            <v>704391.85</v>
          </cell>
        </row>
        <row r="99">
          <cell r="B99" t="str">
            <v>09595352523</v>
          </cell>
          <cell r="C99">
            <v>45190.060000000005</v>
          </cell>
          <cell r="D99">
            <v>0</v>
          </cell>
          <cell r="S99">
            <v>17815.830000000002</v>
          </cell>
          <cell r="T99">
            <v>11874.1</v>
          </cell>
          <cell r="U99">
            <v>2414.6200000000003</v>
          </cell>
          <cell r="V99">
            <v>1067</v>
          </cell>
          <cell r="W99">
            <v>1474.86</v>
          </cell>
          <cell r="Z99">
            <v>0</v>
          </cell>
          <cell r="AA99">
            <v>2443.4</v>
          </cell>
          <cell r="AC99">
            <v>8100.25</v>
          </cell>
          <cell r="BK99">
            <v>45190.060000000005</v>
          </cell>
        </row>
        <row r="100">
          <cell r="B100" t="str">
            <v>09595552526</v>
          </cell>
          <cell r="C100">
            <v>760552.46000000008</v>
          </cell>
          <cell r="D100">
            <v>0</v>
          </cell>
          <cell r="S100">
            <v>5697.630000000001</v>
          </cell>
          <cell r="T100">
            <v>8834.7999999999993</v>
          </cell>
          <cell r="U100">
            <v>1516.1100000000001</v>
          </cell>
          <cell r="W100">
            <v>1661.95</v>
          </cell>
          <cell r="AA100">
            <v>817.09</v>
          </cell>
          <cell r="AB100">
            <v>99.75</v>
          </cell>
          <cell r="AC100">
            <v>2021.95</v>
          </cell>
          <cell r="AD100">
            <v>8962.6099999999988</v>
          </cell>
          <cell r="AE100">
            <v>36259.089999999997</v>
          </cell>
          <cell r="AF100">
            <v>74815.399999999994</v>
          </cell>
          <cell r="AG100">
            <v>64650.200000000012</v>
          </cell>
          <cell r="AH100">
            <v>40125.79</v>
          </cell>
          <cell r="AI100">
            <v>20377.54</v>
          </cell>
          <cell r="AJ100">
            <v>8250.3100000000013</v>
          </cell>
          <cell r="AK100">
            <v>8025</v>
          </cell>
          <cell r="AL100">
            <v>8025</v>
          </cell>
          <cell r="AO100">
            <v>37431.26</v>
          </cell>
          <cell r="AP100">
            <v>102336.62000000002</v>
          </cell>
          <cell r="AQ100">
            <v>118628.96999999999</v>
          </cell>
          <cell r="AR100">
            <v>194643.77</v>
          </cell>
          <cell r="AS100">
            <v>22434.09</v>
          </cell>
          <cell r="AT100">
            <v>-2164.63</v>
          </cell>
          <cell r="AU100">
            <v>26.68</v>
          </cell>
          <cell r="AV100">
            <v>-656.38</v>
          </cell>
          <cell r="AW100">
            <v>-1937.8300000000002</v>
          </cell>
          <cell r="AZ100">
            <v>-330.31000000000006</v>
          </cell>
          <cell r="BK100">
            <v>760552.46000000008</v>
          </cell>
        </row>
        <row r="101">
          <cell r="B101" t="str">
            <v>09595552527</v>
          </cell>
          <cell r="C101">
            <v>46989.240000000005</v>
          </cell>
          <cell r="D101">
            <v>0</v>
          </cell>
          <cell r="Q101">
            <v>5790.17</v>
          </cell>
          <cell r="R101">
            <v>30350.720000000001</v>
          </cell>
          <cell r="S101">
            <v>1264.54</v>
          </cell>
          <cell r="T101">
            <v>5133.03</v>
          </cell>
          <cell r="U101">
            <v>122.87</v>
          </cell>
          <cell r="V101">
            <v>101.67999999999999</v>
          </cell>
          <cell r="W101">
            <v>4369.4500000000007</v>
          </cell>
          <cell r="X101">
            <v>-143.22</v>
          </cell>
          <cell r="BK101">
            <v>46989.240000000005</v>
          </cell>
        </row>
        <row r="102">
          <cell r="B102" t="str">
            <v>09595552528</v>
          </cell>
          <cell r="C102">
            <v>525635.41999999993</v>
          </cell>
          <cell r="D102">
            <v>0</v>
          </cell>
          <cell r="AB102">
            <v>326.35000000000002</v>
          </cell>
          <cell r="AC102">
            <v>10133.910000000002</v>
          </cell>
          <cell r="AD102">
            <v>73.22</v>
          </cell>
          <cell r="AE102">
            <v>2.63</v>
          </cell>
          <cell r="AF102">
            <v>2.11</v>
          </cell>
          <cell r="AN102">
            <v>5.2700000000000005</v>
          </cell>
          <cell r="AO102">
            <v>81.42</v>
          </cell>
          <cell r="AP102">
            <v>6403.8</v>
          </cell>
          <cell r="AQ102">
            <v>65308.580000000016</v>
          </cell>
          <cell r="AR102">
            <v>56765.159999999996</v>
          </cell>
          <cell r="AS102">
            <v>56670.5</v>
          </cell>
          <cell r="AT102">
            <v>91415.55</v>
          </cell>
          <cell r="AU102">
            <v>96781.789999999964</v>
          </cell>
          <cell r="AV102">
            <v>90219.299999999988</v>
          </cell>
          <cell r="AW102">
            <v>38644.19</v>
          </cell>
          <cell r="AX102">
            <v>-574.34999999999968</v>
          </cell>
          <cell r="AY102">
            <v>725.1</v>
          </cell>
          <cell r="AZ102">
            <v>-214.45</v>
          </cell>
          <cell r="BA102">
            <v>1079.75</v>
          </cell>
          <cell r="BC102">
            <v>1891.56</v>
          </cell>
          <cell r="BE102">
            <v>9894.0300000000007</v>
          </cell>
          <cell r="BK102">
            <v>525635.41999999993</v>
          </cell>
        </row>
        <row r="103">
          <cell r="B103" t="str">
            <v>09595552529</v>
          </cell>
          <cell r="C103">
            <v>327835.41000000003</v>
          </cell>
          <cell r="D103">
            <v>0</v>
          </cell>
          <cell r="AB103">
            <v>329.02000000000004</v>
          </cell>
          <cell r="AC103">
            <v>7159.26</v>
          </cell>
          <cell r="AD103">
            <v>13574.92</v>
          </cell>
          <cell r="AE103">
            <v>10.53</v>
          </cell>
          <cell r="AF103">
            <v>8.43</v>
          </cell>
          <cell r="AG103">
            <v>22.240000000000002</v>
          </cell>
          <cell r="AH103">
            <v>1686.0200000000002</v>
          </cell>
          <cell r="AI103">
            <v>42023.61</v>
          </cell>
          <cell r="AJ103">
            <v>65567.310000000012</v>
          </cell>
          <cell r="AK103">
            <v>82415.08</v>
          </cell>
          <cell r="AL103">
            <v>89562.59</v>
          </cell>
          <cell r="AM103">
            <v>5778.0699999999988</v>
          </cell>
          <cell r="AO103">
            <v>-1751.52</v>
          </cell>
          <cell r="AP103">
            <v>16157.189999999999</v>
          </cell>
          <cell r="AQ103">
            <v>173.61</v>
          </cell>
          <cell r="AT103">
            <v>2967.9</v>
          </cell>
          <cell r="AU103">
            <v>2151.1499999999996</v>
          </cell>
          <cell r="BK103">
            <v>327835.41000000003</v>
          </cell>
        </row>
        <row r="104">
          <cell r="B104" t="str">
            <v>09595752523</v>
          </cell>
          <cell r="C104">
            <v>504118.66999999993</v>
          </cell>
          <cell r="D104">
            <v>0</v>
          </cell>
          <cell r="T104">
            <v>10550.44</v>
          </cell>
          <cell r="U104">
            <v>30.6</v>
          </cell>
          <cell r="W104">
            <v>15048.460000000001</v>
          </cell>
          <cell r="AA104">
            <v>1247.19</v>
          </cell>
          <cell r="AN104">
            <v>13.44</v>
          </cell>
          <cell r="AO104">
            <v>13.450000000000001</v>
          </cell>
          <cell r="AP104">
            <v>13.450000000000001</v>
          </cell>
          <cell r="AQ104">
            <v>49643.93</v>
          </cell>
          <cell r="AR104">
            <v>72162.89</v>
          </cell>
          <cell r="AS104">
            <v>28995.54</v>
          </cell>
          <cell r="AT104">
            <v>202592.57</v>
          </cell>
          <cell r="AU104">
            <v>123350.64</v>
          </cell>
          <cell r="AV104">
            <v>250.60000000000002</v>
          </cell>
          <cell r="AW104">
            <v>7326.7199999999993</v>
          </cell>
          <cell r="AY104">
            <v>-27.29</v>
          </cell>
          <cell r="BD104">
            <v>-7093.9600000000009</v>
          </cell>
          <cell r="BK104">
            <v>504118.66999999993</v>
          </cell>
        </row>
        <row r="105">
          <cell r="B105" t="str">
            <v>09595402052523</v>
          </cell>
          <cell r="C105">
            <v>442348.54000000004</v>
          </cell>
          <cell r="D105">
            <v>0</v>
          </cell>
          <cell r="AC105">
            <v>21293.46</v>
          </cell>
          <cell r="AD105">
            <v>70299.22</v>
          </cell>
          <cell r="AE105">
            <v>89053.07</v>
          </cell>
          <cell r="AF105">
            <v>164200.80000000002</v>
          </cell>
          <cell r="AG105">
            <v>54325.120000000003</v>
          </cell>
          <cell r="AH105">
            <v>24041.620000000003</v>
          </cell>
          <cell r="AI105">
            <v>19135.25</v>
          </cell>
          <cell r="BK105">
            <v>442348.54000000004</v>
          </cell>
        </row>
        <row r="106">
          <cell r="B106" t="str">
            <v>10595002052011</v>
          </cell>
          <cell r="C106">
            <v>70754.759999999995</v>
          </cell>
          <cell r="D106">
            <v>0</v>
          </cell>
          <cell r="AD106">
            <v>3395.2400000000007</v>
          </cell>
          <cell r="AE106">
            <v>7356.7599999999984</v>
          </cell>
          <cell r="AF106">
            <v>50993.899999999994</v>
          </cell>
          <cell r="AG106">
            <v>7624.9400000000005</v>
          </cell>
          <cell r="AH106">
            <v>1383.92</v>
          </cell>
          <cell r="BK106">
            <v>70754.759999999995</v>
          </cell>
        </row>
        <row r="107">
          <cell r="B107" t="str">
            <v>10592702052210</v>
          </cell>
          <cell r="C107">
            <v>83098.539999999994</v>
          </cell>
          <cell r="D107">
            <v>0</v>
          </cell>
          <cell r="AI107">
            <v>11996.72</v>
          </cell>
          <cell r="AJ107">
            <v>51932.28</v>
          </cell>
          <cell r="AK107">
            <v>8366.6400000000012</v>
          </cell>
          <cell r="AL107">
            <v>-31.82</v>
          </cell>
          <cell r="AN107">
            <v>281.39999999999998</v>
          </cell>
          <cell r="AR107">
            <v>10553.320000000002</v>
          </cell>
          <cell r="BK107">
            <v>83098.539999999994</v>
          </cell>
        </row>
        <row r="108">
          <cell r="B108" t="str">
            <v>09592002052526</v>
          </cell>
          <cell r="C108">
            <v>251378.97999999998</v>
          </cell>
          <cell r="D108">
            <v>0</v>
          </cell>
          <cell r="AI108">
            <v>60860.82</v>
          </cell>
          <cell r="AJ108">
            <v>64213.280000000006</v>
          </cell>
          <cell r="AK108">
            <v>48381.459999999992</v>
          </cell>
          <cell r="AL108">
            <v>46122.559999999998</v>
          </cell>
          <cell r="AM108">
            <v>52.59</v>
          </cell>
          <cell r="AN108">
            <v>31165.57</v>
          </cell>
          <cell r="AO108">
            <v>559.80000000000007</v>
          </cell>
          <cell r="AP108">
            <v>22.9</v>
          </cell>
          <cell r="BK108">
            <v>251378.97999999998</v>
          </cell>
        </row>
        <row r="109">
          <cell r="B109" t="str">
            <v>09592002052525</v>
          </cell>
          <cell r="C109">
            <v>220476.59</v>
          </cell>
          <cell r="D109">
            <v>0</v>
          </cell>
          <cell r="AK109">
            <v>34552.200000000004</v>
          </cell>
          <cell r="AL109">
            <v>141597.11999999997</v>
          </cell>
          <cell r="AM109">
            <v>-5084.4000000000033</v>
          </cell>
          <cell r="AN109">
            <v>45394.130000000005</v>
          </cell>
          <cell r="AO109">
            <v>3973.650000000001</v>
          </cell>
          <cell r="AQ109">
            <v>43.89</v>
          </cell>
          <cell r="BK109">
            <v>220476.59</v>
          </cell>
        </row>
        <row r="110">
          <cell r="B110" t="str">
            <v>10583302052210</v>
          </cell>
          <cell r="C110">
            <v>46529.57</v>
          </cell>
          <cell r="D110">
            <v>0</v>
          </cell>
          <cell r="AK110">
            <v>447.99</v>
          </cell>
          <cell r="AL110">
            <v>29348.17</v>
          </cell>
          <cell r="AM110">
            <v>-4.54</v>
          </cell>
          <cell r="AP110">
            <v>16737.95</v>
          </cell>
          <cell r="BK110">
            <v>46529.57</v>
          </cell>
        </row>
        <row r="111">
          <cell r="B111" t="str">
            <v>09582102052523</v>
          </cell>
          <cell r="C111">
            <v>301982.1399999999</v>
          </cell>
          <cell r="D111">
            <v>0</v>
          </cell>
          <cell r="AN111">
            <v>148.99</v>
          </cell>
          <cell r="AO111">
            <v>18922.13</v>
          </cell>
          <cell r="AP111">
            <v>17148.559999999998</v>
          </cell>
          <cell r="AQ111">
            <v>5483.76</v>
          </cell>
          <cell r="AR111">
            <v>2370.3199999999997</v>
          </cell>
          <cell r="AS111">
            <v>28245.899999999998</v>
          </cell>
          <cell r="AT111">
            <v>50631.46</v>
          </cell>
          <cell r="AU111">
            <v>71596.199999999983</v>
          </cell>
          <cell r="AV111">
            <v>37623.270000000004</v>
          </cell>
          <cell r="AW111">
            <v>32238.760000000002</v>
          </cell>
          <cell r="AX111">
            <v>16278.54</v>
          </cell>
          <cell r="AY111">
            <v>-3271.14</v>
          </cell>
          <cell r="AZ111">
            <v>3372.74</v>
          </cell>
          <cell r="BA111">
            <v>2775.61</v>
          </cell>
          <cell r="BB111">
            <v>8951.76</v>
          </cell>
          <cell r="BC111">
            <v>2890.48</v>
          </cell>
          <cell r="BD111">
            <v>6574.8</v>
          </cell>
          <cell r="BK111">
            <v>301982.1399999999</v>
          </cell>
        </row>
        <row r="112">
          <cell r="B112" t="str">
            <v>09582102052525</v>
          </cell>
          <cell r="C112">
            <v>628583.50000000012</v>
          </cell>
          <cell r="D112">
            <v>0</v>
          </cell>
          <cell r="AN112">
            <v>482.94000000000005</v>
          </cell>
          <cell r="AO112">
            <v>4115.63</v>
          </cell>
          <cell r="AP112">
            <v>12460.509999999998</v>
          </cell>
          <cell r="AQ112">
            <v>53727.30000000001</v>
          </cell>
          <cell r="AR112">
            <v>34752.980000000003</v>
          </cell>
          <cell r="AS112">
            <v>57320.959999999999</v>
          </cell>
          <cell r="AT112">
            <v>7935.2600000000011</v>
          </cell>
          <cell r="AU112">
            <v>13791.739999999998</v>
          </cell>
          <cell r="AV112">
            <v>52303.240000000005</v>
          </cell>
          <cell r="AW112">
            <v>119114.77000000002</v>
          </cell>
          <cell r="AX112">
            <v>160262.35</v>
          </cell>
          <cell r="AY112">
            <v>58560.380000000005</v>
          </cell>
          <cell r="AZ112">
            <v>7111.8799999999992</v>
          </cell>
          <cell r="BA112">
            <v>2616.4100000000003</v>
          </cell>
          <cell r="BB112">
            <v>32815.54</v>
          </cell>
          <cell r="BC112">
            <v>3662.8700000000003</v>
          </cell>
          <cell r="BD112">
            <v>6477.97</v>
          </cell>
          <cell r="BE112">
            <v>1070.77</v>
          </cell>
          <cell r="BK112">
            <v>628583.50000000012</v>
          </cell>
        </row>
        <row r="113">
          <cell r="B113" t="str">
            <v>10573302052210</v>
          </cell>
          <cell r="C113">
            <v>306398.49999999994</v>
          </cell>
          <cell r="D113">
            <v>0</v>
          </cell>
          <cell r="AN113">
            <v>12215.740000000002</v>
          </cell>
          <cell r="AO113">
            <v>32618.950000000004</v>
          </cell>
          <cell r="AP113">
            <v>34906.869999999995</v>
          </cell>
          <cell r="AQ113">
            <v>33521.56</v>
          </cell>
          <cell r="AR113">
            <v>45254.380000000005</v>
          </cell>
          <cell r="AS113">
            <v>13216.83</v>
          </cell>
          <cell r="AT113">
            <v>33034.080000000002</v>
          </cell>
          <cell r="AU113">
            <v>100766.68000000002</v>
          </cell>
          <cell r="AV113">
            <v>698.42000000000007</v>
          </cell>
          <cell r="AW113">
            <v>164.99</v>
          </cell>
          <cell r="BK113">
            <v>306398.49999999994</v>
          </cell>
        </row>
        <row r="114">
          <cell r="B114" t="str">
            <v>10592002052213</v>
          </cell>
          <cell r="C114">
            <v>457465.61</v>
          </cell>
          <cell r="D114">
            <v>0</v>
          </cell>
          <cell r="AN114">
            <v>3087.26</v>
          </cell>
          <cell r="AO114">
            <v>64162.359999999993</v>
          </cell>
          <cell r="AP114">
            <v>66801.12000000001</v>
          </cell>
          <cell r="AQ114">
            <v>81292.34</v>
          </cell>
          <cell r="AR114">
            <v>68012.59</v>
          </cell>
          <cell r="AS114">
            <v>526.37</v>
          </cell>
          <cell r="AT114">
            <v>69495.3</v>
          </cell>
          <cell r="AU114">
            <v>56720.520000000004</v>
          </cell>
          <cell r="AV114">
            <v>26092.879999999997</v>
          </cell>
          <cell r="AW114">
            <v>23476.74</v>
          </cell>
          <cell r="AX114">
            <v>230.14000000000001</v>
          </cell>
          <cell r="AY114">
            <v>-2617.4899999999998</v>
          </cell>
          <cell r="AZ114">
            <v>116.7999999999999</v>
          </cell>
          <cell r="BA114">
            <v>68.680000000000007</v>
          </cell>
          <cell r="BK114">
            <v>457465.61</v>
          </cell>
        </row>
        <row r="115">
          <cell r="B115" t="str">
            <v>09592002052523</v>
          </cell>
          <cell r="C115">
            <v>476669.8000000001</v>
          </cell>
          <cell r="D115">
            <v>0</v>
          </cell>
          <cell r="AO115">
            <v>191.55</v>
          </cell>
          <cell r="AP115">
            <v>0.1</v>
          </cell>
          <cell r="AQ115">
            <v>61493.000000000007</v>
          </cell>
          <cell r="AR115">
            <v>55424.709999999992</v>
          </cell>
          <cell r="AS115">
            <v>211264.92</v>
          </cell>
          <cell r="AT115">
            <v>44229.83</v>
          </cell>
          <cell r="AU115">
            <v>102929.45999999999</v>
          </cell>
          <cell r="AV115">
            <v>1227.83</v>
          </cell>
          <cell r="AW115">
            <v>1884.75</v>
          </cell>
          <cell r="AX115">
            <v>589.87999999999988</v>
          </cell>
          <cell r="AZ115">
            <v>-285.41000000000003</v>
          </cell>
          <cell r="BB115">
            <v>-2280.8199999999997</v>
          </cell>
          <cell r="BK115">
            <v>476669.8000000001</v>
          </cell>
        </row>
        <row r="116">
          <cell r="B116" t="str">
            <v>09595002052523</v>
          </cell>
          <cell r="C116">
            <v>334373.97000000003</v>
          </cell>
          <cell r="D116">
            <v>0</v>
          </cell>
          <cell r="AO116">
            <v>362.84</v>
          </cell>
          <cell r="AP116">
            <v>0.18</v>
          </cell>
          <cell r="AQ116">
            <v>0.33</v>
          </cell>
          <cell r="AR116">
            <v>1414.3200000000002</v>
          </cell>
          <cell r="AS116">
            <v>46610.75</v>
          </cell>
          <cell r="AT116">
            <v>6865.45</v>
          </cell>
          <cell r="AU116">
            <v>144230.74</v>
          </cell>
          <cell r="AV116">
            <v>66479.259999999995</v>
          </cell>
          <cell r="AW116">
            <v>24570.02</v>
          </cell>
          <cell r="AX116">
            <v>49906.429999999993</v>
          </cell>
          <cell r="AY116">
            <v>-0.01</v>
          </cell>
          <cell r="AZ116">
            <v>20.46</v>
          </cell>
          <cell r="BD116">
            <v>-6086.8</v>
          </cell>
          <cell r="BK116">
            <v>334373.97000000003</v>
          </cell>
        </row>
        <row r="117">
          <cell r="B117" t="str">
            <v>10583202052210</v>
          </cell>
          <cell r="C117">
            <v>671085.27</v>
          </cell>
          <cell r="D117">
            <v>0</v>
          </cell>
          <cell r="AO117">
            <v>124448.27000000002</v>
          </cell>
          <cell r="AP117">
            <v>55790.779999999992</v>
          </cell>
          <cell r="AQ117">
            <v>118623.16</v>
          </cell>
          <cell r="AR117">
            <v>167234.59000000003</v>
          </cell>
          <cell r="AS117">
            <v>98888.749999999971</v>
          </cell>
          <cell r="AT117">
            <v>103314.62</v>
          </cell>
          <cell r="AU117">
            <v>2362.61</v>
          </cell>
          <cell r="AY117">
            <v>422.49</v>
          </cell>
          <cell r="BK117">
            <v>671085.27</v>
          </cell>
        </row>
        <row r="118">
          <cell r="B118" t="str">
            <v>10583402052210</v>
          </cell>
          <cell r="C118">
            <v>479051.96999999991</v>
          </cell>
          <cell r="D118">
            <v>0</v>
          </cell>
          <cell r="AO118">
            <v>1614.25</v>
          </cell>
          <cell r="AP118">
            <v>0.81</v>
          </cell>
          <cell r="AQ118">
            <v>1.45</v>
          </cell>
          <cell r="AR118">
            <v>2.1</v>
          </cell>
          <cell r="AS118">
            <v>3.08</v>
          </cell>
          <cell r="AT118">
            <v>55739.66</v>
          </cell>
          <cell r="AU118">
            <v>122022.26999999999</v>
          </cell>
          <cell r="AV118">
            <v>105894.77999999996</v>
          </cell>
          <cell r="AW118">
            <v>94831.78</v>
          </cell>
          <cell r="AX118">
            <v>104514.42</v>
          </cell>
          <cell r="AY118">
            <v>-5966.0199999999995</v>
          </cell>
          <cell r="AZ118">
            <v>393.39</v>
          </cell>
          <cell r="BB118">
            <v>0</v>
          </cell>
          <cell r="BK118">
            <v>479051.96999999991</v>
          </cell>
        </row>
        <row r="119">
          <cell r="B119" t="str">
            <v>10592002052212</v>
          </cell>
          <cell r="C119">
            <v>832281.84000000008</v>
          </cell>
          <cell r="D119">
            <v>0</v>
          </cell>
          <cell r="AO119">
            <v>286.96000000000004</v>
          </cell>
          <cell r="AP119">
            <v>0.14000000000000001</v>
          </cell>
          <cell r="AQ119">
            <v>0.26</v>
          </cell>
          <cell r="AR119">
            <v>76638.98</v>
          </cell>
          <cell r="AS119">
            <v>148939.04999999999</v>
          </cell>
          <cell r="AT119">
            <v>234562.25999999998</v>
          </cell>
          <cell r="AU119">
            <v>300776.35000000009</v>
          </cell>
          <cell r="AV119">
            <v>-26674.750000000004</v>
          </cell>
          <cell r="AW119">
            <v>16622.97</v>
          </cell>
          <cell r="AX119">
            <v>63836.800000000003</v>
          </cell>
          <cell r="AY119">
            <v>0</v>
          </cell>
          <cell r="AZ119">
            <v>18325.29</v>
          </cell>
          <cell r="BB119">
            <v>-1244.6500000000001</v>
          </cell>
          <cell r="BD119">
            <v>212.17999999999998</v>
          </cell>
          <cell r="BK119">
            <v>832281.84000000008</v>
          </cell>
        </row>
        <row r="120">
          <cell r="B120" t="str">
            <v>10592702052212</v>
          </cell>
          <cell r="C120">
            <v>331433.89</v>
          </cell>
          <cell r="D120">
            <v>0</v>
          </cell>
          <cell r="AO120">
            <v>2143.0299999999997</v>
          </cell>
          <cell r="AP120">
            <v>53.92</v>
          </cell>
          <cell r="AQ120">
            <v>1.98</v>
          </cell>
          <cell r="AR120">
            <v>2.8600000000000003</v>
          </cell>
          <cell r="AS120">
            <v>4.18</v>
          </cell>
          <cell r="AT120">
            <v>3.9699999999999998</v>
          </cell>
          <cell r="AU120">
            <v>87859.23000000001</v>
          </cell>
          <cell r="AV120">
            <v>68533.2</v>
          </cell>
          <cell r="AW120">
            <v>106122.86</v>
          </cell>
          <cell r="AX120">
            <v>79986.649999999994</v>
          </cell>
          <cell r="AY120">
            <v>0</v>
          </cell>
          <cell r="AZ120">
            <v>-763.83</v>
          </cell>
          <cell r="BA120">
            <v>-10528.79</v>
          </cell>
          <cell r="BD120">
            <v>-1985.37</v>
          </cell>
          <cell r="BK120">
            <v>331433.89</v>
          </cell>
        </row>
        <row r="121">
          <cell r="B121" t="str">
            <v>10592702052213</v>
          </cell>
          <cell r="C121">
            <v>258447.19999999998</v>
          </cell>
          <cell r="D121">
            <v>0</v>
          </cell>
          <cell r="AO121">
            <v>106.63000000000001</v>
          </cell>
          <cell r="AP121">
            <v>0.05</v>
          </cell>
          <cell r="AQ121">
            <v>0.09</v>
          </cell>
          <cell r="AR121">
            <v>0.13</v>
          </cell>
          <cell r="AS121">
            <v>22813.57</v>
          </cell>
          <cell r="AT121">
            <v>18805.280000000002</v>
          </cell>
          <cell r="AU121">
            <v>91027.09</v>
          </cell>
          <cell r="AV121">
            <v>49495.5</v>
          </cell>
          <cell r="AW121">
            <v>27169.51</v>
          </cell>
          <cell r="AX121">
            <v>55594.650000000009</v>
          </cell>
          <cell r="AZ121">
            <v>-264.63</v>
          </cell>
          <cell r="BA121">
            <v>-4167.16</v>
          </cell>
          <cell r="BD121">
            <v>-2133.5100000000002</v>
          </cell>
          <cell r="BK121">
            <v>258447.19999999998</v>
          </cell>
        </row>
        <row r="122">
          <cell r="B122" t="str">
            <v>10592802052210</v>
          </cell>
          <cell r="C122">
            <v>351150.23000000004</v>
          </cell>
          <cell r="D122">
            <v>0</v>
          </cell>
          <cell r="AO122">
            <v>2112.83</v>
          </cell>
          <cell r="AP122">
            <v>53.17</v>
          </cell>
          <cell r="AQ122">
            <v>1.9500000000000002</v>
          </cell>
          <cell r="AR122">
            <v>21536.240000000002</v>
          </cell>
          <cell r="AS122">
            <v>82880.350000000006</v>
          </cell>
          <cell r="AT122">
            <v>40848.57</v>
          </cell>
          <cell r="AU122">
            <v>44293.37</v>
          </cell>
          <cell r="AV122">
            <v>34747.230000000003</v>
          </cell>
          <cell r="AW122">
            <v>34584.480000000003</v>
          </cell>
          <cell r="AX122">
            <v>17258.38</v>
          </cell>
          <cell r="AY122">
            <v>49191.760000000009</v>
          </cell>
          <cell r="AZ122">
            <v>10557.78</v>
          </cell>
          <cell r="BA122">
            <v>754.21</v>
          </cell>
          <cell r="BB122">
            <v>12329.910000000002</v>
          </cell>
          <cell r="BC122">
            <v>0</v>
          </cell>
          <cell r="BK122">
            <v>351150.23000000004</v>
          </cell>
        </row>
        <row r="123">
          <cell r="B123" t="str">
            <v>10595002052212</v>
          </cell>
          <cell r="C123">
            <v>359832.32999999996</v>
          </cell>
          <cell r="D123">
            <v>0</v>
          </cell>
          <cell r="AO123">
            <v>18493.63</v>
          </cell>
          <cell r="AP123">
            <v>58655.37999999999</v>
          </cell>
          <cell r="AQ123">
            <v>72721.23</v>
          </cell>
          <cell r="AR123">
            <v>23089.43</v>
          </cell>
          <cell r="AS123">
            <v>24679.280000000002</v>
          </cell>
          <cell r="AT123">
            <v>42371.630000000005</v>
          </cell>
          <cell r="AU123">
            <v>42722.260000000009</v>
          </cell>
          <cell r="AV123">
            <v>52126.570000000007</v>
          </cell>
          <cell r="AW123">
            <v>6186.4</v>
          </cell>
          <cell r="AX123">
            <v>13514.99</v>
          </cell>
          <cell r="AZ123">
            <v>-534.58000000000004</v>
          </cell>
          <cell r="BB123">
            <v>5806.11</v>
          </cell>
          <cell r="BK123">
            <v>359832.32999999996</v>
          </cell>
        </row>
        <row r="124">
          <cell r="B124" t="str">
            <v>10595302052210</v>
          </cell>
          <cell r="C124">
            <v>322760.67000000004</v>
          </cell>
          <cell r="D124">
            <v>0</v>
          </cell>
          <cell r="AO124">
            <v>3566.61</v>
          </cell>
          <cell r="AP124">
            <v>1382.63</v>
          </cell>
          <cell r="AQ124">
            <v>4.45</v>
          </cell>
          <cell r="AR124">
            <v>10342.34</v>
          </cell>
          <cell r="AS124">
            <v>9020.82</v>
          </cell>
          <cell r="AT124">
            <v>33149.570000000007</v>
          </cell>
          <cell r="AU124">
            <v>84806.77</v>
          </cell>
          <cell r="AV124">
            <v>72460.820000000022</v>
          </cell>
          <cell r="AW124">
            <v>82445.19</v>
          </cell>
          <cell r="AX124">
            <v>23444.080000000002</v>
          </cell>
          <cell r="AY124">
            <v>-4646.32</v>
          </cell>
          <cell r="AZ124">
            <v>-167.97</v>
          </cell>
          <cell r="BC124">
            <v>5997.54</v>
          </cell>
          <cell r="BD124">
            <v>954.14</v>
          </cell>
          <cell r="BK124">
            <v>322760.67000000004</v>
          </cell>
        </row>
        <row r="125">
          <cell r="B125" t="str">
            <v>10595402052210</v>
          </cell>
          <cell r="C125">
            <v>430696.52000000008</v>
          </cell>
          <cell r="D125">
            <v>0</v>
          </cell>
          <cell r="AO125">
            <v>1628.4600000000003</v>
          </cell>
          <cell r="AP125">
            <v>38286.870000000003</v>
          </cell>
          <cell r="AQ125">
            <v>179941.78000000003</v>
          </cell>
          <cell r="AR125">
            <v>77944.77</v>
          </cell>
          <cell r="AS125">
            <v>12086.259999999998</v>
          </cell>
          <cell r="AT125">
            <v>68335.900000000009</v>
          </cell>
          <cell r="AU125">
            <v>52472.479999999989</v>
          </cell>
          <cell r="BK125">
            <v>430696.52000000008</v>
          </cell>
        </row>
        <row r="126">
          <cell r="B126" t="str">
            <v>10595402052212</v>
          </cell>
          <cell r="C126">
            <v>447333.5199999999</v>
          </cell>
          <cell r="D126">
            <v>0</v>
          </cell>
          <cell r="AO126">
            <v>42321.44000000001</v>
          </cell>
          <cell r="AP126">
            <v>94200.39</v>
          </cell>
          <cell r="AQ126">
            <v>154597.36999999997</v>
          </cell>
          <cell r="AR126">
            <v>52270.87</v>
          </cell>
          <cell r="AS126">
            <v>43678.720000000001</v>
          </cell>
          <cell r="AT126">
            <v>17367.500000000004</v>
          </cell>
          <cell r="AU126">
            <v>42897.23</v>
          </cell>
          <cell r="BK126">
            <v>447333.5199999999</v>
          </cell>
        </row>
        <row r="127">
          <cell r="B127" t="str">
            <v>10595502052210</v>
          </cell>
          <cell r="C127">
            <v>294676.23999999982</v>
          </cell>
          <cell r="D127">
            <v>0</v>
          </cell>
          <cell r="AO127">
            <v>1519.41</v>
          </cell>
          <cell r="AP127">
            <v>1136.05</v>
          </cell>
          <cell r="AQ127">
            <v>510.43</v>
          </cell>
          <cell r="AR127">
            <v>26298.2</v>
          </cell>
          <cell r="AS127">
            <v>22054.169999999995</v>
          </cell>
          <cell r="AT127">
            <v>167632.11999999997</v>
          </cell>
          <cell r="AU127">
            <v>63579.42</v>
          </cell>
          <cell r="AV127">
            <v>6044.37</v>
          </cell>
          <cell r="AW127">
            <v>2328.2199999999998</v>
          </cell>
          <cell r="AX127">
            <v>1666.04</v>
          </cell>
          <cell r="AY127">
            <v>0</v>
          </cell>
          <cell r="AZ127">
            <v>-437.02</v>
          </cell>
          <cell r="BD127">
            <v>-155.57999999999998</v>
          </cell>
          <cell r="BF127">
            <v>2500.41</v>
          </cell>
          <cell r="BK127">
            <v>294676.23999999982</v>
          </cell>
        </row>
        <row r="128">
          <cell r="B128" t="str">
            <v>11592002052210</v>
          </cell>
          <cell r="C128">
            <v>138730.20999999996</v>
          </cell>
          <cell r="D128">
            <v>0</v>
          </cell>
          <cell r="AO128">
            <v>1448.6100000000001</v>
          </cell>
          <cell r="AP128">
            <v>57289.599999999999</v>
          </cell>
          <cell r="AQ128">
            <v>79585.119999999995</v>
          </cell>
          <cell r="AR128">
            <v>18771.650000000001</v>
          </cell>
          <cell r="AU128">
            <v>420.26</v>
          </cell>
          <cell r="BA128">
            <v>79669.100000000006</v>
          </cell>
          <cell r="BB128">
            <v>-101555.94000000002</v>
          </cell>
          <cell r="BC128">
            <v>1263.1000000000001</v>
          </cell>
          <cell r="BD128">
            <v>0</v>
          </cell>
          <cell r="BE128">
            <v>549.71</v>
          </cell>
          <cell r="BG128">
            <v>1289</v>
          </cell>
          <cell r="BK128">
            <v>138730.20999999996</v>
          </cell>
        </row>
        <row r="129">
          <cell r="B129" t="str">
            <v>10595502052212</v>
          </cell>
          <cell r="C129">
            <v>272041.69000000006</v>
          </cell>
          <cell r="D129">
            <v>0</v>
          </cell>
          <cell r="AP129">
            <v>31.35</v>
          </cell>
          <cell r="AQ129">
            <v>0.03</v>
          </cell>
          <cell r="AR129">
            <v>0.04</v>
          </cell>
          <cell r="AS129">
            <v>4383.2899999999991</v>
          </cell>
          <cell r="AT129">
            <v>92964.76</v>
          </cell>
          <cell r="AU129">
            <v>123343.42000000001</v>
          </cell>
          <cell r="AV129">
            <v>20930.27</v>
          </cell>
          <cell r="AW129">
            <v>23228.93</v>
          </cell>
          <cell r="AX129">
            <v>6369.58</v>
          </cell>
          <cell r="AY129">
            <v>0</v>
          </cell>
          <cell r="AZ129">
            <v>-212.01</v>
          </cell>
          <cell r="BB129">
            <v>16.59</v>
          </cell>
          <cell r="BF129">
            <v>985.44</v>
          </cell>
          <cell r="BK129">
            <v>272041.69000000006</v>
          </cell>
        </row>
        <row r="130">
          <cell r="B130" t="str">
            <v>10592502052210</v>
          </cell>
          <cell r="C130">
            <v>375398.02</v>
          </cell>
          <cell r="D130">
            <v>0</v>
          </cell>
          <cell r="AQ130">
            <v>23212.369999999995</v>
          </cell>
          <cell r="AR130">
            <v>56638.87</v>
          </cell>
          <cell r="AS130">
            <v>65762.280000000013</v>
          </cell>
          <cell r="AT130">
            <v>60836.77</v>
          </cell>
          <cell r="AU130">
            <v>43846.039999999994</v>
          </cell>
          <cell r="AV130">
            <v>45925.96</v>
          </cell>
          <cell r="AW130">
            <v>20655.350000000006</v>
          </cell>
          <cell r="AX130">
            <v>5001.68</v>
          </cell>
          <cell r="AY130">
            <v>52988.880000000005</v>
          </cell>
          <cell r="AZ130">
            <v>-147.01</v>
          </cell>
          <cell r="BG130">
            <v>676.82999999999993</v>
          </cell>
          <cell r="BK130">
            <v>375398.02</v>
          </cell>
        </row>
        <row r="131">
          <cell r="B131" t="str">
            <v>09595002052525</v>
          </cell>
          <cell r="C131">
            <v>203273.19</v>
          </cell>
          <cell r="D131">
            <v>0</v>
          </cell>
          <cell r="AR131">
            <v>25050.189999999995</v>
          </cell>
          <cell r="AS131">
            <v>28885.949999999997</v>
          </cell>
          <cell r="AT131">
            <v>10051.44</v>
          </cell>
          <cell r="AU131">
            <v>101794.27999999998</v>
          </cell>
          <cell r="AV131">
            <v>8444.7899999999991</v>
          </cell>
          <cell r="AW131">
            <v>13883.930000000002</v>
          </cell>
          <cell r="AX131">
            <v>18772.22</v>
          </cell>
          <cell r="AY131">
            <v>0</v>
          </cell>
          <cell r="BD131">
            <v>-3609.61</v>
          </cell>
          <cell r="BK131">
            <v>203273.19</v>
          </cell>
        </row>
        <row r="132">
          <cell r="B132" t="str">
            <v>09595002052526</v>
          </cell>
          <cell r="C132">
            <v>260174.99</v>
          </cell>
          <cell r="D132">
            <v>0</v>
          </cell>
          <cell r="AR132">
            <v>55673.530000000006</v>
          </cell>
          <cell r="AS132">
            <v>49918.049999999988</v>
          </cell>
          <cell r="AT132">
            <v>55776.11</v>
          </cell>
          <cell r="AU132">
            <v>84343.92</v>
          </cell>
          <cell r="AV132">
            <v>1252.1300000000001</v>
          </cell>
          <cell r="AW132">
            <v>5315.85</v>
          </cell>
          <cell r="AX132">
            <v>9407.7400000000016</v>
          </cell>
          <cell r="AY132">
            <v>0</v>
          </cell>
          <cell r="BD132">
            <v>-1512.34</v>
          </cell>
          <cell r="BK132">
            <v>260174.99</v>
          </cell>
        </row>
        <row r="133">
          <cell r="B133" t="str">
            <v>10592402052210</v>
          </cell>
          <cell r="C133">
            <v>229835.81000000003</v>
          </cell>
          <cell r="D133">
            <v>0</v>
          </cell>
          <cell r="AR133">
            <v>486.35000000000008</v>
          </cell>
          <cell r="AS133">
            <v>573.74</v>
          </cell>
          <cell r="AT133">
            <v>17800.61</v>
          </cell>
          <cell r="AU133">
            <v>19076.82</v>
          </cell>
          <cell r="AV133">
            <v>80735.56</v>
          </cell>
          <cell r="AW133">
            <v>40406.959999999999</v>
          </cell>
          <cell r="AX133">
            <v>63968.930000000008</v>
          </cell>
          <cell r="AY133">
            <v>0.05</v>
          </cell>
          <cell r="BB133">
            <v>6786.79</v>
          </cell>
          <cell r="BK133">
            <v>229835.81000000003</v>
          </cell>
        </row>
        <row r="134">
          <cell r="B134" t="str">
            <v>09574102052523</v>
          </cell>
          <cell r="C134">
            <v>377239.67</v>
          </cell>
          <cell r="D134">
            <v>0</v>
          </cell>
          <cell r="AS134">
            <v>27.52</v>
          </cell>
          <cell r="AT134">
            <v>31538.05</v>
          </cell>
          <cell r="AU134">
            <v>131698.38</v>
          </cell>
          <cell r="AV134">
            <v>84146</v>
          </cell>
          <cell r="AW134">
            <v>25640.769999999997</v>
          </cell>
          <cell r="AX134">
            <v>98958.550000000017</v>
          </cell>
          <cell r="AY134">
            <v>2500.75</v>
          </cell>
          <cell r="AZ134">
            <v>509.16999999999996</v>
          </cell>
          <cell r="BB134">
            <v>1742.27</v>
          </cell>
          <cell r="BC134">
            <v>7066.66</v>
          </cell>
          <cell r="BF134">
            <v>-4622.05</v>
          </cell>
          <cell r="BH134">
            <v>-1966.4</v>
          </cell>
          <cell r="BJ134">
            <v>0</v>
          </cell>
          <cell r="BK134">
            <v>377239.67</v>
          </cell>
        </row>
        <row r="135">
          <cell r="B135" t="str">
            <v>10595302052212</v>
          </cell>
          <cell r="C135">
            <v>125614.61999999998</v>
          </cell>
          <cell r="D135">
            <v>0</v>
          </cell>
          <cell r="AS135">
            <v>10263.43</v>
          </cell>
          <cell r="AT135">
            <v>16198.180000000002</v>
          </cell>
          <cell r="AU135">
            <v>78323.039999999994</v>
          </cell>
          <cell r="AV135">
            <v>3544.26</v>
          </cell>
          <cell r="AW135">
            <v>5642.7300000000005</v>
          </cell>
          <cell r="AX135">
            <v>11104.800000000001</v>
          </cell>
          <cell r="AY135">
            <v>0.01</v>
          </cell>
          <cell r="AZ135">
            <v>384.18000000000006</v>
          </cell>
          <cell r="BA135">
            <v>153.99</v>
          </cell>
          <cell r="BK135">
            <v>125614.61999999998</v>
          </cell>
        </row>
        <row r="136">
          <cell r="B136" t="str">
            <v>10592002052214</v>
          </cell>
          <cell r="C136">
            <v>398641.93</v>
          </cell>
          <cell r="D136">
            <v>0</v>
          </cell>
          <cell r="AU136">
            <v>201280.26999999996</v>
          </cell>
          <cell r="AV136">
            <v>132168.76</v>
          </cell>
          <cell r="AW136">
            <v>21908.920000000002</v>
          </cell>
          <cell r="AX136">
            <v>31259.340000000004</v>
          </cell>
          <cell r="AY136">
            <v>-13177.650000000001</v>
          </cell>
          <cell r="AZ136">
            <v>25789.940000000002</v>
          </cell>
          <cell r="BA136">
            <v>256.39</v>
          </cell>
          <cell r="BB136">
            <v>-844.04</v>
          </cell>
          <cell r="BK136">
            <v>398641.93</v>
          </cell>
        </row>
        <row r="137">
          <cell r="B137" t="str">
            <v>11592002052216</v>
          </cell>
          <cell r="C137">
            <v>208500.17</v>
          </cell>
          <cell r="D137">
            <v>2497.73</v>
          </cell>
          <cell r="AX137">
            <v>1701.14</v>
          </cell>
          <cell r="AY137">
            <v>969.18</v>
          </cell>
          <cell r="AZ137">
            <v>4009.71</v>
          </cell>
          <cell r="BA137">
            <v>39.409999999999997</v>
          </cell>
          <cell r="BB137">
            <v>37040.560000000005</v>
          </cell>
          <cell r="BC137">
            <v>18493.34</v>
          </cell>
          <cell r="BD137">
            <v>99306.299999999988</v>
          </cell>
          <cell r="BE137">
            <v>0</v>
          </cell>
          <cell r="BF137">
            <v>19576.66</v>
          </cell>
          <cell r="BG137">
            <v>22475.5</v>
          </cell>
          <cell r="BH137">
            <v>981.13</v>
          </cell>
          <cell r="BI137">
            <v>3907.2400000000002</v>
          </cell>
          <cell r="BJ137">
            <v>2497.73</v>
          </cell>
          <cell r="BK137">
            <v>210997.90000000002</v>
          </cell>
        </row>
        <row r="138">
          <cell r="B138" t="str">
            <v>10592002052210</v>
          </cell>
          <cell r="C138">
            <v>586077.84</v>
          </cell>
          <cell r="D138">
            <v>0</v>
          </cell>
          <cell r="AY138">
            <v>3051.1099999999997</v>
          </cell>
          <cell r="AZ138">
            <v>31043.39</v>
          </cell>
          <cell r="BA138">
            <v>51090.650000000009</v>
          </cell>
          <cell r="BB138">
            <v>182826.30000000005</v>
          </cell>
          <cell r="BC138">
            <v>130581.70999999999</v>
          </cell>
          <cell r="BD138">
            <v>149528.50999999998</v>
          </cell>
          <cell r="BE138">
            <v>13561.44</v>
          </cell>
          <cell r="BF138">
            <v>3201.8700000000003</v>
          </cell>
          <cell r="BG138">
            <v>9489.1999999999989</v>
          </cell>
          <cell r="BI138">
            <v>11703.66</v>
          </cell>
          <cell r="BK138">
            <v>586077.84</v>
          </cell>
        </row>
        <row r="139">
          <cell r="B139" t="str">
            <v>11574102052210</v>
          </cell>
          <cell r="C139">
            <v>52446.979999999996</v>
          </cell>
          <cell r="D139">
            <v>283.08000000000004</v>
          </cell>
          <cell r="AY139">
            <v>6669.6600000000008</v>
          </cell>
          <cell r="AZ139">
            <v>1309.2999999999997</v>
          </cell>
          <cell r="BA139">
            <v>2352</v>
          </cell>
          <cell r="BB139">
            <v>37295.15</v>
          </cell>
          <cell r="BC139">
            <v>654.84</v>
          </cell>
          <cell r="BD139">
            <v>1318.43</v>
          </cell>
          <cell r="BE139">
            <v>2889.5099999999998</v>
          </cell>
          <cell r="BG139">
            <v>488.78</v>
          </cell>
          <cell r="BI139">
            <v>-530.69000000000005</v>
          </cell>
          <cell r="BJ139">
            <v>283.08000000000004</v>
          </cell>
          <cell r="BK139">
            <v>52730.06</v>
          </cell>
        </row>
        <row r="140">
          <cell r="B140" t="str">
            <v>10573302052212</v>
          </cell>
          <cell r="C140">
            <v>370700.13</v>
          </cell>
          <cell r="D140">
            <v>1583.0900000000001</v>
          </cell>
          <cell r="AY140">
            <v>3440.03</v>
          </cell>
          <cell r="AZ140">
            <v>30266.989999999998</v>
          </cell>
          <cell r="BA140">
            <v>1670.43</v>
          </cell>
          <cell r="BB140">
            <v>56681.37000000001</v>
          </cell>
          <cell r="BC140">
            <v>134443.86000000002</v>
          </cell>
          <cell r="BD140">
            <v>69157.600000000006</v>
          </cell>
          <cell r="BE140">
            <v>13995.830000000005</v>
          </cell>
          <cell r="BF140">
            <v>18355.419999999998</v>
          </cell>
          <cell r="BG140">
            <v>42688.6</v>
          </cell>
          <cell r="BH140">
            <v>0</v>
          </cell>
          <cell r="BJ140">
            <v>1583.0900000000001</v>
          </cell>
          <cell r="BK140">
            <v>372283.22000000003</v>
          </cell>
        </row>
        <row r="141">
          <cell r="B141" t="str">
            <v>11575302052210</v>
          </cell>
          <cell r="C141">
            <v>119896.55000000002</v>
          </cell>
          <cell r="D141">
            <v>7432.4600000000009</v>
          </cell>
          <cell r="AY141">
            <v>35534.57</v>
          </cell>
          <cell r="AZ141">
            <v>3695.1799999999994</v>
          </cell>
          <cell r="BA141">
            <v>4391.2700000000004</v>
          </cell>
          <cell r="BB141">
            <v>-34472.69</v>
          </cell>
          <cell r="BC141">
            <v>-6748.5200000000023</v>
          </cell>
          <cell r="BG141">
            <v>32333.950000000004</v>
          </cell>
          <cell r="BH141">
            <v>28228.810000000005</v>
          </cell>
          <cell r="BI141">
            <v>56933.98</v>
          </cell>
          <cell r="BJ141">
            <v>7432.4600000000009</v>
          </cell>
          <cell r="BK141">
            <v>127329.01000000002</v>
          </cell>
        </row>
        <row r="142">
          <cell r="B142" t="str">
            <v>11575302052212</v>
          </cell>
          <cell r="C142">
            <v>99275.690000000031</v>
          </cell>
          <cell r="D142">
            <v>0</v>
          </cell>
          <cell r="AY142">
            <v>5143.3899999999994</v>
          </cell>
          <cell r="AZ142">
            <v>26537.579999999998</v>
          </cell>
          <cell r="BA142">
            <v>165388.23000000004</v>
          </cell>
          <cell r="BB142">
            <v>-101100.22000000002</v>
          </cell>
          <cell r="BC142">
            <v>-8816.64</v>
          </cell>
          <cell r="BD142">
            <v>12123.35</v>
          </cell>
          <cell r="BE142">
            <v>0</v>
          </cell>
          <cell r="BK142">
            <v>99275.690000000031</v>
          </cell>
        </row>
        <row r="143">
          <cell r="B143" t="str">
            <v>11595402052213</v>
          </cell>
          <cell r="C143">
            <v>401187.58</v>
          </cell>
          <cell r="D143">
            <v>9872.2599999999984</v>
          </cell>
          <cell r="AZ143">
            <v>1258.5600000000002</v>
          </cell>
          <cell r="BA143">
            <v>138543.62</v>
          </cell>
          <cell r="BB143">
            <v>51338.770000000004</v>
          </cell>
          <cell r="BC143">
            <v>83353.36</v>
          </cell>
          <cell r="BD143">
            <v>124914.69</v>
          </cell>
          <cell r="BE143">
            <v>2.0000000004074536E-2</v>
          </cell>
          <cell r="BF143">
            <v>572.96</v>
          </cell>
          <cell r="BG143">
            <v>1205.5999999999999</v>
          </cell>
          <cell r="BJ143">
            <v>9872.2599999999984</v>
          </cell>
          <cell r="BK143">
            <v>411059.84</v>
          </cell>
        </row>
        <row r="144">
          <cell r="B144" t="str">
            <v>11592702052212</v>
          </cell>
          <cell r="C144">
            <v>65426.29</v>
          </cell>
          <cell r="D144">
            <v>0</v>
          </cell>
          <cell r="AZ144">
            <v>41255.51</v>
          </cell>
          <cell r="BA144">
            <v>12072.77</v>
          </cell>
          <cell r="BB144">
            <v>271.20999999999992</v>
          </cell>
          <cell r="BC144">
            <v>8183.5800000000017</v>
          </cell>
          <cell r="BE144">
            <v>1119.99</v>
          </cell>
          <cell r="BG144">
            <v>2523.23</v>
          </cell>
          <cell r="BK144">
            <v>65426.29</v>
          </cell>
        </row>
        <row r="145">
          <cell r="B145" t="str">
            <v>11592002052214</v>
          </cell>
          <cell r="C145">
            <v>324428.39999999997</v>
          </cell>
          <cell r="D145">
            <v>0</v>
          </cell>
          <cell r="AZ145">
            <v>44904.72</v>
          </cell>
          <cell r="BA145">
            <v>218435.58</v>
          </cell>
          <cell r="BB145">
            <v>19231.63</v>
          </cell>
          <cell r="BC145">
            <v>22637.809999999998</v>
          </cell>
          <cell r="BD145">
            <v>1473.3200000000004</v>
          </cell>
          <cell r="BE145">
            <v>9833.119999999999</v>
          </cell>
          <cell r="BF145">
            <v>1081.47</v>
          </cell>
          <cell r="BG145">
            <v>6830.75</v>
          </cell>
          <cell r="BK145">
            <v>324428.39999999997</v>
          </cell>
        </row>
        <row r="146">
          <cell r="B146" t="str">
            <v>11595002052210</v>
          </cell>
          <cell r="C146">
            <v>530100.74</v>
          </cell>
          <cell r="D146">
            <v>47016.83</v>
          </cell>
          <cell r="AZ146">
            <v>11216.460000000003</v>
          </cell>
          <cell r="BA146">
            <v>226915.35</v>
          </cell>
          <cell r="BB146">
            <v>6952.8799999999992</v>
          </cell>
          <cell r="BC146">
            <v>10132.5</v>
          </cell>
          <cell r="BD146">
            <v>5669.5300000000007</v>
          </cell>
          <cell r="BE146">
            <v>36011.01</v>
          </cell>
          <cell r="BF146">
            <v>15107.61</v>
          </cell>
          <cell r="BG146">
            <v>199947.80000000002</v>
          </cell>
          <cell r="BH146">
            <v>16669.219999999998</v>
          </cell>
          <cell r="BI146">
            <v>1478.3799999999999</v>
          </cell>
          <cell r="BJ146">
            <v>47016.83</v>
          </cell>
          <cell r="BK146">
            <v>577117.56999999995</v>
          </cell>
        </row>
        <row r="147">
          <cell r="B147" t="str">
            <v>11595502052212</v>
          </cell>
          <cell r="C147">
            <v>537800.29999999993</v>
          </cell>
          <cell r="D147">
            <v>335.26</v>
          </cell>
          <cell r="AZ147">
            <v>6222.12</v>
          </cell>
          <cell r="BA147">
            <v>72614.75999999998</v>
          </cell>
          <cell r="BB147">
            <v>43673.340000000018</v>
          </cell>
          <cell r="BC147">
            <v>79768.249999999971</v>
          </cell>
          <cell r="BD147">
            <v>109855.69</v>
          </cell>
          <cell r="BE147">
            <v>22616.04</v>
          </cell>
          <cell r="BF147">
            <v>49610.330000000009</v>
          </cell>
          <cell r="BG147">
            <v>84395.889999999985</v>
          </cell>
          <cell r="BH147">
            <v>26692.100000000002</v>
          </cell>
          <cell r="BI147">
            <v>42351.78</v>
          </cell>
          <cell r="BJ147">
            <v>335.26</v>
          </cell>
          <cell r="BK147">
            <v>538135.55999999994</v>
          </cell>
        </row>
        <row r="148">
          <cell r="B148" t="str">
            <v>11595302052212</v>
          </cell>
          <cell r="C148">
            <v>806577.24999999988</v>
          </cell>
          <cell r="D148">
            <v>1976.11</v>
          </cell>
          <cell r="AZ148">
            <v>52757.669999999984</v>
          </cell>
          <cell r="BA148">
            <v>182122.31</v>
          </cell>
          <cell r="BB148">
            <v>69231.899999999994</v>
          </cell>
          <cell r="BC148">
            <v>337110.45999999996</v>
          </cell>
          <cell r="BD148">
            <v>146552.98000000001</v>
          </cell>
          <cell r="BE148">
            <v>14617.939999999991</v>
          </cell>
          <cell r="BF148">
            <v>1791.9899999999998</v>
          </cell>
          <cell r="BH148">
            <v>2352.2800000000002</v>
          </cell>
          <cell r="BI148">
            <v>39.720000000000006</v>
          </cell>
          <cell r="BJ148">
            <v>1976.11</v>
          </cell>
          <cell r="BK148">
            <v>808553.35999999987</v>
          </cell>
        </row>
        <row r="149">
          <cell r="B149" t="str">
            <v>11592502052210</v>
          </cell>
          <cell r="C149">
            <v>738669.99000000011</v>
          </cell>
          <cell r="D149">
            <v>17746.590000000004</v>
          </cell>
          <cell r="AZ149">
            <v>39387.929999999993</v>
          </cell>
          <cell r="BA149">
            <v>235373.07000000004</v>
          </cell>
          <cell r="BB149">
            <v>70183.150000000009</v>
          </cell>
          <cell r="BC149">
            <v>70958.23000000001</v>
          </cell>
          <cell r="BD149">
            <v>33523.600000000006</v>
          </cell>
          <cell r="BE149">
            <v>84852.560000000012</v>
          </cell>
          <cell r="BF149">
            <v>98108.030000000013</v>
          </cell>
          <cell r="BG149">
            <v>40943.810000000005</v>
          </cell>
          <cell r="BH149">
            <v>32282.14</v>
          </cell>
          <cell r="BI149">
            <v>33057.47</v>
          </cell>
          <cell r="BJ149">
            <v>17746.590000000004</v>
          </cell>
          <cell r="BK149">
            <v>756416.58000000007</v>
          </cell>
        </row>
        <row r="150">
          <cell r="B150" t="str">
            <v>11595502052210</v>
          </cell>
          <cell r="C150">
            <v>54652.009999999995</v>
          </cell>
          <cell r="D150">
            <v>72233.99000000002</v>
          </cell>
          <cell r="AZ150">
            <v>12296.189999999999</v>
          </cell>
          <cell r="BA150">
            <v>420.35999999999996</v>
          </cell>
          <cell r="BB150">
            <v>75.03</v>
          </cell>
          <cell r="BC150">
            <v>74.19</v>
          </cell>
          <cell r="BD150">
            <v>75.47</v>
          </cell>
          <cell r="BE150">
            <v>79.3</v>
          </cell>
          <cell r="BF150">
            <v>75.47</v>
          </cell>
          <cell r="BG150">
            <v>75.47</v>
          </cell>
          <cell r="BH150">
            <v>4299.5999999999995</v>
          </cell>
          <cell r="BI150">
            <v>37180.93</v>
          </cell>
          <cell r="BJ150">
            <v>72233.99000000002</v>
          </cell>
          <cell r="BK150">
            <v>126886.00000000001</v>
          </cell>
        </row>
        <row r="151">
          <cell r="B151" t="str">
            <v>11595302052213</v>
          </cell>
          <cell r="C151">
            <v>848236.98</v>
          </cell>
          <cell r="D151">
            <v>58842.239999999998</v>
          </cell>
          <cell r="AZ151">
            <v>43882.770000000004</v>
          </cell>
          <cell r="BA151">
            <v>52494.27</v>
          </cell>
          <cell r="BB151">
            <v>7630.2</v>
          </cell>
          <cell r="BC151">
            <v>56665.07</v>
          </cell>
          <cell r="BD151">
            <v>129408.10999999999</v>
          </cell>
          <cell r="BE151">
            <v>33587.219999999987</v>
          </cell>
          <cell r="BF151">
            <v>191461.11000000002</v>
          </cell>
          <cell r="BG151">
            <v>154016.82999999999</v>
          </cell>
          <cell r="BH151">
            <v>68120.78</v>
          </cell>
          <cell r="BI151">
            <v>110970.62000000001</v>
          </cell>
          <cell r="BJ151">
            <v>58842.239999999998</v>
          </cell>
          <cell r="BK151">
            <v>907079.22</v>
          </cell>
        </row>
        <row r="152">
          <cell r="B152" t="str">
            <v>11583402052210</v>
          </cell>
          <cell r="C152">
            <v>629034.70999999985</v>
          </cell>
          <cell r="D152">
            <v>0</v>
          </cell>
          <cell r="AZ152">
            <v>66990.240000000005</v>
          </cell>
          <cell r="BA152">
            <v>238818.62999999998</v>
          </cell>
          <cell r="BB152">
            <v>40453.899999999994</v>
          </cell>
          <cell r="BC152">
            <v>136323.75</v>
          </cell>
          <cell r="BD152">
            <v>93966.98</v>
          </cell>
          <cell r="BE152">
            <v>8617.9400000000023</v>
          </cell>
          <cell r="BF152">
            <v>36433.69</v>
          </cell>
          <cell r="BG152">
            <v>7003.13</v>
          </cell>
          <cell r="BH152">
            <v>426.45000000000027</v>
          </cell>
          <cell r="BK152">
            <v>629034.70999999985</v>
          </cell>
        </row>
        <row r="153">
          <cell r="B153" t="str">
            <v>11595502052213</v>
          </cell>
          <cell r="C153">
            <v>503496.89</v>
          </cell>
          <cell r="D153">
            <v>4477.4299999999994</v>
          </cell>
          <cell r="AZ153">
            <v>43217.86</v>
          </cell>
          <cell r="BA153">
            <v>4518.1299999999974</v>
          </cell>
          <cell r="BB153">
            <v>281.64</v>
          </cell>
          <cell r="BC153">
            <v>2658.32</v>
          </cell>
          <cell r="BD153">
            <v>9561.1</v>
          </cell>
          <cell r="BE153">
            <v>14377.079999999998</v>
          </cell>
          <cell r="BF153">
            <v>52150.599999999991</v>
          </cell>
          <cell r="BG153">
            <v>148204.97</v>
          </cell>
          <cell r="BH153">
            <v>73331.090000000011</v>
          </cell>
          <cell r="BI153">
            <v>155196.10000000003</v>
          </cell>
          <cell r="BJ153">
            <v>4477.4299999999994</v>
          </cell>
          <cell r="BK153">
            <v>507974.32</v>
          </cell>
        </row>
        <row r="154">
          <cell r="B154" t="str">
            <v>11574102052213</v>
          </cell>
          <cell r="C154">
            <v>364009.29</v>
          </cell>
          <cell r="D154">
            <v>895.56000000000006</v>
          </cell>
          <cell r="AZ154">
            <v>6519.92</v>
          </cell>
          <cell r="BA154">
            <v>48430.91</v>
          </cell>
          <cell r="BB154">
            <v>39533.560000000005</v>
          </cell>
          <cell r="BC154">
            <v>74700.290000000008</v>
          </cell>
          <cell r="BD154">
            <v>86264.94</v>
          </cell>
          <cell r="BE154">
            <v>10950.309999999994</v>
          </cell>
          <cell r="BF154">
            <v>49964.51</v>
          </cell>
          <cell r="BG154">
            <v>26570.550000000003</v>
          </cell>
          <cell r="BH154">
            <v>20457.620000000003</v>
          </cell>
          <cell r="BI154">
            <v>616.68000000000006</v>
          </cell>
          <cell r="BJ154">
            <v>895.56000000000006</v>
          </cell>
          <cell r="BK154">
            <v>364904.85</v>
          </cell>
        </row>
        <row r="155">
          <cell r="B155" t="str">
            <v>11582102052210</v>
          </cell>
          <cell r="C155">
            <v>993255.05999999994</v>
          </cell>
          <cell r="D155">
            <v>168880.23</v>
          </cell>
          <cell r="BA155">
            <v>74237.63</v>
          </cell>
          <cell r="BB155">
            <v>77815.809999999983</v>
          </cell>
          <cell r="BC155">
            <v>64340.259999999995</v>
          </cell>
          <cell r="BD155">
            <v>102206.90999999999</v>
          </cell>
          <cell r="BE155">
            <v>79932.25</v>
          </cell>
          <cell r="BF155">
            <v>208089.69999999998</v>
          </cell>
          <cell r="BG155">
            <v>134992.73000000004</v>
          </cell>
          <cell r="BH155">
            <v>142936.66999999998</v>
          </cell>
          <cell r="BI155">
            <v>108703.10000000002</v>
          </cell>
          <cell r="BJ155">
            <v>168880.23</v>
          </cell>
          <cell r="BK155">
            <v>1162135.29</v>
          </cell>
        </row>
        <row r="156">
          <cell r="B156" t="str">
            <v>11595002052212</v>
          </cell>
          <cell r="C156">
            <v>223525.78</v>
          </cell>
          <cell r="D156">
            <v>264776.08</v>
          </cell>
          <cell r="BA156">
            <v>44972.34</v>
          </cell>
          <cell r="BB156">
            <v>10190.510000000002</v>
          </cell>
          <cell r="BC156">
            <v>66856.479999999996</v>
          </cell>
          <cell r="BD156">
            <v>43208.840000000004</v>
          </cell>
          <cell r="BE156">
            <v>-42788.950000000004</v>
          </cell>
          <cell r="BF156">
            <v>909.91000000000008</v>
          </cell>
          <cell r="BG156">
            <v>24961.089999999993</v>
          </cell>
          <cell r="BH156">
            <v>35453.08</v>
          </cell>
          <cell r="BI156">
            <v>39762.480000000003</v>
          </cell>
          <cell r="BJ156">
            <v>264776.08</v>
          </cell>
          <cell r="BK156">
            <v>488301.86</v>
          </cell>
        </row>
        <row r="157">
          <cell r="B157" t="str">
            <v>11583202052213</v>
          </cell>
          <cell r="C157">
            <v>350076.36</v>
          </cell>
          <cell r="D157">
            <v>0</v>
          </cell>
          <cell r="BA157">
            <v>19939.77</v>
          </cell>
          <cell r="BB157">
            <v>352.97</v>
          </cell>
          <cell r="BC157">
            <v>16111.63</v>
          </cell>
          <cell r="BD157">
            <v>101987.76000000001</v>
          </cell>
          <cell r="BE157">
            <v>61054.420000000013</v>
          </cell>
          <cell r="BF157">
            <v>77532.52</v>
          </cell>
          <cell r="BG157">
            <v>73097.290000000008</v>
          </cell>
          <cell r="BK157">
            <v>350076.36</v>
          </cell>
        </row>
        <row r="158">
          <cell r="B158" t="str">
            <v>11592402052212</v>
          </cell>
          <cell r="C158">
            <v>513191.26</v>
          </cell>
          <cell r="D158">
            <v>12655.14</v>
          </cell>
          <cell r="BA158">
            <v>8536.7200000000012</v>
          </cell>
          <cell r="BB158">
            <v>12324.970000000001</v>
          </cell>
          <cell r="BC158">
            <v>31392.029999999995</v>
          </cell>
          <cell r="BD158">
            <v>206475.49000000005</v>
          </cell>
          <cell r="BE158">
            <v>59310.239999999998</v>
          </cell>
          <cell r="BF158">
            <v>8048.2200000000012</v>
          </cell>
          <cell r="BG158">
            <v>105745.58000000002</v>
          </cell>
          <cell r="BH158">
            <v>15964.73</v>
          </cell>
          <cell r="BI158">
            <v>65393.279999999999</v>
          </cell>
          <cell r="BJ158">
            <v>12655.14</v>
          </cell>
          <cell r="BK158">
            <v>525846.4</v>
          </cell>
        </row>
        <row r="159">
          <cell r="B159" t="str">
            <v>12592402052210</v>
          </cell>
          <cell r="C159">
            <v>165111.67000000001</v>
          </cell>
          <cell r="D159">
            <v>0</v>
          </cell>
          <cell r="BA159">
            <v>81984.000000000015</v>
          </cell>
          <cell r="BB159">
            <v>8231.6</v>
          </cell>
          <cell r="BC159">
            <v>32090.39</v>
          </cell>
          <cell r="BD159">
            <v>42805.68</v>
          </cell>
          <cell r="BE159">
            <v>0</v>
          </cell>
          <cell r="BK159">
            <v>165111.67000000001</v>
          </cell>
        </row>
        <row r="160">
          <cell r="B160" t="str">
            <v>11583202052212</v>
          </cell>
          <cell r="C160">
            <v>624450.31000000006</v>
          </cell>
          <cell r="D160">
            <v>0</v>
          </cell>
          <cell r="BA160">
            <v>133749.49999999997</v>
          </cell>
          <cell r="BB160">
            <v>63269.049999999996</v>
          </cell>
          <cell r="BC160">
            <v>142399.50999999998</v>
          </cell>
          <cell r="BD160">
            <v>225365.59999999998</v>
          </cell>
          <cell r="BE160">
            <v>37191.040000000008</v>
          </cell>
          <cell r="BF160">
            <v>9459.17</v>
          </cell>
          <cell r="BG160">
            <v>13016.440000000002</v>
          </cell>
          <cell r="BK160">
            <v>624450.31000000006</v>
          </cell>
        </row>
        <row r="161">
          <cell r="B161" t="str">
            <v>11592702052210</v>
          </cell>
          <cell r="C161">
            <v>133247.01999999999</v>
          </cell>
          <cell r="D161">
            <v>0</v>
          </cell>
          <cell r="BA161">
            <v>109997.75</v>
          </cell>
          <cell r="BB161">
            <v>21057.420000000002</v>
          </cell>
          <cell r="BC161">
            <v>-1683.1700000000003</v>
          </cell>
          <cell r="BE161">
            <v>3875.02</v>
          </cell>
          <cell r="BK161">
            <v>133247.01999999999</v>
          </cell>
        </row>
        <row r="162">
          <cell r="B162" t="str">
            <v>11573302052210</v>
          </cell>
          <cell r="C162">
            <v>374915.71</v>
          </cell>
          <cell r="D162">
            <v>2410.79</v>
          </cell>
          <cell r="BB162">
            <v>33404.32</v>
          </cell>
          <cell r="BC162">
            <v>129718.5</v>
          </cell>
          <cell r="BD162">
            <v>23584.829999999998</v>
          </cell>
          <cell r="BE162">
            <v>28487.09</v>
          </cell>
          <cell r="BF162">
            <v>104182.36000000002</v>
          </cell>
          <cell r="BG162">
            <v>52542.270000000004</v>
          </cell>
          <cell r="BH162">
            <v>14.450000000000291</v>
          </cell>
          <cell r="BI162">
            <v>2981.8900000000003</v>
          </cell>
          <cell r="BJ162">
            <v>2410.79</v>
          </cell>
          <cell r="BK162">
            <v>377326.5</v>
          </cell>
        </row>
        <row r="163">
          <cell r="B163" t="str">
            <v>11592002052212</v>
          </cell>
          <cell r="C163">
            <v>707315.19000000006</v>
          </cell>
          <cell r="D163">
            <v>27779.13</v>
          </cell>
          <cell r="BB163">
            <v>4524.33</v>
          </cell>
          <cell r="BC163">
            <v>65668.960000000006</v>
          </cell>
          <cell r="BD163">
            <v>271472.79000000004</v>
          </cell>
          <cell r="BE163">
            <v>168068.56999999992</v>
          </cell>
          <cell r="BF163">
            <v>104797.65999999999</v>
          </cell>
          <cell r="BG163">
            <v>87713.150000000009</v>
          </cell>
          <cell r="BH163">
            <v>0</v>
          </cell>
          <cell r="BI163">
            <v>5069.7300000000005</v>
          </cell>
          <cell r="BJ163">
            <v>27779.13</v>
          </cell>
          <cell r="BK163">
            <v>735094.32000000007</v>
          </cell>
        </row>
        <row r="164">
          <cell r="B164" t="str">
            <v>11595902052212</v>
          </cell>
          <cell r="C164">
            <v>660279.27</v>
          </cell>
          <cell r="D164">
            <v>0</v>
          </cell>
          <cell r="BB164">
            <v>54640.700000000004</v>
          </cell>
          <cell r="BC164">
            <v>38509.880000000005</v>
          </cell>
          <cell r="BD164">
            <v>263555.26</v>
          </cell>
          <cell r="BE164">
            <v>116860.22000000002</v>
          </cell>
          <cell r="BF164">
            <v>48325.849999999991</v>
          </cell>
          <cell r="BG164">
            <v>128028.58</v>
          </cell>
          <cell r="BH164">
            <v>0</v>
          </cell>
          <cell r="BI164">
            <v>10358.780000000001</v>
          </cell>
          <cell r="BK164">
            <v>660279.27</v>
          </cell>
        </row>
        <row r="165">
          <cell r="B165" t="str">
            <v>12575302052210</v>
          </cell>
          <cell r="C165">
            <v>147717.80999999997</v>
          </cell>
          <cell r="D165">
            <v>0</v>
          </cell>
          <cell r="BB165">
            <v>131614.61999999997</v>
          </cell>
          <cell r="BC165">
            <v>16103.19</v>
          </cell>
          <cell r="BK165">
            <v>147717.80999999997</v>
          </cell>
        </row>
        <row r="166">
          <cell r="B166" t="str">
            <v>11574102052214</v>
          </cell>
          <cell r="C166">
            <v>278563.82999999996</v>
          </cell>
          <cell r="D166">
            <v>1477.69</v>
          </cell>
          <cell r="BC166">
            <v>25327.040000000001</v>
          </cell>
          <cell r="BD166">
            <v>77961.12000000001</v>
          </cell>
          <cell r="BE166">
            <v>25865.889999999996</v>
          </cell>
          <cell r="BF166">
            <v>41352.320000000007</v>
          </cell>
          <cell r="BG166">
            <v>77495.649999999994</v>
          </cell>
          <cell r="BH166">
            <v>30190.01</v>
          </cell>
          <cell r="BI166">
            <v>371.8</v>
          </cell>
          <cell r="BJ166">
            <v>1477.69</v>
          </cell>
          <cell r="BK166">
            <v>280041.51999999996</v>
          </cell>
        </row>
        <row r="167">
          <cell r="B167" t="str">
            <v>12592502052210</v>
          </cell>
          <cell r="C167">
            <v>61747.530000000006</v>
          </cell>
          <cell r="D167">
            <v>330004.82</v>
          </cell>
          <cell r="BC167">
            <v>3461.8299999999995</v>
          </cell>
          <cell r="BD167">
            <v>20.37</v>
          </cell>
          <cell r="BE167">
            <v>21.4</v>
          </cell>
          <cell r="BF167">
            <v>4137.1100000000006</v>
          </cell>
          <cell r="BG167">
            <v>44.59</v>
          </cell>
          <cell r="BH167">
            <v>11656.990000000002</v>
          </cell>
          <cell r="BI167">
            <v>42405.240000000005</v>
          </cell>
          <cell r="BJ167">
            <v>330004.82</v>
          </cell>
          <cell r="BK167">
            <v>391752.35000000003</v>
          </cell>
        </row>
        <row r="168">
          <cell r="B168" t="str">
            <v>11573302052212</v>
          </cell>
          <cell r="C168">
            <v>254768.84999999998</v>
          </cell>
          <cell r="D168">
            <v>29693.15</v>
          </cell>
          <cell r="BC168">
            <v>29164.620000000003</v>
          </cell>
          <cell r="BD168">
            <v>128738.20999999999</v>
          </cell>
          <cell r="BE168">
            <v>12688.410000000002</v>
          </cell>
          <cell r="BF168">
            <v>1319.01</v>
          </cell>
          <cell r="BG168">
            <v>65342.720000000001</v>
          </cell>
          <cell r="BH168">
            <v>1760.5500000000002</v>
          </cell>
          <cell r="BI168">
            <v>15755.33</v>
          </cell>
          <cell r="BJ168">
            <v>29693.15</v>
          </cell>
          <cell r="BK168">
            <v>284462</v>
          </cell>
        </row>
        <row r="169">
          <cell r="B169" t="str">
            <v>11595802052210</v>
          </cell>
          <cell r="C169">
            <v>352105.12000000005</v>
          </cell>
          <cell r="D169">
            <v>0</v>
          </cell>
          <cell r="BC169">
            <v>28721.489999999998</v>
          </cell>
          <cell r="BD169">
            <v>55112.920000000013</v>
          </cell>
          <cell r="BE169">
            <v>35589.770000000011</v>
          </cell>
          <cell r="BF169">
            <v>121185.67</v>
          </cell>
          <cell r="BG169">
            <v>92525.119999999995</v>
          </cell>
          <cell r="BH169">
            <v>-3924.6800000000003</v>
          </cell>
          <cell r="BI169">
            <v>22894.829999999998</v>
          </cell>
          <cell r="BK169">
            <v>352105.12000000005</v>
          </cell>
        </row>
        <row r="170">
          <cell r="B170" t="str">
            <v>11595202052210</v>
          </cell>
          <cell r="C170">
            <v>167992.5</v>
          </cell>
          <cell r="D170">
            <v>91951.470000000016</v>
          </cell>
          <cell r="BD170">
            <v>10210.43</v>
          </cell>
          <cell r="BE170">
            <v>63.110000000000582</v>
          </cell>
          <cell r="BF170">
            <v>21691.759999999998</v>
          </cell>
          <cell r="BG170">
            <v>83126.81</v>
          </cell>
          <cell r="BH170">
            <v>346.52999999999952</v>
          </cell>
          <cell r="BI170">
            <v>52553.859999999993</v>
          </cell>
          <cell r="BJ170">
            <v>91951.470000000016</v>
          </cell>
          <cell r="BK170">
            <v>259943.97000000003</v>
          </cell>
        </row>
        <row r="171">
          <cell r="B171" t="str">
            <v>11573302052214</v>
          </cell>
          <cell r="C171">
            <v>159658.70000000001</v>
          </cell>
          <cell r="D171">
            <v>101219.86000000003</v>
          </cell>
          <cell r="BD171">
            <v>10477.26</v>
          </cell>
          <cell r="BE171">
            <v>3987.17</v>
          </cell>
          <cell r="BF171">
            <v>84.710000000000008</v>
          </cell>
          <cell r="BG171">
            <v>17060.22</v>
          </cell>
          <cell r="BH171">
            <v>50366.18</v>
          </cell>
          <cell r="BI171">
            <v>77683.16</v>
          </cell>
          <cell r="BJ171">
            <v>101219.86000000003</v>
          </cell>
          <cell r="BK171">
            <v>260878.56000000006</v>
          </cell>
        </row>
        <row r="172">
          <cell r="B172" t="str">
            <v>11573302052213</v>
          </cell>
          <cell r="C172">
            <v>232830.69</v>
          </cell>
          <cell r="D172">
            <v>5029.5</v>
          </cell>
          <cell r="BD172">
            <v>15264.220000000001</v>
          </cell>
          <cell r="BE172">
            <v>21073.82</v>
          </cell>
          <cell r="BF172">
            <v>56256.02</v>
          </cell>
          <cell r="BG172">
            <v>103460.12999999999</v>
          </cell>
          <cell r="BH172">
            <v>11400.449999999997</v>
          </cell>
          <cell r="BI172">
            <v>25376.05</v>
          </cell>
          <cell r="BJ172">
            <v>5029.5</v>
          </cell>
          <cell r="BK172">
            <v>237860.19</v>
          </cell>
        </row>
        <row r="173">
          <cell r="B173" t="str">
            <v>11595302052210</v>
          </cell>
          <cell r="C173">
            <v>219589.86000000002</v>
          </cell>
          <cell r="D173">
            <v>104130.47</v>
          </cell>
          <cell r="BD173">
            <v>22941.319999999996</v>
          </cell>
          <cell r="BE173">
            <v>141.82</v>
          </cell>
          <cell r="BF173">
            <v>134.96</v>
          </cell>
          <cell r="BG173">
            <v>59081.109999999993</v>
          </cell>
          <cell r="BH173">
            <v>64833.350000000006</v>
          </cell>
          <cell r="BI173">
            <v>72457.300000000017</v>
          </cell>
          <cell r="BJ173">
            <v>104130.47</v>
          </cell>
          <cell r="BK173">
            <v>323720.33</v>
          </cell>
        </row>
        <row r="174">
          <cell r="B174" t="str">
            <v>11575202052214</v>
          </cell>
          <cell r="C174">
            <v>224038.88</v>
          </cell>
          <cell r="D174">
            <v>9229.3299999999981</v>
          </cell>
          <cell r="BD174">
            <v>9754.1400000000012</v>
          </cell>
          <cell r="BE174">
            <v>18845.04</v>
          </cell>
          <cell r="BF174">
            <v>15622.069999999998</v>
          </cell>
          <cell r="BG174">
            <v>123964.72</v>
          </cell>
          <cell r="BH174">
            <v>30260.61</v>
          </cell>
          <cell r="BI174">
            <v>25592.3</v>
          </cell>
          <cell r="BJ174">
            <v>9229.3299999999981</v>
          </cell>
          <cell r="BK174">
            <v>233268.21</v>
          </cell>
        </row>
        <row r="175">
          <cell r="B175" t="str">
            <v>11582102052213</v>
          </cell>
          <cell r="C175">
            <v>620707.59000000008</v>
          </cell>
          <cell r="D175">
            <v>152052.60999999999</v>
          </cell>
          <cell r="BE175">
            <v>59022.37999999999</v>
          </cell>
          <cell r="BF175">
            <v>64746.130000000005</v>
          </cell>
          <cell r="BG175">
            <v>144073.24000000002</v>
          </cell>
          <cell r="BH175">
            <v>166548.01999999999</v>
          </cell>
          <cell r="BI175">
            <v>186317.82</v>
          </cell>
          <cell r="BJ175">
            <v>152052.60999999999</v>
          </cell>
          <cell r="BK175">
            <v>772760.20000000007</v>
          </cell>
        </row>
        <row r="176">
          <cell r="B176" t="str">
            <v>11583202052215</v>
          </cell>
          <cell r="C176">
            <v>474436.61000000004</v>
          </cell>
          <cell r="D176">
            <v>51752.800000000003</v>
          </cell>
          <cell r="BE176">
            <v>52322.240000000005</v>
          </cell>
          <cell r="BF176">
            <v>49989.070000000014</v>
          </cell>
          <cell r="BG176">
            <v>325402.23</v>
          </cell>
          <cell r="BH176">
            <v>31770.720000000016</v>
          </cell>
          <cell r="BI176">
            <v>14952.35</v>
          </cell>
          <cell r="BJ176">
            <v>51752.800000000003</v>
          </cell>
          <cell r="BK176">
            <v>526189.41</v>
          </cell>
        </row>
        <row r="177">
          <cell r="B177" t="str">
            <v>11592002052217</v>
          </cell>
          <cell r="C177">
            <v>400891.02</v>
          </cell>
          <cell r="D177">
            <v>242976.2</v>
          </cell>
          <cell r="BE177">
            <v>3790.7400000000002</v>
          </cell>
          <cell r="BF177">
            <v>43291.360000000001</v>
          </cell>
          <cell r="BG177">
            <v>86270.690000000017</v>
          </cell>
          <cell r="BH177">
            <v>78123.440000000017</v>
          </cell>
          <cell r="BI177">
            <v>189414.78999999998</v>
          </cell>
          <cell r="BJ177">
            <v>242976.2</v>
          </cell>
          <cell r="BK177">
            <v>643867.22</v>
          </cell>
        </row>
        <row r="178">
          <cell r="B178" t="str">
            <v>11582102052212</v>
          </cell>
          <cell r="C178">
            <v>41447.17</v>
          </cell>
          <cell r="D178">
            <v>2275.4300000000003</v>
          </cell>
          <cell r="BF178">
            <v>8229.19</v>
          </cell>
          <cell r="BG178">
            <v>5918.9299999999994</v>
          </cell>
          <cell r="BH178">
            <v>20755.349999999999</v>
          </cell>
          <cell r="BI178">
            <v>6543.7000000000007</v>
          </cell>
          <cell r="BJ178">
            <v>2275.4300000000003</v>
          </cell>
          <cell r="BK178">
            <v>43722.6</v>
          </cell>
        </row>
        <row r="179">
          <cell r="B179" t="str">
            <v>11575102052212</v>
          </cell>
          <cell r="C179">
            <v>415511.33999999997</v>
          </cell>
          <cell r="D179">
            <v>4879.4299999999994</v>
          </cell>
          <cell r="BG179">
            <v>225558.58</v>
          </cell>
          <cell r="BH179">
            <v>128867.78</v>
          </cell>
          <cell r="BI179">
            <v>61084.98000000001</v>
          </cell>
          <cell r="BJ179">
            <v>4879.4299999999994</v>
          </cell>
          <cell r="BK179">
            <v>420390.76999999996</v>
          </cell>
        </row>
        <row r="180">
          <cell r="B180" t="str">
            <v>11575102052210</v>
          </cell>
          <cell r="C180">
            <v>408895.27</v>
          </cell>
          <cell r="D180">
            <v>48891.960000000006</v>
          </cell>
          <cell r="BG180">
            <v>53763.64</v>
          </cell>
          <cell r="BH180">
            <v>138126.76</v>
          </cell>
          <cell r="BI180">
            <v>217004.86999999997</v>
          </cell>
          <cell r="BJ180">
            <v>48891.960000000006</v>
          </cell>
          <cell r="BK180">
            <v>457787.23000000004</v>
          </cell>
        </row>
        <row r="181">
          <cell r="B181" t="str">
            <v>11574102052215</v>
          </cell>
          <cell r="C181">
            <v>68172.05</v>
          </cell>
          <cell r="D181">
            <v>48454.43</v>
          </cell>
          <cell r="BH181">
            <v>22501.850000000002</v>
          </cell>
          <cell r="BI181">
            <v>45670.2</v>
          </cell>
          <cell r="BJ181">
            <v>48454.43</v>
          </cell>
          <cell r="BK181">
            <v>116626.48000000001</v>
          </cell>
        </row>
        <row r="182">
          <cell r="C182">
            <v>69548546.050000012</v>
          </cell>
          <cell r="D182">
            <v>1925713.1499999997</v>
          </cell>
          <cell r="G182">
            <v>117409.84</v>
          </cell>
          <cell r="H182">
            <v>284477.37</v>
          </cell>
          <cell r="I182">
            <v>1097213.75</v>
          </cell>
          <cell r="J182">
            <v>807564.62999999989</v>
          </cell>
          <cell r="K182">
            <v>1067237.1799999997</v>
          </cell>
          <cell r="L182">
            <v>2072110.1</v>
          </cell>
          <cell r="M182">
            <v>1727656.98</v>
          </cell>
          <cell r="N182">
            <v>3627989.3800000008</v>
          </cell>
          <cell r="O182">
            <v>1425658.8699999996</v>
          </cell>
          <cell r="P182">
            <v>1444157.6000000006</v>
          </cell>
          <cell r="Q182">
            <v>2403394.8599999994</v>
          </cell>
          <cell r="R182">
            <v>2011738.5800000005</v>
          </cell>
          <cell r="S182">
            <v>1943953.0599999998</v>
          </cell>
          <cell r="T182">
            <v>2250374.5900000003</v>
          </cell>
          <cell r="U182">
            <v>1550858.9100000008</v>
          </cell>
          <cell r="V182">
            <v>1175521.9200000002</v>
          </cell>
          <cell r="W182">
            <v>1012605.4999999998</v>
          </cell>
          <cell r="X182">
            <v>1275410.3500000001</v>
          </cell>
          <cell r="Y182">
            <v>769173.1100000001</v>
          </cell>
          <cell r="Z182">
            <v>1147778.6900000004</v>
          </cell>
          <cell r="AA182">
            <v>255488.11000000002</v>
          </cell>
          <cell r="AB182">
            <v>4112.3999999999996</v>
          </cell>
          <cell r="AC182">
            <v>495050.05</v>
          </cell>
          <cell r="AD182">
            <v>744819.51</v>
          </cell>
          <cell r="AE182">
            <v>849891.33999999985</v>
          </cell>
          <cell r="AF182">
            <v>803129.49000000011</v>
          </cell>
          <cell r="AG182">
            <v>702186.80999999994</v>
          </cell>
          <cell r="AH182">
            <v>690462.34000000008</v>
          </cell>
          <cell r="AI182">
            <v>770788.82000000007</v>
          </cell>
          <cell r="AJ182">
            <v>631320.68000000005</v>
          </cell>
          <cell r="AK182">
            <v>516591.51000000007</v>
          </cell>
          <cell r="AL182">
            <v>622100.71</v>
          </cell>
          <cell r="AM182">
            <v>87899.76</v>
          </cell>
          <cell r="AN182">
            <v>159474.92000000001</v>
          </cell>
          <cell r="AO182">
            <v>597652.93000000005</v>
          </cell>
          <cell r="AP182">
            <v>813839.21000000031</v>
          </cell>
          <cell r="AQ182">
            <v>1424077.3299999996</v>
          </cell>
          <cell r="AR182">
            <v>1641720.04</v>
          </cell>
          <cell r="AS182">
            <v>1426867.12</v>
          </cell>
          <cell r="AT182">
            <v>1989168.97</v>
          </cell>
          <cell r="AU182">
            <v>2964493.9199999995</v>
          </cell>
          <cell r="AV182">
            <v>1286914.1099999999</v>
          </cell>
          <cell r="AW182">
            <v>1403700.8499999999</v>
          </cell>
          <cell r="AX182">
            <v>1765645.7999999996</v>
          </cell>
          <cell r="AY182">
            <v>226730.11</v>
          </cell>
          <cell r="AZ182">
            <v>723969.55</v>
          </cell>
          <cell r="BA182">
            <v>2846398.8100000005</v>
          </cell>
          <cell r="BB182">
            <v>755057.75999999989</v>
          </cell>
          <cell r="BC182">
            <v>1883102.0999999999</v>
          </cell>
          <cell r="BD182">
            <v>2770491.84</v>
          </cell>
          <cell r="BE182">
            <v>1049619.56</v>
          </cell>
          <cell r="BF182">
            <v>1565567.5300000003</v>
          </cell>
          <cell r="BG182">
            <v>2879170.2100000004</v>
          </cell>
          <cell r="BH182">
            <v>1247606.79</v>
          </cell>
          <cell r="BI182">
            <v>1741149.79</v>
          </cell>
          <cell r="BJ182">
            <v>1925713.1499999997</v>
          </cell>
          <cell r="BK182">
            <v>71474259.200000018</v>
          </cell>
        </row>
      </sheetData>
      <sheetData sheetId="6"/>
      <sheetData sheetId="7">
        <row r="1">
          <cell r="A1" t="str">
            <v>BUS_MO_L</v>
          </cell>
          <cell r="B1" t="str">
            <v>EFF_DTE_L</v>
          </cell>
          <cell r="C1" t="str">
            <v>INTRNL_CO_ID_C</v>
          </cell>
          <cell r="D1" t="str">
            <v>BUS_ID_C</v>
          </cell>
          <cell r="E1" t="str">
            <v>AFUDC_ANL_DBT_RT_F</v>
          </cell>
          <cell r="F1" t="str">
            <v>AFUDC_ANL_EQT_RT_F</v>
          </cell>
        </row>
        <row r="2">
          <cell r="A2">
            <v>41244</v>
          </cell>
          <cell r="B2">
            <v>41244</v>
          </cell>
          <cell r="C2" t="str">
            <v>01</v>
          </cell>
          <cell r="D2" t="str">
            <v>G</v>
          </cell>
          <cell r="E2">
            <v>2.2000000000000001E-3</v>
          </cell>
          <cell r="F2">
            <v>4.4000000000000003E-3</v>
          </cell>
        </row>
        <row r="3">
          <cell r="A3">
            <v>41214</v>
          </cell>
          <cell r="B3">
            <v>41214</v>
          </cell>
          <cell r="C3" t="str">
            <v>01</v>
          </cell>
          <cell r="D3" t="str">
            <v>G</v>
          </cell>
          <cell r="E3">
            <v>2.0999999999999999E-3</v>
          </cell>
          <cell r="F3">
            <v>4.4000000000000003E-3</v>
          </cell>
        </row>
        <row r="4">
          <cell r="A4">
            <v>41183</v>
          </cell>
          <cell r="B4">
            <v>41183</v>
          </cell>
          <cell r="C4" t="str">
            <v>02</v>
          </cell>
          <cell r="D4" t="str">
            <v>G</v>
          </cell>
          <cell r="E4">
            <v>2.0999999999999999E-3</v>
          </cell>
          <cell r="F4">
            <v>4.4000000000000003E-3</v>
          </cell>
        </row>
        <row r="5">
          <cell r="A5">
            <v>41153</v>
          </cell>
          <cell r="B5">
            <v>41153</v>
          </cell>
          <cell r="C5" t="str">
            <v>02</v>
          </cell>
          <cell r="D5" t="str">
            <v>G</v>
          </cell>
          <cell r="E5">
            <v>1.9E-3</v>
          </cell>
          <cell r="F5">
            <v>4.0000000000000001E-3</v>
          </cell>
        </row>
        <row r="6">
          <cell r="A6">
            <v>41122</v>
          </cell>
          <cell r="B6">
            <v>41122</v>
          </cell>
          <cell r="C6" t="str">
            <v>02</v>
          </cell>
          <cell r="D6" t="str">
            <v>G</v>
          </cell>
          <cell r="E6">
            <v>1.9E-3</v>
          </cell>
          <cell r="F6">
            <v>4.0000000000000001E-3</v>
          </cell>
        </row>
        <row r="7">
          <cell r="A7">
            <v>41091</v>
          </cell>
          <cell r="B7">
            <v>41091</v>
          </cell>
          <cell r="C7" t="str">
            <v>02</v>
          </cell>
          <cell r="D7" t="str">
            <v>G</v>
          </cell>
          <cell r="E7">
            <v>2E-3</v>
          </cell>
          <cell r="F7">
            <v>4.1999999999999997E-3</v>
          </cell>
        </row>
        <row r="8">
          <cell r="A8">
            <v>41061</v>
          </cell>
          <cell r="B8">
            <v>41061</v>
          </cell>
          <cell r="C8" t="str">
            <v>02</v>
          </cell>
          <cell r="D8" t="str">
            <v>G</v>
          </cell>
          <cell r="E8">
            <v>1.9E-3</v>
          </cell>
          <cell r="F8">
            <v>4.0000000000000001E-3</v>
          </cell>
        </row>
        <row r="9">
          <cell r="A9">
            <v>41030</v>
          </cell>
          <cell r="B9">
            <v>41030</v>
          </cell>
          <cell r="C9" t="str">
            <v>02</v>
          </cell>
          <cell r="D9" t="str">
            <v>G</v>
          </cell>
          <cell r="E9">
            <v>1.9E-3</v>
          </cell>
          <cell r="F9">
            <v>3.8999999999999998E-3</v>
          </cell>
        </row>
        <row r="10">
          <cell r="A10">
            <v>41000</v>
          </cell>
          <cell r="B10">
            <v>41000</v>
          </cell>
          <cell r="C10" t="str">
            <v>02</v>
          </cell>
          <cell r="D10" t="str">
            <v>G</v>
          </cell>
          <cell r="E10">
            <v>1.9E-3</v>
          </cell>
          <cell r="F10">
            <v>4.0000000000000001E-3</v>
          </cell>
        </row>
        <row r="11">
          <cell r="A11">
            <v>40969</v>
          </cell>
          <cell r="B11">
            <v>40969</v>
          </cell>
          <cell r="C11" t="str">
            <v>02</v>
          </cell>
          <cell r="D11" t="str">
            <v>G</v>
          </cell>
          <cell r="E11">
            <v>1.9E-3</v>
          </cell>
          <cell r="F11">
            <v>4.0000000000000001E-3</v>
          </cell>
        </row>
        <row r="12">
          <cell r="A12">
            <v>40940</v>
          </cell>
          <cell r="B12">
            <v>40940</v>
          </cell>
          <cell r="C12" t="str">
            <v>02</v>
          </cell>
          <cell r="D12" t="str">
            <v>G</v>
          </cell>
          <cell r="E12">
            <v>1.6999999999999999E-3</v>
          </cell>
          <cell r="F12">
            <v>3.3999999999999998E-3</v>
          </cell>
        </row>
        <row r="13">
          <cell r="A13">
            <v>40909</v>
          </cell>
          <cell r="B13">
            <v>40909</v>
          </cell>
          <cell r="C13" t="str">
            <v>02</v>
          </cell>
          <cell r="D13" t="str">
            <v>G</v>
          </cell>
          <cell r="E13">
            <v>2.2000000000000001E-3</v>
          </cell>
          <cell r="F13">
            <v>4.4999999999999997E-3</v>
          </cell>
        </row>
        <row r="14">
          <cell r="A14">
            <v>40878</v>
          </cell>
          <cell r="B14">
            <v>40878</v>
          </cell>
          <cell r="C14" t="str">
            <v>02</v>
          </cell>
          <cell r="D14" t="str">
            <v>G</v>
          </cell>
          <cell r="E14">
            <v>4.0000000000000002E-4</v>
          </cell>
          <cell r="F14">
            <v>1E-4</v>
          </cell>
        </row>
        <row r="15">
          <cell r="A15">
            <v>40848</v>
          </cell>
          <cell r="B15">
            <v>40848</v>
          </cell>
          <cell r="C15" t="str">
            <v>02</v>
          </cell>
          <cell r="D15" t="str">
            <v>G</v>
          </cell>
          <cell r="E15">
            <v>4.0000000000000002E-4</v>
          </cell>
          <cell r="F15">
            <v>1E-4</v>
          </cell>
        </row>
        <row r="16">
          <cell r="A16">
            <v>40817</v>
          </cell>
          <cell r="B16">
            <v>40817</v>
          </cell>
          <cell r="C16" t="str">
            <v>02</v>
          </cell>
          <cell r="D16" t="str">
            <v>G</v>
          </cell>
          <cell r="E16">
            <v>4.0000000000000002E-4</v>
          </cell>
          <cell r="F16">
            <v>1E-4</v>
          </cell>
        </row>
        <row r="17">
          <cell r="A17">
            <v>40787</v>
          </cell>
          <cell r="B17">
            <v>40787</v>
          </cell>
          <cell r="C17" t="str">
            <v>02</v>
          </cell>
          <cell r="D17" t="str">
            <v>G</v>
          </cell>
          <cell r="E17">
            <v>4.0000000000000002E-4</v>
          </cell>
          <cell r="F17">
            <v>1E-4</v>
          </cell>
        </row>
        <row r="18">
          <cell r="A18">
            <v>40756</v>
          </cell>
          <cell r="B18">
            <v>40756</v>
          </cell>
          <cell r="C18" t="str">
            <v>02</v>
          </cell>
          <cell r="D18" t="str">
            <v>G</v>
          </cell>
          <cell r="E18">
            <v>4.0000000000000002E-4</v>
          </cell>
          <cell r="F18">
            <v>1E-4</v>
          </cell>
        </row>
        <row r="19">
          <cell r="A19">
            <v>40725</v>
          </cell>
          <cell r="B19">
            <v>40725</v>
          </cell>
          <cell r="C19" t="str">
            <v>02</v>
          </cell>
          <cell r="D19" t="str">
            <v>G</v>
          </cell>
          <cell r="E19">
            <v>4.0000000000000002E-4</v>
          </cell>
          <cell r="F19">
            <v>1E-4</v>
          </cell>
        </row>
        <row r="20">
          <cell r="A20">
            <v>40695</v>
          </cell>
          <cell r="B20">
            <v>40695</v>
          </cell>
          <cell r="C20" t="str">
            <v>02</v>
          </cell>
          <cell r="D20" t="str">
            <v>G</v>
          </cell>
          <cell r="E20">
            <v>4.0000000000000002E-4</v>
          </cell>
          <cell r="F20">
            <v>1E-4</v>
          </cell>
        </row>
        <row r="21">
          <cell r="A21">
            <v>40664</v>
          </cell>
          <cell r="B21">
            <v>40664</v>
          </cell>
          <cell r="C21" t="str">
            <v>02</v>
          </cell>
          <cell r="D21" t="str">
            <v>G</v>
          </cell>
          <cell r="E21">
            <v>4.0000000000000002E-4</v>
          </cell>
          <cell r="F21">
            <v>1E-4</v>
          </cell>
        </row>
        <row r="22">
          <cell r="A22">
            <v>40634</v>
          </cell>
          <cell r="B22">
            <v>40634</v>
          </cell>
          <cell r="C22" t="str">
            <v>02</v>
          </cell>
          <cell r="D22" t="str">
            <v>G</v>
          </cell>
          <cell r="E22">
            <v>4.0000000000000002E-4</v>
          </cell>
          <cell r="F22">
            <v>1E-4</v>
          </cell>
        </row>
        <row r="23">
          <cell r="A23">
            <v>40603</v>
          </cell>
          <cell r="B23">
            <v>40603</v>
          </cell>
          <cell r="C23" t="str">
            <v>02</v>
          </cell>
          <cell r="D23" t="str">
            <v>G</v>
          </cell>
          <cell r="E23">
            <v>4.0000000000000002E-4</v>
          </cell>
          <cell r="F23">
            <v>1E-4</v>
          </cell>
        </row>
        <row r="24">
          <cell r="A24">
            <v>40575</v>
          </cell>
          <cell r="B24">
            <v>40575</v>
          </cell>
          <cell r="C24" t="str">
            <v>02</v>
          </cell>
          <cell r="D24" t="str">
            <v>G</v>
          </cell>
          <cell r="E24">
            <v>4.0000000000000002E-4</v>
          </cell>
          <cell r="F24">
            <v>1E-4</v>
          </cell>
        </row>
        <row r="25">
          <cell r="A25">
            <v>40544</v>
          </cell>
          <cell r="B25">
            <v>40544</v>
          </cell>
          <cell r="C25" t="str">
            <v>02</v>
          </cell>
          <cell r="D25" t="str">
            <v>G</v>
          </cell>
          <cell r="E25">
            <v>4.0000000000000002E-4</v>
          </cell>
          <cell r="F25">
            <v>1E-4</v>
          </cell>
        </row>
        <row r="26">
          <cell r="A26">
            <v>40513</v>
          </cell>
          <cell r="B26">
            <v>40513</v>
          </cell>
          <cell r="C26" t="str">
            <v>02</v>
          </cell>
          <cell r="D26" t="str">
            <v>G</v>
          </cell>
          <cell r="E26">
            <v>2.9999999999999997E-4</v>
          </cell>
          <cell r="F26">
            <v>0</v>
          </cell>
        </row>
        <row r="27">
          <cell r="A27">
            <v>40483</v>
          </cell>
          <cell r="B27">
            <v>40483</v>
          </cell>
          <cell r="C27" t="str">
            <v>02</v>
          </cell>
          <cell r="D27" t="str">
            <v>G</v>
          </cell>
          <cell r="E27">
            <v>2.9999999999999997E-4</v>
          </cell>
          <cell r="F27">
            <v>0</v>
          </cell>
        </row>
        <row r="28">
          <cell r="A28">
            <v>40452</v>
          </cell>
          <cell r="B28">
            <v>40452</v>
          </cell>
          <cell r="C28" t="str">
            <v>02</v>
          </cell>
          <cell r="D28" t="str">
            <v>G</v>
          </cell>
          <cell r="E28">
            <v>2.9999999999999997E-4</v>
          </cell>
          <cell r="F28">
            <v>0</v>
          </cell>
        </row>
        <row r="29">
          <cell r="A29">
            <v>40422</v>
          </cell>
          <cell r="B29">
            <v>40422</v>
          </cell>
          <cell r="C29" t="str">
            <v>02</v>
          </cell>
          <cell r="D29" t="str">
            <v>G</v>
          </cell>
          <cell r="E29">
            <v>2.9999999999999997E-4</v>
          </cell>
          <cell r="F29">
            <v>0</v>
          </cell>
        </row>
        <row r="30">
          <cell r="A30">
            <v>40391</v>
          </cell>
          <cell r="B30">
            <v>40391</v>
          </cell>
          <cell r="C30" t="str">
            <v>02</v>
          </cell>
          <cell r="D30" t="str">
            <v>G</v>
          </cell>
          <cell r="E30">
            <v>2.9999999999999997E-4</v>
          </cell>
          <cell r="F30">
            <v>0</v>
          </cell>
        </row>
        <row r="31">
          <cell r="A31">
            <v>40360</v>
          </cell>
          <cell r="B31">
            <v>40360</v>
          </cell>
          <cell r="C31" t="str">
            <v>02</v>
          </cell>
          <cell r="D31" t="str">
            <v>G</v>
          </cell>
          <cell r="E31">
            <v>2.9999999999999997E-4</v>
          </cell>
          <cell r="F31">
            <v>0</v>
          </cell>
        </row>
        <row r="32">
          <cell r="A32">
            <v>40330</v>
          </cell>
          <cell r="B32">
            <v>40330</v>
          </cell>
          <cell r="C32" t="str">
            <v>02</v>
          </cell>
          <cell r="D32" t="str">
            <v>G</v>
          </cell>
          <cell r="E32">
            <v>2.9999999999999997E-4</v>
          </cell>
          <cell r="F32">
            <v>0</v>
          </cell>
        </row>
        <row r="33">
          <cell r="A33">
            <v>40299</v>
          </cell>
          <cell r="B33">
            <v>40299</v>
          </cell>
          <cell r="C33" t="str">
            <v>02</v>
          </cell>
          <cell r="D33" t="str">
            <v>G</v>
          </cell>
          <cell r="E33">
            <v>2.9999999999999997E-4</v>
          </cell>
          <cell r="F33">
            <v>0</v>
          </cell>
        </row>
        <row r="34">
          <cell r="A34">
            <v>40269</v>
          </cell>
          <cell r="B34">
            <v>40269</v>
          </cell>
          <cell r="C34" t="str">
            <v>02</v>
          </cell>
          <cell r="D34" t="str">
            <v>G</v>
          </cell>
          <cell r="E34">
            <v>2.9999999999999997E-4</v>
          </cell>
          <cell r="F34">
            <v>0</v>
          </cell>
        </row>
        <row r="35">
          <cell r="A35">
            <v>40238</v>
          </cell>
          <cell r="B35">
            <v>40238</v>
          </cell>
          <cell r="C35" t="str">
            <v>02</v>
          </cell>
          <cell r="D35" t="str">
            <v>G</v>
          </cell>
          <cell r="E35">
            <v>2.9999999999999997E-4</v>
          </cell>
          <cell r="F35">
            <v>0</v>
          </cell>
        </row>
        <row r="36">
          <cell r="A36">
            <v>40210</v>
          </cell>
          <cell r="B36">
            <v>40210</v>
          </cell>
          <cell r="C36" t="str">
            <v>02</v>
          </cell>
          <cell r="D36" t="str">
            <v>G</v>
          </cell>
          <cell r="E36">
            <v>2.9999999999999997E-4</v>
          </cell>
          <cell r="F36">
            <v>0</v>
          </cell>
        </row>
        <row r="37">
          <cell r="A37">
            <v>40179</v>
          </cell>
          <cell r="B37">
            <v>40179</v>
          </cell>
          <cell r="C37" t="str">
            <v>02</v>
          </cell>
          <cell r="D37" t="str">
            <v>G</v>
          </cell>
          <cell r="E37">
            <v>2.9999999999999997E-4</v>
          </cell>
          <cell r="F37">
            <v>0</v>
          </cell>
        </row>
        <row r="38">
          <cell r="A38">
            <v>40148</v>
          </cell>
          <cell r="B38">
            <v>40148</v>
          </cell>
          <cell r="C38" t="str">
            <v>02</v>
          </cell>
          <cell r="D38" t="str">
            <v>G</v>
          </cell>
          <cell r="E38">
            <v>1.5E-3</v>
          </cell>
          <cell r="F38">
            <v>1.8E-3</v>
          </cell>
        </row>
        <row r="39">
          <cell r="A39">
            <v>40118</v>
          </cell>
          <cell r="B39">
            <v>40118</v>
          </cell>
          <cell r="C39" t="str">
            <v>02</v>
          </cell>
          <cell r="D39" t="str">
            <v>G</v>
          </cell>
          <cell r="E39">
            <v>1.5E-3</v>
          </cell>
          <cell r="F39">
            <v>1.8E-3</v>
          </cell>
        </row>
        <row r="40">
          <cell r="A40">
            <v>40087</v>
          </cell>
          <cell r="B40">
            <v>40087</v>
          </cell>
          <cell r="C40" t="str">
            <v>02</v>
          </cell>
          <cell r="D40" t="str">
            <v>G</v>
          </cell>
          <cell r="E40">
            <v>1.5E-3</v>
          </cell>
          <cell r="F40">
            <v>1.8E-3</v>
          </cell>
        </row>
        <row r="41">
          <cell r="A41">
            <v>40057</v>
          </cell>
          <cell r="B41">
            <v>40057</v>
          </cell>
          <cell r="C41" t="str">
            <v>02</v>
          </cell>
          <cell r="D41" t="str">
            <v>G</v>
          </cell>
          <cell r="E41">
            <v>1.5E-3</v>
          </cell>
          <cell r="F41">
            <v>1.8E-3</v>
          </cell>
        </row>
        <row r="42">
          <cell r="A42">
            <v>40026</v>
          </cell>
          <cell r="B42">
            <v>40026</v>
          </cell>
          <cell r="C42" t="str">
            <v>02</v>
          </cell>
          <cell r="D42" t="str">
            <v>G</v>
          </cell>
          <cell r="E42">
            <v>1.5E-3</v>
          </cell>
          <cell r="F42">
            <v>1.8E-3</v>
          </cell>
        </row>
        <row r="43">
          <cell r="A43">
            <v>39995</v>
          </cell>
          <cell r="B43">
            <v>39995</v>
          </cell>
          <cell r="C43" t="str">
            <v>02</v>
          </cell>
          <cell r="D43" t="str">
            <v>G</v>
          </cell>
          <cell r="E43">
            <v>1.5E-3</v>
          </cell>
          <cell r="F43">
            <v>1.8E-3</v>
          </cell>
        </row>
        <row r="44">
          <cell r="A44">
            <v>39965</v>
          </cell>
          <cell r="B44">
            <v>39965</v>
          </cell>
          <cell r="C44" t="str">
            <v>02</v>
          </cell>
          <cell r="D44" t="str">
            <v>G</v>
          </cell>
          <cell r="E44">
            <v>1.5E-3</v>
          </cell>
          <cell r="F44">
            <v>1.8E-3</v>
          </cell>
        </row>
        <row r="45">
          <cell r="A45">
            <v>39934</v>
          </cell>
          <cell r="B45">
            <v>39934</v>
          </cell>
          <cell r="C45" t="str">
            <v>02</v>
          </cell>
          <cell r="D45" t="str">
            <v>G</v>
          </cell>
          <cell r="E45">
            <v>1.5E-3</v>
          </cell>
          <cell r="F45">
            <v>1.8E-3</v>
          </cell>
        </row>
        <row r="46">
          <cell r="A46">
            <v>39904</v>
          </cell>
          <cell r="B46">
            <v>39904</v>
          </cell>
          <cell r="C46" t="str">
            <v>02</v>
          </cell>
          <cell r="D46" t="str">
            <v>G</v>
          </cell>
          <cell r="E46">
            <v>1.5E-3</v>
          </cell>
          <cell r="F46">
            <v>1.8E-3</v>
          </cell>
        </row>
        <row r="47">
          <cell r="A47">
            <v>39873</v>
          </cell>
          <cell r="B47">
            <v>39873</v>
          </cell>
          <cell r="C47" t="str">
            <v>02</v>
          </cell>
          <cell r="D47" t="str">
            <v>G</v>
          </cell>
          <cell r="E47">
            <v>1.5E-3</v>
          </cell>
          <cell r="F47">
            <v>1.8E-3</v>
          </cell>
        </row>
        <row r="48">
          <cell r="A48">
            <v>39845</v>
          </cell>
          <cell r="B48">
            <v>39845</v>
          </cell>
          <cell r="C48" t="str">
            <v>02</v>
          </cell>
          <cell r="D48" t="str">
            <v>G</v>
          </cell>
          <cell r="E48">
            <v>1.5E-3</v>
          </cell>
          <cell r="F48">
            <v>1.8E-3</v>
          </cell>
        </row>
        <row r="49">
          <cell r="A49">
            <v>39814</v>
          </cell>
          <cell r="B49">
            <v>39814</v>
          </cell>
          <cell r="C49" t="str">
            <v>02</v>
          </cell>
          <cell r="D49" t="str">
            <v>G</v>
          </cell>
          <cell r="E49">
            <v>1.5E-3</v>
          </cell>
          <cell r="F49">
            <v>1.8E-3</v>
          </cell>
        </row>
      </sheetData>
      <sheetData sheetId="8"/>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AGE"/>
      <sheetName val="SUMMARY CALC"/>
      <sheetName val="PIS AFUDC PIVOT"/>
      <sheetName val="Bucket"/>
      <sheetName val="PIS AFUDC"/>
      <sheetName val="CHARGE PIVOT"/>
      <sheetName val="Charges"/>
      <sheetName val="AFUDC Rates"/>
      <sheetName val="WO Select Query"/>
      <sheetName val="WO Select Pivot"/>
      <sheetName val="Press Release"/>
      <sheetName val="Procedures"/>
      <sheetName val="Summary for Projection"/>
    </sheetNames>
    <sheetDataSet>
      <sheetData sheetId="0"/>
      <sheetData sheetId="1"/>
      <sheetData sheetId="2">
        <row r="5">
          <cell r="B5" t="str">
            <v>(blank)</v>
          </cell>
          <cell r="C5">
            <v>0</v>
          </cell>
        </row>
        <row r="6">
          <cell r="B6" t="str">
            <v>08592052800</v>
          </cell>
          <cell r="C6">
            <v>18030.315686039343</v>
          </cell>
        </row>
        <row r="7">
          <cell r="B7" t="str">
            <v>08582152700</v>
          </cell>
          <cell r="C7">
            <v>50653.222664255278</v>
          </cell>
        </row>
        <row r="8">
          <cell r="B8" t="str">
            <v>08582152010</v>
          </cell>
          <cell r="C8">
            <v>4058.4230071865391</v>
          </cell>
        </row>
        <row r="9">
          <cell r="B9" t="str">
            <v>08582152703</v>
          </cell>
          <cell r="C9">
            <v>25872.666138665118</v>
          </cell>
        </row>
        <row r="10">
          <cell r="B10" t="str">
            <v>08582152701</v>
          </cell>
          <cell r="C10">
            <v>63883.412703545029</v>
          </cell>
        </row>
        <row r="11">
          <cell r="B11" t="str">
            <v>08573352703</v>
          </cell>
          <cell r="C11">
            <v>114470.3902617719</v>
          </cell>
        </row>
        <row r="12">
          <cell r="B12" t="str">
            <v>08582152702</v>
          </cell>
          <cell r="C12">
            <v>76278.752208433609</v>
          </cell>
        </row>
        <row r="13">
          <cell r="B13" t="str">
            <v>08573352702</v>
          </cell>
          <cell r="C13">
            <v>116501.61265871074</v>
          </cell>
        </row>
        <row r="14">
          <cell r="B14" t="str">
            <v>08595752010</v>
          </cell>
          <cell r="C14">
            <v>0</v>
          </cell>
        </row>
        <row r="15">
          <cell r="B15" t="str">
            <v>08582152707</v>
          </cell>
          <cell r="C15">
            <v>3099.1848813329739</v>
          </cell>
        </row>
        <row r="16">
          <cell r="B16" t="str">
            <v>08573352701</v>
          </cell>
          <cell r="C16">
            <v>56370.995721500032</v>
          </cell>
        </row>
        <row r="17">
          <cell r="B17" t="str">
            <v>08582152704</v>
          </cell>
          <cell r="C17">
            <v>63480.771636455029</v>
          </cell>
        </row>
        <row r="18">
          <cell r="B18" t="str">
            <v>08582152705</v>
          </cell>
          <cell r="C18">
            <v>79829.350535251564</v>
          </cell>
        </row>
        <row r="19">
          <cell r="B19" t="str">
            <v>08582152708</v>
          </cell>
          <cell r="C19">
            <v>1930.4482634406813</v>
          </cell>
        </row>
        <row r="20">
          <cell r="B20" t="str">
            <v>08573352700</v>
          </cell>
          <cell r="C20">
            <v>87039.1315186375</v>
          </cell>
        </row>
        <row r="21">
          <cell r="B21" t="str">
            <v>08574152702</v>
          </cell>
          <cell r="C21">
            <v>39258.4963038895</v>
          </cell>
        </row>
        <row r="22">
          <cell r="B22" t="str">
            <v>08582152711</v>
          </cell>
          <cell r="C22">
            <v>8696.7384176644591</v>
          </cell>
        </row>
        <row r="23">
          <cell r="B23" t="str">
            <v>08582152706</v>
          </cell>
          <cell r="C23">
            <v>17464.231043568831</v>
          </cell>
        </row>
        <row r="24">
          <cell r="B24" t="str">
            <v>08582152709</v>
          </cell>
          <cell r="C24">
            <v>9944.5681850414985</v>
          </cell>
        </row>
        <row r="25">
          <cell r="B25" t="str">
            <v>08582152710</v>
          </cell>
          <cell r="C25">
            <v>12563.465388973096</v>
          </cell>
        </row>
        <row r="26">
          <cell r="B26" t="str">
            <v>08574152713</v>
          </cell>
          <cell r="C26">
            <v>0</v>
          </cell>
        </row>
        <row r="27">
          <cell r="B27" t="str">
            <v>08574152714</v>
          </cell>
          <cell r="C27">
            <v>7064.266976076804</v>
          </cell>
        </row>
        <row r="28">
          <cell r="B28" t="str">
            <v>08574152705</v>
          </cell>
          <cell r="C28">
            <v>14379.154051273021</v>
          </cell>
        </row>
        <row r="29">
          <cell r="B29" t="str">
            <v>08574152700</v>
          </cell>
          <cell r="C29">
            <v>33799.351655264247</v>
          </cell>
        </row>
        <row r="30">
          <cell r="B30" t="str">
            <v>08574152703</v>
          </cell>
          <cell r="C30">
            <v>75588.974444133695</v>
          </cell>
        </row>
        <row r="31">
          <cell r="B31" t="str">
            <v>08574152715</v>
          </cell>
          <cell r="C31">
            <v>18949.165879670883</v>
          </cell>
        </row>
        <row r="32">
          <cell r="B32" t="str">
            <v>08574152701</v>
          </cell>
          <cell r="C32">
            <v>55035.342089671125</v>
          </cell>
        </row>
        <row r="33">
          <cell r="B33" t="str">
            <v>08574152708</v>
          </cell>
          <cell r="C33">
            <v>2601.597979757586</v>
          </cell>
        </row>
        <row r="34">
          <cell r="B34" t="str">
            <v>08574152704</v>
          </cell>
          <cell r="C34">
            <v>73917.929646348071</v>
          </cell>
        </row>
        <row r="35">
          <cell r="B35" t="str">
            <v>08573352704</v>
          </cell>
          <cell r="C35">
            <v>15454.692841762535</v>
          </cell>
        </row>
        <row r="36">
          <cell r="B36" t="str">
            <v>08595052700</v>
          </cell>
          <cell r="C36">
            <v>119961.67387712451</v>
          </cell>
        </row>
        <row r="37">
          <cell r="B37" t="str">
            <v>08595052701</v>
          </cell>
          <cell r="C37">
            <v>92763.948344048069</v>
          </cell>
        </row>
        <row r="38">
          <cell r="B38" t="str">
            <v>08574152706</v>
          </cell>
          <cell r="C38">
            <v>63506.995918871333</v>
          </cell>
        </row>
        <row r="39">
          <cell r="B39" t="str">
            <v>08574152711</v>
          </cell>
          <cell r="C39">
            <v>45930.639457350662</v>
          </cell>
        </row>
        <row r="40">
          <cell r="B40" t="str">
            <v>08582152712</v>
          </cell>
          <cell r="C40">
            <v>81727.771925932946</v>
          </cell>
        </row>
        <row r="41">
          <cell r="B41" t="str">
            <v>08574152707</v>
          </cell>
          <cell r="C41">
            <v>122323.63505572698</v>
          </cell>
        </row>
        <row r="42">
          <cell r="B42" t="str">
            <v>08574152709</v>
          </cell>
          <cell r="C42">
            <v>57742.985981992308</v>
          </cell>
        </row>
        <row r="43">
          <cell r="B43" t="str">
            <v>08574152712</v>
          </cell>
          <cell r="C43">
            <v>75863.105463271844</v>
          </cell>
        </row>
        <row r="44">
          <cell r="B44" t="str">
            <v>08595452701</v>
          </cell>
          <cell r="C44">
            <v>9297.8216552107733</v>
          </cell>
        </row>
        <row r="45">
          <cell r="B45" t="str">
            <v>08574152710</v>
          </cell>
          <cell r="C45">
            <v>69982.611513737007</v>
          </cell>
        </row>
        <row r="46">
          <cell r="B46" t="str">
            <v>08582152713</v>
          </cell>
          <cell r="C46">
            <v>74273.102811233635</v>
          </cell>
        </row>
        <row r="47">
          <cell r="B47" t="str">
            <v>08583452700</v>
          </cell>
          <cell r="C47">
            <v>23401.255220738745</v>
          </cell>
        </row>
        <row r="48">
          <cell r="B48" t="str">
            <v>08595452700</v>
          </cell>
          <cell r="C48">
            <v>3150.1248506432366</v>
          </cell>
        </row>
        <row r="49">
          <cell r="B49" t="str">
            <v>08582152714</v>
          </cell>
          <cell r="C49">
            <v>92149.003250972572</v>
          </cell>
        </row>
        <row r="50">
          <cell r="B50" t="str">
            <v>08583352525</v>
          </cell>
          <cell r="C50">
            <v>10384.187976560592</v>
          </cell>
        </row>
        <row r="51">
          <cell r="B51" t="str">
            <v>09583452525</v>
          </cell>
          <cell r="C51">
            <v>68177.794740956801</v>
          </cell>
        </row>
        <row r="52">
          <cell r="B52" t="str">
            <v>09592752525</v>
          </cell>
          <cell r="C52">
            <v>8576.9527592174491</v>
          </cell>
        </row>
        <row r="53">
          <cell r="B53" t="str">
            <v>08574152540</v>
          </cell>
          <cell r="C53">
            <v>64233.920963281314</v>
          </cell>
        </row>
        <row r="54">
          <cell r="B54" t="str">
            <v>08583352526</v>
          </cell>
          <cell r="C54">
            <v>82243.21065922972</v>
          </cell>
        </row>
        <row r="55">
          <cell r="B55" t="str">
            <v>08595552523</v>
          </cell>
          <cell r="C55">
            <v>38719.482354335509</v>
          </cell>
        </row>
        <row r="56">
          <cell r="B56" t="str">
            <v>08573352530</v>
          </cell>
          <cell r="C56">
            <v>50392.35115978714</v>
          </cell>
        </row>
        <row r="57">
          <cell r="B57" t="str">
            <v>08573352529</v>
          </cell>
          <cell r="C57">
            <v>44648.242871839349</v>
          </cell>
        </row>
        <row r="58">
          <cell r="B58" t="str">
            <v>09592052523</v>
          </cell>
          <cell r="C58">
            <v>55619.117841668281</v>
          </cell>
        </row>
        <row r="59">
          <cell r="B59" t="str">
            <v>09595552527</v>
          </cell>
          <cell r="C59">
            <v>4306.4544300278176</v>
          </cell>
        </row>
        <row r="60">
          <cell r="B60" t="str">
            <v>09583252523</v>
          </cell>
          <cell r="C60">
            <v>39977.783398284861</v>
          </cell>
        </row>
        <row r="61">
          <cell r="B61" t="str">
            <v>09582152523</v>
          </cell>
          <cell r="C61">
            <v>25626.453706111526</v>
          </cell>
        </row>
        <row r="62">
          <cell r="B62" t="str">
            <v>08582152540</v>
          </cell>
          <cell r="C62">
            <v>98896.218662434534</v>
          </cell>
        </row>
        <row r="63">
          <cell r="B63" t="str">
            <v>09574152523</v>
          </cell>
          <cell r="C63">
            <v>19159.277266376906</v>
          </cell>
        </row>
        <row r="64">
          <cell r="B64" t="str">
            <v>09574152526</v>
          </cell>
          <cell r="C64">
            <v>25862.766887123285</v>
          </cell>
        </row>
        <row r="65">
          <cell r="B65" t="str">
            <v>09574152525</v>
          </cell>
          <cell r="C65">
            <v>39071.620016437162</v>
          </cell>
        </row>
        <row r="66">
          <cell r="B66" t="str">
            <v>09582152525</v>
          </cell>
          <cell r="C66">
            <v>51548.654255901907</v>
          </cell>
        </row>
        <row r="67">
          <cell r="B67" t="str">
            <v>09595052523</v>
          </cell>
          <cell r="C67">
            <v>26208.671729416783</v>
          </cell>
        </row>
        <row r="68">
          <cell r="B68" t="str">
            <v>09582152526</v>
          </cell>
          <cell r="C68">
            <v>0</v>
          </cell>
        </row>
        <row r="69">
          <cell r="B69" t="str">
            <v>09583352523</v>
          </cell>
          <cell r="C69">
            <v>61258.173073710634</v>
          </cell>
        </row>
        <row r="70">
          <cell r="B70" t="str">
            <v>08595052526</v>
          </cell>
          <cell r="C70">
            <v>52117.845897536499</v>
          </cell>
        </row>
        <row r="71">
          <cell r="B71" t="str">
            <v>09575252523</v>
          </cell>
          <cell r="C71">
            <v>66856.774390831823</v>
          </cell>
        </row>
        <row r="72">
          <cell r="B72" t="str">
            <v>09582152527</v>
          </cell>
          <cell r="C72">
            <v>37871.53420303786</v>
          </cell>
        </row>
        <row r="73">
          <cell r="B73" t="str">
            <v>09582152528</v>
          </cell>
          <cell r="C73">
            <v>65508.592852728361</v>
          </cell>
        </row>
        <row r="74">
          <cell r="B74" t="str">
            <v>09582152531</v>
          </cell>
          <cell r="C74">
            <v>17355.462589494397</v>
          </cell>
        </row>
        <row r="75">
          <cell r="B75" t="str">
            <v>09583452526</v>
          </cell>
          <cell r="C75">
            <v>74874.490999624657</v>
          </cell>
        </row>
        <row r="76">
          <cell r="B76" t="str">
            <v>09592552523</v>
          </cell>
          <cell r="C76">
            <v>0</v>
          </cell>
        </row>
        <row r="77">
          <cell r="B77" t="str">
            <v>09592652523</v>
          </cell>
          <cell r="C77">
            <v>4490.5975240651223</v>
          </cell>
        </row>
        <row r="78">
          <cell r="B78" t="str">
            <v>09592852523</v>
          </cell>
          <cell r="C78">
            <v>21233.212083407157</v>
          </cell>
        </row>
        <row r="79">
          <cell r="B79" t="str">
            <v>09595052526</v>
          </cell>
          <cell r="C79">
            <v>11031.706481531732</v>
          </cell>
        </row>
        <row r="80">
          <cell r="B80" t="str">
            <v>09595552526</v>
          </cell>
          <cell r="C80">
            <v>54469.761977828639</v>
          </cell>
        </row>
        <row r="81">
          <cell r="B81" t="str">
            <v>09574152528</v>
          </cell>
          <cell r="C81">
            <v>21445.761177016186</v>
          </cell>
        </row>
        <row r="82">
          <cell r="B82" t="str">
            <v>09595052529</v>
          </cell>
          <cell r="C82">
            <v>20270.497462742416</v>
          </cell>
        </row>
        <row r="83">
          <cell r="B83" t="str">
            <v>09595352523</v>
          </cell>
          <cell r="C83">
            <v>4337.6366946334256</v>
          </cell>
        </row>
        <row r="84">
          <cell r="B84" t="str">
            <v>09573352523</v>
          </cell>
          <cell r="C84">
            <v>74941.538038891449</v>
          </cell>
        </row>
        <row r="85">
          <cell r="B85" t="str">
            <v>09573352527</v>
          </cell>
          <cell r="C85">
            <v>51937.855451139665</v>
          </cell>
        </row>
        <row r="86">
          <cell r="B86" t="str">
            <v>09574152527</v>
          </cell>
          <cell r="C86">
            <v>10420.163649063908</v>
          </cell>
        </row>
        <row r="87">
          <cell r="B87" t="str">
            <v>09582152530</v>
          </cell>
          <cell r="C87">
            <v>26234.66688760406</v>
          </cell>
        </row>
        <row r="88">
          <cell r="B88" t="str">
            <v>09582152532</v>
          </cell>
          <cell r="C88">
            <v>0</v>
          </cell>
        </row>
        <row r="89">
          <cell r="B89" t="str">
            <v>09582152533</v>
          </cell>
          <cell r="C89">
            <v>0</v>
          </cell>
        </row>
        <row r="90">
          <cell r="B90" t="str">
            <v>09592052525</v>
          </cell>
          <cell r="C90">
            <v>73544.928191348357</v>
          </cell>
        </row>
        <row r="91">
          <cell r="B91" t="str">
            <v>09592052527</v>
          </cell>
          <cell r="C91">
            <v>20611.932984353465</v>
          </cell>
        </row>
        <row r="92">
          <cell r="B92" t="str">
            <v>09592052528</v>
          </cell>
          <cell r="C92">
            <v>9788.6707941447021</v>
          </cell>
        </row>
        <row r="93">
          <cell r="B93" t="str">
            <v>09592452525</v>
          </cell>
          <cell r="C93">
            <v>29928.993911697235</v>
          </cell>
        </row>
        <row r="94">
          <cell r="B94" t="str">
            <v>09592452526</v>
          </cell>
          <cell r="C94">
            <v>12305.576351304964</v>
          </cell>
        </row>
        <row r="95">
          <cell r="B95" t="str">
            <v>09592452527</v>
          </cell>
          <cell r="C95">
            <v>15319.446589248619</v>
          </cell>
        </row>
        <row r="96">
          <cell r="B96" t="str">
            <v>09592452528</v>
          </cell>
          <cell r="C96">
            <v>28352.175275561902</v>
          </cell>
        </row>
        <row r="97">
          <cell r="B97" t="str">
            <v>09595052530</v>
          </cell>
          <cell r="C97">
            <v>31174.212250609613</v>
          </cell>
        </row>
        <row r="98">
          <cell r="B98" t="str">
            <v>09595752523</v>
          </cell>
          <cell r="C98">
            <v>35780.466968414141</v>
          </cell>
        </row>
        <row r="99">
          <cell r="B99" t="str">
            <v>09595952523</v>
          </cell>
          <cell r="C99">
            <v>0</v>
          </cell>
        </row>
        <row r="100">
          <cell r="B100" t="str">
            <v>08582152011</v>
          </cell>
          <cell r="C100">
            <v>0</v>
          </cell>
        </row>
        <row r="101">
          <cell r="B101" t="str">
            <v>08582152715</v>
          </cell>
          <cell r="C101">
            <v>0</v>
          </cell>
        </row>
        <row r="102">
          <cell r="B102" t="str">
            <v>09573352526</v>
          </cell>
          <cell r="C102">
            <v>36162.638991297783</v>
          </cell>
        </row>
        <row r="103">
          <cell r="B103" t="str">
            <v>09574252523</v>
          </cell>
          <cell r="C103">
            <v>0</v>
          </cell>
        </row>
        <row r="104">
          <cell r="B104" t="str">
            <v>09575152523</v>
          </cell>
          <cell r="C104">
            <v>0</v>
          </cell>
        </row>
        <row r="105">
          <cell r="B105" t="str">
            <v>09575252525</v>
          </cell>
          <cell r="C105">
            <v>0</v>
          </cell>
        </row>
        <row r="106">
          <cell r="B106" t="str">
            <v>09582152529</v>
          </cell>
          <cell r="C106">
            <v>0</v>
          </cell>
        </row>
        <row r="107">
          <cell r="B107" t="str">
            <v>09582152534</v>
          </cell>
          <cell r="C107">
            <v>16146.507683642925</v>
          </cell>
        </row>
        <row r="108">
          <cell r="B108" t="str">
            <v>09585652010</v>
          </cell>
          <cell r="C108">
            <v>0</v>
          </cell>
        </row>
        <row r="109">
          <cell r="B109" t="str">
            <v>09592052529</v>
          </cell>
          <cell r="C109">
            <v>12242.82865446602</v>
          </cell>
        </row>
        <row r="110">
          <cell r="B110" t="str">
            <v>09595052527</v>
          </cell>
          <cell r="C110">
            <v>0</v>
          </cell>
        </row>
        <row r="111">
          <cell r="B111" t="str">
            <v>09595052531</v>
          </cell>
          <cell r="C111">
            <v>52822.531180741527</v>
          </cell>
        </row>
        <row r="112">
          <cell r="B112" t="str">
            <v>09595552528</v>
          </cell>
          <cell r="C112">
            <v>36326.535984888702</v>
          </cell>
        </row>
        <row r="113">
          <cell r="B113" t="str">
            <v>09595552529</v>
          </cell>
          <cell r="C113">
            <v>24413.63055381941</v>
          </cell>
        </row>
        <row r="114">
          <cell r="B114" t="str">
            <v>BS/CI Clarksville</v>
          </cell>
          <cell r="C114">
            <v>0</v>
          </cell>
        </row>
        <row r="115">
          <cell r="B115" t="str">
            <v>BS/CI Muncie 08</v>
          </cell>
          <cell r="C115">
            <v>0</v>
          </cell>
        </row>
        <row r="116">
          <cell r="B116" t="str">
            <v>09595402052523</v>
          </cell>
          <cell r="C116">
            <v>33804.140404262231</v>
          </cell>
        </row>
        <row r="117">
          <cell r="B117" t="str">
            <v>09574102052523</v>
          </cell>
          <cell r="C117">
            <v>25883.471146105097</v>
          </cell>
        </row>
        <row r="118">
          <cell r="B118" t="str">
            <v>09582102052523</v>
          </cell>
          <cell r="C118">
            <v>20433.984621999785</v>
          </cell>
        </row>
        <row r="119">
          <cell r="B119" t="str">
            <v>09582102052525</v>
          </cell>
          <cell r="C119">
            <v>42074.794274606109</v>
          </cell>
        </row>
        <row r="120">
          <cell r="B120" t="str">
            <v>10595002052011</v>
          </cell>
          <cell r="C120">
            <v>5409.0244668704363</v>
          </cell>
        </row>
        <row r="121">
          <cell r="B121" t="str">
            <v>09595002052523</v>
          </cell>
          <cell r="C121">
            <v>23435.40946221332</v>
          </cell>
        </row>
        <row r="122">
          <cell r="B122" t="str">
            <v>09595002052525</v>
          </cell>
          <cell r="C122">
            <v>14341.379284299355</v>
          </cell>
        </row>
        <row r="123">
          <cell r="B123" t="str">
            <v>09595002052526</v>
          </cell>
          <cell r="C123">
            <v>18370.176527456497</v>
          </cell>
        </row>
        <row r="124">
          <cell r="B124" t="str">
            <v>10595002052212</v>
          </cell>
          <cell r="C124">
            <v>24999.988523790737</v>
          </cell>
        </row>
        <row r="125">
          <cell r="B125" t="str">
            <v>09592002052523</v>
          </cell>
          <cell r="C125">
            <v>33621.078323857648</v>
          </cell>
        </row>
        <row r="126">
          <cell r="B126" t="str">
            <v>09592002052525</v>
          </cell>
          <cell r="C126">
            <v>16390.970798837592</v>
          </cell>
        </row>
        <row r="127">
          <cell r="B127" t="str">
            <v>09592002052526</v>
          </cell>
          <cell r="C127">
            <v>18811.505876653839</v>
          </cell>
        </row>
        <row r="128">
          <cell r="B128" t="str">
            <v>10592702052210</v>
          </cell>
          <cell r="C128">
            <v>6206.4829637520379</v>
          </cell>
        </row>
        <row r="129">
          <cell r="B129" t="str">
            <v>10592702052212</v>
          </cell>
          <cell r="C129">
            <v>23101.340189011746</v>
          </cell>
        </row>
        <row r="130">
          <cell r="B130" t="str">
            <v>10583302052210</v>
          </cell>
          <cell r="C130">
            <v>3434.0135731576952</v>
          </cell>
        </row>
        <row r="131">
          <cell r="B131" t="str">
            <v>10595502052210</v>
          </cell>
          <cell r="C131">
            <v>20380.790740541615</v>
          </cell>
        </row>
        <row r="132">
          <cell r="B132" t="str">
            <v>10592402052210</v>
          </cell>
          <cell r="C132">
            <v>15687.349266244679</v>
          </cell>
        </row>
        <row r="133">
          <cell r="B133" t="str">
            <v>10595402052210</v>
          </cell>
          <cell r="C133">
            <v>30657.027853321037</v>
          </cell>
        </row>
        <row r="134">
          <cell r="B134" t="str">
            <v>10595502052212</v>
          </cell>
          <cell r="C134">
            <v>18843.169885532829</v>
          </cell>
        </row>
        <row r="135">
          <cell r="B135" t="str">
            <v>10573302052210</v>
          </cell>
          <cell r="C135">
            <v>21760.057905540896</v>
          </cell>
        </row>
        <row r="136">
          <cell r="B136" t="str">
            <v>10583202052210</v>
          </cell>
          <cell r="C136">
            <v>47636.398977119134</v>
          </cell>
        </row>
        <row r="137">
          <cell r="B137" t="str">
            <v>10583402052210</v>
          </cell>
          <cell r="C137">
            <v>32798.97509775345</v>
          </cell>
        </row>
        <row r="138">
          <cell r="B138" t="str">
            <v>10592002052210</v>
          </cell>
          <cell r="C138">
            <v>23622.244731296163</v>
          </cell>
        </row>
        <row r="139">
          <cell r="B139" t="str">
            <v>10592002052212</v>
          </cell>
          <cell r="C139">
            <v>58117.434030704506</v>
          </cell>
        </row>
        <row r="140">
          <cell r="B140" t="str">
            <v>10592002052213</v>
          </cell>
          <cell r="C140">
            <v>32176.698726617884</v>
          </cell>
        </row>
        <row r="141">
          <cell r="B141" t="str">
            <v>10592002052214</v>
          </cell>
          <cell r="C141">
            <v>27474.335009726507</v>
          </cell>
        </row>
        <row r="142">
          <cell r="B142" t="str">
            <v>10592702052213</v>
          </cell>
          <cell r="C142">
            <v>18062.865630735014</v>
          </cell>
        </row>
        <row r="143">
          <cell r="B143" t="str">
            <v>10592802052210</v>
          </cell>
          <cell r="C143">
            <v>23687.746006821904</v>
          </cell>
        </row>
        <row r="144">
          <cell r="B144" t="str">
            <v>10595402052212</v>
          </cell>
          <cell r="C144">
            <v>32079.930939884751</v>
          </cell>
        </row>
        <row r="145">
          <cell r="B145" t="str">
            <v>10592502052210</v>
          </cell>
          <cell r="C145">
            <v>25982.307018719501</v>
          </cell>
        </row>
        <row r="146">
          <cell r="B146" t="str">
            <v>10595302052210</v>
          </cell>
          <cell r="C146">
            <v>22147.029284495537</v>
          </cell>
        </row>
        <row r="147">
          <cell r="B147" t="str">
            <v>10595302052212</v>
          </cell>
          <cell r="C147">
            <v>8744.3849141101255</v>
          </cell>
        </row>
        <row r="148">
          <cell r="B148" t="str">
            <v>11592002052210</v>
          </cell>
          <cell r="C148">
            <v>10923.168894144754</v>
          </cell>
        </row>
        <row r="149">
          <cell r="B149" t="str">
            <v>11574102052213</v>
          </cell>
          <cell r="C149">
            <v>12044.515873154573</v>
          </cell>
        </row>
        <row r="150">
          <cell r="B150" t="str">
            <v>11595502052210</v>
          </cell>
          <cell r="C150">
            <v>0</v>
          </cell>
        </row>
        <row r="151">
          <cell r="B151" t="str">
            <v>11595502052212</v>
          </cell>
          <cell r="C151">
            <v>15702.898983283567</v>
          </cell>
        </row>
        <row r="152">
          <cell r="B152" t="str">
            <v>11573302052210</v>
          </cell>
          <cell r="C152">
            <v>11384.090599067456</v>
          </cell>
        </row>
        <row r="153">
          <cell r="B153" t="str">
            <v>11573302052212</v>
          </cell>
          <cell r="C153">
            <v>6974.9307582797492</v>
          </cell>
        </row>
        <row r="154">
          <cell r="B154" t="str">
            <v>11574102052214</v>
          </cell>
          <cell r="C154">
            <v>4773.3277056845</v>
          </cell>
        </row>
        <row r="155">
          <cell r="B155" t="str">
            <v>11574102052215</v>
          </cell>
          <cell r="C155">
            <v>368.29653908124999</v>
          </cell>
        </row>
        <row r="156">
          <cell r="B156" t="str">
            <v>11575202052214</v>
          </cell>
          <cell r="C156">
            <v>2572.3786451187498</v>
          </cell>
        </row>
        <row r="157">
          <cell r="B157" t="str">
            <v>11575302052210</v>
          </cell>
          <cell r="C157">
            <v>913.86904747125004</v>
          </cell>
        </row>
        <row r="158">
          <cell r="B158" t="str">
            <v>11583202052212</v>
          </cell>
          <cell r="C158">
            <v>23355.187745784846</v>
          </cell>
        </row>
        <row r="159">
          <cell r="B159" t="str">
            <v>11583402052210</v>
          </cell>
          <cell r="C159">
            <v>26766.770891112817</v>
          </cell>
        </row>
        <row r="160">
          <cell r="B160" t="str">
            <v>11592002052216</v>
          </cell>
          <cell r="C160">
            <v>6829.314379669504</v>
          </cell>
        </row>
        <row r="161">
          <cell r="B161" t="str">
            <v>11592702052210</v>
          </cell>
          <cell r="C161">
            <v>6773.5432053088098</v>
          </cell>
        </row>
        <row r="162">
          <cell r="B162" t="str">
            <v>11592702052212</v>
          </cell>
          <cell r="C162">
            <v>3332.6353503513292</v>
          </cell>
        </row>
        <row r="163">
          <cell r="B163" t="str">
            <v>11595002052210</v>
          </cell>
          <cell r="C163">
            <v>9291.1795272915006</v>
          </cell>
        </row>
        <row r="164">
          <cell r="B164" t="str">
            <v>11595502052213</v>
          </cell>
          <cell r="C164">
            <v>2768.3424599999998</v>
          </cell>
        </row>
        <row r="165">
          <cell r="B165" t="str">
            <v>11595902052212</v>
          </cell>
          <cell r="C165">
            <v>14945.096546547251</v>
          </cell>
        </row>
        <row r="166">
          <cell r="B166" t="str">
            <v>10573302052212</v>
          </cell>
          <cell r="C166">
            <v>13592.023764474381</v>
          </cell>
        </row>
        <row r="167">
          <cell r="B167" t="str">
            <v>11573302052213</v>
          </cell>
          <cell r="C167">
            <v>3607.9023117275001</v>
          </cell>
        </row>
        <row r="168">
          <cell r="B168" t="str">
            <v>11573302052214</v>
          </cell>
          <cell r="C168">
            <v>0</v>
          </cell>
        </row>
        <row r="169">
          <cell r="B169" t="str">
            <v>11574102052210</v>
          </cell>
          <cell r="C169">
            <v>2390.0168296422094</v>
          </cell>
        </row>
        <row r="170">
          <cell r="B170" t="str">
            <v>11575102052210</v>
          </cell>
          <cell r="C170">
            <v>2756.1184990950001</v>
          </cell>
        </row>
        <row r="171">
          <cell r="B171" t="str">
            <v>11575102052212</v>
          </cell>
          <cell r="C171">
            <v>4399.5007618575</v>
          </cell>
        </row>
        <row r="172">
          <cell r="B172" t="str">
            <v>11575302052212</v>
          </cell>
          <cell r="C172">
            <v>5807.4371744126092</v>
          </cell>
        </row>
        <row r="173">
          <cell r="B173" t="str">
            <v>11582102052210</v>
          </cell>
          <cell r="C173">
            <v>0</v>
          </cell>
        </row>
        <row r="174">
          <cell r="B174" t="str">
            <v>11582102052212</v>
          </cell>
          <cell r="C174">
            <v>0</v>
          </cell>
        </row>
        <row r="175">
          <cell r="B175" t="str">
            <v>11582102052213</v>
          </cell>
          <cell r="C175">
            <v>5726.1535008600003</v>
          </cell>
        </row>
        <row r="176">
          <cell r="B176" t="str">
            <v>11583202052213</v>
          </cell>
          <cell r="C176">
            <v>7842.2117528437511</v>
          </cell>
        </row>
        <row r="177">
          <cell r="B177" t="str">
            <v>11583202052215</v>
          </cell>
          <cell r="C177">
            <v>7511.1142650237507</v>
          </cell>
        </row>
        <row r="178">
          <cell r="B178" t="str">
            <v>11592002052212</v>
          </cell>
          <cell r="C178">
            <v>19079.724447092249</v>
          </cell>
        </row>
        <row r="179">
          <cell r="B179" t="str">
            <v>11592002052214</v>
          </cell>
          <cell r="C179">
            <v>16183.447206458772</v>
          </cell>
        </row>
        <row r="180">
          <cell r="B180" t="str">
            <v>11592002052217</v>
          </cell>
          <cell r="C180">
            <v>1990.1935625000001</v>
          </cell>
        </row>
        <row r="181">
          <cell r="B181" t="str">
            <v>11592502052210</v>
          </cell>
          <cell r="C181">
            <v>27351.816939677537</v>
          </cell>
        </row>
        <row r="182">
          <cell r="B182" t="str">
            <v>11595002052212</v>
          </cell>
          <cell r="C182">
            <v>0</v>
          </cell>
        </row>
        <row r="183">
          <cell r="B183" t="str">
            <v>11595202052210</v>
          </cell>
          <cell r="C183">
            <v>921.15120499999989</v>
          </cell>
        </row>
        <row r="184">
          <cell r="B184" t="str">
            <v>11595302052210</v>
          </cell>
          <cell r="C184">
            <v>1942.3478636412499</v>
          </cell>
        </row>
        <row r="185">
          <cell r="B185" t="str">
            <v>11595302052212</v>
          </cell>
          <cell r="C185">
            <v>32104.924604715372</v>
          </cell>
        </row>
        <row r="186">
          <cell r="B186" t="str">
            <v>11595302052213</v>
          </cell>
          <cell r="C186">
            <v>0</v>
          </cell>
        </row>
        <row r="187">
          <cell r="B187" t="str">
            <v>11595402052213</v>
          </cell>
          <cell r="C187">
            <v>16896.911193428186</v>
          </cell>
        </row>
        <row r="188">
          <cell r="B188" t="str">
            <v>11595802052210</v>
          </cell>
          <cell r="C188">
            <v>7153.4420380662505</v>
          </cell>
        </row>
        <row r="189">
          <cell r="B189" t="str">
            <v>11592402052212</v>
          </cell>
          <cell r="C189">
            <v>6000.5987372337495</v>
          </cell>
        </row>
        <row r="190">
          <cell r="B190" t="str">
            <v>12592402052210</v>
          </cell>
          <cell r="C190">
            <v>7420.9832806407776</v>
          </cell>
        </row>
        <row r="191">
          <cell r="B191" t="str">
            <v>12582102052212</v>
          </cell>
          <cell r="C191">
            <v>0</v>
          </cell>
        </row>
        <row r="192">
          <cell r="B192" t="str">
            <v>12575302052210</v>
          </cell>
          <cell r="C192">
            <v>6715.6423803147773</v>
          </cell>
        </row>
        <row r="193">
          <cell r="B193" t="str">
            <v>12592502052210</v>
          </cell>
          <cell r="C193">
            <v>0</v>
          </cell>
        </row>
        <row r="194">
          <cell r="B194" t="str">
            <v>11583202052214</v>
          </cell>
          <cell r="C194">
            <v>0</v>
          </cell>
        </row>
        <row r="195">
          <cell r="B195" t="str">
            <v>11575202052215</v>
          </cell>
          <cell r="C195">
            <v>0</v>
          </cell>
        </row>
        <row r="196">
          <cell r="B196" t="str">
            <v>11592002052215</v>
          </cell>
          <cell r="C196">
            <v>0</v>
          </cell>
        </row>
        <row r="197">
          <cell r="B197" t="str">
            <v>11592402052210</v>
          </cell>
          <cell r="C197">
            <v>0</v>
          </cell>
        </row>
        <row r="198">
          <cell r="B198" t="str">
            <v>11592902052212</v>
          </cell>
          <cell r="C198">
            <v>0</v>
          </cell>
        </row>
        <row r="199">
          <cell r="B199" t="str">
            <v>11595402052210</v>
          </cell>
          <cell r="C199">
            <v>0</v>
          </cell>
        </row>
        <row r="200">
          <cell r="B200" t="str">
            <v>12575102052210</v>
          </cell>
          <cell r="C200">
            <v>0</v>
          </cell>
        </row>
        <row r="201">
          <cell r="B201" t="str">
            <v>12583302052210</v>
          </cell>
          <cell r="C201">
            <v>0</v>
          </cell>
        </row>
        <row r="202">
          <cell r="B202" t="str">
            <v>12583402052210</v>
          </cell>
          <cell r="C202">
            <v>0</v>
          </cell>
        </row>
        <row r="203">
          <cell r="B203" t="str">
            <v>12592602052212</v>
          </cell>
          <cell r="C203">
            <v>0</v>
          </cell>
        </row>
        <row r="204">
          <cell r="B204" t="str">
            <v>12595002052210</v>
          </cell>
          <cell r="C204">
            <v>0</v>
          </cell>
        </row>
        <row r="205">
          <cell r="B205" t="str">
            <v>11595402052212</v>
          </cell>
          <cell r="C205">
            <v>0</v>
          </cell>
        </row>
        <row r="206">
          <cell r="B206" t="str">
            <v>12573302052212</v>
          </cell>
          <cell r="C206">
            <v>0</v>
          </cell>
        </row>
        <row r="207">
          <cell r="B207" t="str">
            <v>12575202052210</v>
          </cell>
          <cell r="C207">
            <v>0</v>
          </cell>
        </row>
        <row r="208">
          <cell r="B208" t="str">
            <v>12583402052212</v>
          </cell>
          <cell r="C208">
            <v>0</v>
          </cell>
        </row>
        <row r="209">
          <cell r="B209" t="str">
            <v>12595002052212</v>
          </cell>
          <cell r="C209">
            <v>0</v>
          </cell>
        </row>
        <row r="210">
          <cell r="B210" t="str">
            <v>12595502052212</v>
          </cell>
          <cell r="C210">
            <v>0</v>
          </cell>
        </row>
        <row r="211">
          <cell r="B211" t="str">
            <v>12595702052210</v>
          </cell>
          <cell r="C211">
            <v>0</v>
          </cell>
        </row>
        <row r="212">
          <cell r="B212" t="str">
            <v>12595902052212</v>
          </cell>
          <cell r="C212">
            <v>0</v>
          </cell>
        </row>
        <row r="213">
          <cell r="C213">
            <v>5070811.5535206925</v>
          </cell>
        </row>
      </sheetData>
      <sheetData sheetId="3"/>
      <sheetData sheetId="4"/>
      <sheetData sheetId="5">
        <row r="4">
          <cell r="G4">
            <v>39569</v>
          </cell>
          <cell r="H4">
            <v>39600</v>
          </cell>
          <cell r="I4">
            <v>39630</v>
          </cell>
          <cell r="J4">
            <v>39661</v>
          </cell>
          <cell r="K4">
            <v>39692</v>
          </cell>
          <cell r="L4">
            <v>39722</v>
          </cell>
          <cell r="M4">
            <v>39753</v>
          </cell>
          <cell r="N4">
            <v>39783</v>
          </cell>
          <cell r="O4">
            <v>39814</v>
          </cell>
          <cell r="P4">
            <v>39845</v>
          </cell>
          <cell r="Q4">
            <v>39873</v>
          </cell>
          <cell r="R4">
            <v>39904</v>
          </cell>
          <cell r="S4">
            <v>39934</v>
          </cell>
          <cell r="T4">
            <v>39965</v>
          </cell>
          <cell r="U4">
            <v>39995</v>
          </cell>
          <cell r="V4">
            <v>40026</v>
          </cell>
          <cell r="W4">
            <v>40057</v>
          </cell>
          <cell r="X4">
            <v>40087</v>
          </cell>
          <cell r="Y4">
            <v>40118</v>
          </cell>
          <cell r="Z4">
            <v>40148</v>
          </cell>
          <cell r="AA4">
            <v>40179</v>
          </cell>
          <cell r="AB4">
            <v>40210</v>
          </cell>
          <cell r="AC4">
            <v>40238</v>
          </cell>
          <cell r="AD4">
            <v>40269</v>
          </cell>
          <cell r="AE4">
            <v>40299</v>
          </cell>
          <cell r="AF4">
            <v>40330</v>
          </cell>
          <cell r="AG4">
            <v>40360</v>
          </cell>
          <cell r="AH4">
            <v>40391</v>
          </cell>
          <cell r="AI4">
            <v>40422</v>
          </cell>
          <cell r="AJ4">
            <v>40452</v>
          </cell>
          <cell r="AK4">
            <v>40483</v>
          </cell>
          <cell r="AL4">
            <v>40513</v>
          </cell>
          <cell r="AM4">
            <v>40544</v>
          </cell>
          <cell r="AN4">
            <v>40575</v>
          </cell>
          <cell r="AO4">
            <v>40603</v>
          </cell>
          <cell r="AP4">
            <v>40634</v>
          </cell>
          <cell r="AQ4">
            <v>40664</v>
          </cell>
          <cell r="AR4">
            <v>40695</v>
          </cell>
          <cell r="AS4">
            <v>40725</v>
          </cell>
          <cell r="AT4">
            <v>40756</v>
          </cell>
          <cell r="AU4">
            <v>40787</v>
          </cell>
          <cell r="AV4">
            <v>40817</v>
          </cell>
          <cell r="AW4">
            <v>40848</v>
          </cell>
          <cell r="AX4">
            <v>40878</v>
          </cell>
          <cell r="AY4">
            <v>40909</v>
          </cell>
          <cell r="AZ4">
            <v>40940</v>
          </cell>
          <cell r="BA4">
            <v>40969</v>
          </cell>
          <cell r="BB4">
            <v>41000</v>
          </cell>
          <cell r="BC4">
            <v>41030</v>
          </cell>
          <cell r="BD4">
            <v>41061</v>
          </cell>
          <cell r="BE4">
            <v>41091</v>
          </cell>
          <cell r="BF4">
            <v>41122</v>
          </cell>
          <cell r="BG4">
            <v>41153</v>
          </cell>
          <cell r="BH4">
            <v>41183</v>
          </cell>
          <cell r="BI4">
            <v>41214</v>
          </cell>
          <cell r="BJ4">
            <v>41244</v>
          </cell>
          <cell r="BK4" t="str">
            <v>Grand Total</v>
          </cell>
        </row>
        <row r="5">
          <cell r="T5">
            <v>14175.740000000002</v>
          </cell>
          <cell r="U5">
            <v>10623.710000000001</v>
          </cell>
          <cell r="V5">
            <v>6207.3</v>
          </cell>
          <cell r="W5">
            <v>31306.269999999997</v>
          </cell>
          <cell r="X5">
            <v>65457.130000000005</v>
          </cell>
          <cell r="Y5">
            <v>11230.800000000001</v>
          </cell>
          <cell r="Z5">
            <v>8779.2100000000009</v>
          </cell>
          <cell r="AA5">
            <v>2892.7400000000002</v>
          </cell>
          <cell r="AB5">
            <v>799.82</v>
          </cell>
          <cell r="AC5">
            <v>25051.210000000003</v>
          </cell>
          <cell r="AD5">
            <v>27054.020000000008</v>
          </cell>
          <cell r="AE5">
            <v>32999.82</v>
          </cell>
          <cell r="AF5">
            <v>24427.460000000003</v>
          </cell>
          <cell r="AG5">
            <v>26745.32</v>
          </cell>
          <cell r="AH5">
            <v>46570.689999999995</v>
          </cell>
          <cell r="AI5">
            <v>41445.69</v>
          </cell>
          <cell r="AJ5">
            <v>56800.659999999996</v>
          </cell>
          <cell r="AK5">
            <v>60023.57</v>
          </cell>
          <cell r="AL5">
            <v>95569.05</v>
          </cell>
          <cell r="AM5">
            <v>235.51</v>
          </cell>
          <cell r="AN5">
            <v>28.12</v>
          </cell>
          <cell r="AS5">
            <v>10029.15</v>
          </cell>
          <cell r="BK5">
            <v>598452.99</v>
          </cell>
        </row>
        <row r="6">
          <cell r="Q6">
            <v>257.08</v>
          </cell>
          <cell r="R6">
            <v>756.3900000000001</v>
          </cell>
          <cell r="S6">
            <v>37110.429999999978</v>
          </cell>
          <cell r="T6">
            <v>147372.29999999999</v>
          </cell>
          <cell r="U6">
            <v>158313.78000000003</v>
          </cell>
          <cell r="V6">
            <v>55675.12</v>
          </cell>
          <cell r="W6">
            <v>36819.61</v>
          </cell>
          <cell r="X6">
            <v>75303.37999999999</v>
          </cell>
          <cell r="Y6">
            <v>16643.599999999999</v>
          </cell>
          <cell r="Z6">
            <v>7947.92</v>
          </cell>
          <cell r="AB6">
            <v>-15519.730000000001</v>
          </cell>
          <cell r="AC6">
            <v>-122.58999999999999</v>
          </cell>
          <cell r="BK6">
            <v>520557.29</v>
          </cell>
        </row>
        <row r="7">
          <cell r="J7">
            <v>8946.99</v>
          </cell>
          <cell r="K7">
            <v>6318.6100000000006</v>
          </cell>
          <cell r="L7">
            <v>125.62</v>
          </cell>
          <cell r="M7">
            <v>53.870000000000005</v>
          </cell>
          <cell r="N7">
            <v>38811.42</v>
          </cell>
          <cell r="O7">
            <v>79169.930000000008</v>
          </cell>
          <cell r="P7">
            <v>41707.229999999996</v>
          </cell>
          <cell r="Q7">
            <v>135980.65999999997</v>
          </cell>
          <cell r="R7">
            <v>104320.3</v>
          </cell>
          <cell r="S7">
            <v>105461.64</v>
          </cell>
          <cell r="T7">
            <v>152558.28999999995</v>
          </cell>
          <cell r="U7">
            <v>101177.37000000001</v>
          </cell>
          <cell r="V7">
            <v>44600.759999999995</v>
          </cell>
          <cell r="W7">
            <v>-5649.16</v>
          </cell>
          <cell r="X7">
            <v>503.52</v>
          </cell>
          <cell r="Y7">
            <v>29111.23</v>
          </cell>
          <cell r="Z7">
            <v>5785.46</v>
          </cell>
          <cell r="AA7">
            <v>-400.12</v>
          </cell>
          <cell r="AB7">
            <v>-6977.8200000000006</v>
          </cell>
          <cell r="BK7">
            <v>841605.79999999993</v>
          </cell>
        </row>
        <row r="8">
          <cell r="I8">
            <v>336.1</v>
          </cell>
          <cell r="J8">
            <v>3317.2599999999998</v>
          </cell>
          <cell r="K8">
            <v>9.86</v>
          </cell>
          <cell r="L8">
            <v>79539.87000000001</v>
          </cell>
          <cell r="M8">
            <v>31416.59</v>
          </cell>
          <cell r="N8">
            <v>73229.409999999989</v>
          </cell>
          <cell r="O8">
            <v>95102.830000000016</v>
          </cell>
          <cell r="P8">
            <v>107561.18000000004</v>
          </cell>
          <cell r="Q8">
            <v>36961.87000000001</v>
          </cell>
          <cell r="R8">
            <v>27890.14</v>
          </cell>
          <cell r="S8">
            <v>10777.779999999999</v>
          </cell>
          <cell r="T8">
            <v>7324.3700000000008</v>
          </cell>
          <cell r="U8">
            <v>5290.52</v>
          </cell>
          <cell r="V8">
            <v>-2887.0000000000005</v>
          </cell>
          <cell r="W8">
            <v>31.43</v>
          </cell>
          <cell r="X8">
            <v>-61.18</v>
          </cell>
          <cell r="Y8">
            <v>18372.010000000002</v>
          </cell>
          <cell r="Z8">
            <v>722.6</v>
          </cell>
          <cell r="AC8">
            <v>-5661.62</v>
          </cell>
          <cell r="BK8">
            <v>489274.02000000014</v>
          </cell>
        </row>
        <row r="9">
          <cell r="H9">
            <v>22631.229999999996</v>
          </cell>
          <cell r="I9">
            <v>58737.150000000009</v>
          </cell>
          <cell r="J9">
            <v>58805.279999999999</v>
          </cell>
          <cell r="K9">
            <v>224269.53000000003</v>
          </cell>
          <cell r="L9">
            <v>291974.2</v>
          </cell>
          <cell r="M9">
            <v>91639.24</v>
          </cell>
          <cell r="N9">
            <v>81724.37</v>
          </cell>
          <cell r="O9">
            <v>34996.159999999989</v>
          </cell>
          <cell r="P9">
            <v>37662.579999999987</v>
          </cell>
          <cell r="Q9">
            <v>1880.8400000000001</v>
          </cell>
          <cell r="R9">
            <v>903.82999999999993</v>
          </cell>
          <cell r="S9">
            <v>6889.1699999999992</v>
          </cell>
          <cell r="T9">
            <v>3351.09</v>
          </cell>
          <cell r="U9">
            <v>3586.8100000000004</v>
          </cell>
          <cell r="V9">
            <v>7553.47</v>
          </cell>
          <cell r="W9">
            <v>-2333.0700000000006</v>
          </cell>
          <cell r="X9">
            <v>57029.549999999996</v>
          </cell>
          <cell r="Z9">
            <v>163.17000000000002</v>
          </cell>
          <cell r="AA9">
            <v>-278.64999999999998</v>
          </cell>
          <cell r="AC9">
            <v>-3482.2300000000005</v>
          </cell>
          <cell r="BK9">
            <v>977703.7200000002</v>
          </cell>
        </row>
        <row r="10">
          <cell r="H10">
            <v>22664.47</v>
          </cell>
          <cell r="I10">
            <v>169972.39</v>
          </cell>
          <cell r="J10">
            <v>89714.01999999999</v>
          </cell>
          <cell r="K10">
            <v>114857.58999999997</v>
          </cell>
          <cell r="L10">
            <v>94034.859999999986</v>
          </cell>
          <cell r="M10">
            <v>67471.19</v>
          </cell>
          <cell r="N10">
            <v>83523.31</v>
          </cell>
          <cell r="O10">
            <v>48271.810000000005</v>
          </cell>
          <cell r="P10">
            <v>77967.960000000021</v>
          </cell>
          <cell r="Q10">
            <v>117226.41000000003</v>
          </cell>
          <cell r="R10">
            <v>35735.1</v>
          </cell>
          <cell r="S10">
            <v>4050.4699999999993</v>
          </cell>
          <cell r="T10">
            <v>24937.839999999997</v>
          </cell>
          <cell r="U10">
            <v>15746.120000000003</v>
          </cell>
          <cell r="V10">
            <v>1206.79</v>
          </cell>
          <cell r="W10">
            <v>5642.5</v>
          </cell>
          <cell r="X10">
            <v>3533.3</v>
          </cell>
          <cell r="Y10">
            <v>30629.11</v>
          </cell>
          <cell r="Z10">
            <v>1212.0999999999999</v>
          </cell>
          <cell r="AA10">
            <v>2072.8699999999994</v>
          </cell>
          <cell r="AD10">
            <v>-10337.290000000001</v>
          </cell>
          <cell r="BK10">
            <v>1000132.92</v>
          </cell>
        </row>
        <row r="11">
          <cell r="K11">
            <v>1389.9099999999999</v>
          </cell>
          <cell r="L11">
            <v>5.14</v>
          </cell>
          <cell r="M11">
            <v>4.88</v>
          </cell>
          <cell r="N11">
            <v>2640.29</v>
          </cell>
          <cell r="O11">
            <v>15.350000000000001</v>
          </cell>
          <cell r="P11">
            <v>6.09</v>
          </cell>
          <cell r="Q11">
            <v>102636.37</v>
          </cell>
          <cell r="R11">
            <v>106.69</v>
          </cell>
          <cell r="S11">
            <v>106.81</v>
          </cell>
          <cell r="T11">
            <v>-62522.879999999997</v>
          </cell>
          <cell r="U11">
            <v>44081.45</v>
          </cell>
          <cell r="V11">
            <v>10886.330000000004</v>
          </cell>
          <cell r="W11">
            <v>32292.090000000004</v>
          </cell>
          <cell r="X11">
            <v>14789.539999999999</v>
          </cell>
          <cell r="Y11">
            <v>16108.470000000001</v>
          </cell>
          <cell r="Z11">
            <v>3781.2300000000005</v>
          </cell>
          <cell r="AC11">
            <v>-2436.6</v>
          </cell>
          <cell r="BK11">
            <v>163891.16000000003</v>
          </cell>
        </row>
        <row r="12">
          <cell r="T12">
            <v>16159.86</v>
          </cell>
          <cell r="U12">
            <v>46.86</v>
          </cell>
          <cell r="W12">
            <v>1839.8600000000001</v>
          </cell>
          <cell r="AA12">
            <v>995.91</v>
          </cell>
          <cell r="AH12">
            <v>103461.24999999999</v>
          </cell>
          <cell r="AI12">
            <v>57946.650000000016</v>
          </cell>
          <cell r="AJ12">
            <v>45335.219999999994</v>
          </cell>
          <cell r="AK12">
            <v>60031.669999999991</v>
          </cell>
          <cell r="AL12">
            <v>7773.3700000000008</v>
          </cell>
          <cell r="AM12">
            <v>74955.670000000013</v>
          </cell>
          <cell r="AN12">
            <v>47955.240000000005</v>
          </cell>
          <cell r="AO12">
            <v>62162.789999999994</v>
          </cell>
          <cell r="AP12">
            <v>79882.989999999991</v>
          </cell>
          <cell r="AQ12">
            <v>52450.409999999989</v>
          </cell>
          <cell r="AR12">
            <v>97752.239999999991</v>
          </cell>
          <cell r="AS12">
            <v>26641.429999999997</v>
          </cell>
          <cell r="AT12">
            <v>4807.0300000000007</v>
          </cell>
          <cell r="AU12">
            <v>3472.6099999999997</v>
          </cell>
          <cell r="AV12">
            <v>23335.72</v>
          </cell>
          <cell r="AW12">
            <v>64425.250000000007</v>
          </cell>
          <cell r="AX12">
            <v>95953.99</v>
          </cell>
          <cell r="AY12">
            <v>24780.57</v>
          </cell>
          <cell r="AZ12">
            <v>24062.98</v>
          </cell>
          <cell r="BA12">
            <v>89359.359999999986</v>
          </cell>
          <cell r="BB12">
            <v>1294.7199999999998</v>
          </cell>
          <cell r="BC12">
            <v>10038.82</v>
          </cell>
          <cell r="BD12">
            <v>215.29</v>
          </cell>
          <cell r="BE12">
            <v>338.87999999999994</v>
          </cell>
          <cell r="BF12">
            <v>-10562.93</v>
          </cell>
          <cell r="BH12">
            <v>-2240.87</v>
          </cell>
          <cell r="BI12">
            <v>-103.91999999999999</v>
          </cell>
          <cell r="BJ12">
            <v>0</v>
          </cell>
          <cell r="BK12">
            <v>1064568.9200000002</v>
          </cell>
        </row>
        <row r="13">
          <cell r="J13">
            <v>24297.170000000002</v>
          </cell>
          <cell r="K13">
            <v>2044.85</v>
          </cell>
          <cell r="L13">
            <v>9021.630000000001</v>
          </cell>
          <cell r="M13">
            <v>98657.369999999981</v>
          </cell>
          <cell r="N13">
            <v>82910.959999999992</v>
          </cell>
          <cell r="O13">
            <v>18440.600000000002</v>
          </cell>
          <cell r="P13">
            <v>5912.6900000000014</v>
          </cell>
          <cell r="Q13">
            <v>-304.14</v>
          </cell>
          <cell r="R13">
            <v>11.370000000000005</v>
          </cell>
          <cell r="S13">
            <v>39385.78</v>
          </cell>
          <cell r="T13">
            <v>10909.800000000001</v>
          </cell>
          <cell r="U13">
            <v>1772.0200000000002</v>
          </cell>
          <cell r="V13">
            <v>2531.42</v>
          </cell>
          <cell r="W13">
            <v>893.68000000000006</v>
          </cell>
          <cell r="X13">
            <v>-4838.24</v>
          </cell>
          <cell r="BK13">
            <v>291646.95999999996</v>
          </cell>
        </row>
        <row r="14">
          <cell r="J14">
            <v>41885.839999999997</v>
          </cell>
          <cell r="K14">
            <v>22247.43</v>
          </cell>
          <cell r="L14">
            <v>149074.06999999998</v>
          </cell>
          <cell r="M14">
            <v>162139.20000000001</v>
          </cell>
          <cell r="N14">
            <v>60897.71</v>
          </cell>
          <cell r="O14">
            <v>43108.750000000007</v>
          </cell>
          <cell r="P14">
            <v>264.95</v>
          </cell>
          <cell r="Q14">
            <v>3243.6500000000005</v>
          </cell>
          <cell r="R14">
            <v>176.9</v>
          </cell>
          <cell r="S14">
            <v>5244.1799999999994</v>
          </cell>
          <cell r="T14">
            <v>4627.0700000000006</v>
          </cell>
          <cell r="U14">
            <v>518.19000000000005</v>
          </cell>
          <cell r="V14">
            <v>826.71000000000026</v>
          </cell>
          <cell r="X14">
            <v>-3711.1900000000005</v>
          </cell>
          <cell r="Z14">
            <v>-1086.52</v>
          </cell>
          <cell r="BK14">
            <v>489456.94000000006</v>
          </cell>
        </row>
        <row r="15">
          <cell r="J15">
            <v>35482.930000000008</v>
          </cell>
          <cell r="K15">
            <v>6644.5700000000006</v>
          </cell>
          <cell r="L15">
            <v>85392.08</v>
          </cell>
          <cell r="M15">
            <v>54590.520000000004</v>
          </cell>
          <cell r="N15">
            <v>98483.069999999992</v>
          </cell>
          <cell r="O15">
            <v>13153.819999999998</v>
          </cell>
          <cell r="P15">
            <v>2120.98</v>
          </cell>
          <cell r="Q15">
            <v>157.75</v>
          </cell>
          <cell r="R15">
            <v>-1223.52</v>
          </cell>
          <cell r="U15">
            <v>21760.660000000003</v>
          </cell>
          <cell r="W15">
            <v>178.71999999999997</v>
          </cell>
          <cell r="X15">
            <v>-1993.2700000000002</v>
          </cell>
          <cell r="Z15">
            <v>1526.0200000000002</v>
          </cell>
          <cell r="BK15">
            <v>316274.32999999996</v>
          </cell>
        </row>
        <row r="16">
          <cell r="J16">
            <v>47503.469999999994</v>
          </cell>
          <cell r="K16">
            <v>25318.989999999998</v>
          </cell>
          <cell r="L16">
            <v>117474.96000000004</v>
          </cell>
          <cell r="M16">
            <v>164423.99000000002</v>
          </cell>
          <cell r="N16">
            <v>165198.19</v>
          </cell>
          <cell r="O16">
            <v>42379.519999999997</v>
          </cell>
          <cell r="P16">
            <v>2576.9600000000005</v>
          </cell>
          <cell r="Q16">
            <v>1451.5499999999997</v>
          </cell>
          <cell r="R16">
            <v>-1725.48</v>
          </cell>
          <cell r="T16">
            <v>6564.5300000000007</v>
          </cell>
          <cell r="U16">
            <v>3159.4300000000003</v>
          </cell>
          <cell r="V16">
            <v>41103.370000000003</v>
          </cell>
          <cell r="W16">
            <v>-978.5100000000001</v>
          </cell>
          <cell r="X16">
            <v>-4062.8799999999997</v>
          </cell>
          <cell r="Z16">
            <v>988.45000000000016</v>
          </cell>
          <cell r="BK16">
            <v>611376.54</v>
          </cell>
        </row>
        <row r="17">
          <cell r="J17">
            <v>4453.34</v>
          </cell>
          <cell r="K17">
            <v>4240.2299999999996</v>
          </cell>
          <cell r="L17">
            <v>41843.120000000003</v>
          </cell>
          <cell r="M17">
            <v>58649.21</v>
          </cell>
          <cell r="N17">
            <v>289924.06000000011</v>
          </cell>
          <cell r="O17">
            <v>26058.579999999994</v>
          </cell>
          <cell r="P17">
            <v>48214.14</v>
          </cell>
          <cell r="Q17">
            <v>5228.2099999999991</v>
          </cell>
          <cell r="R17">
            <v>1490.94</v>
          </cell>
          <cell r="S17">
            <v>116039.81000000001</v>
          </cell>
          <cell r="T17">
            <v>49451.310000000005</v>
          </cell>
          <cell r="U17">
            <v>-6981.31</v>
          </cell>
          <cell r="V17">
            <v>2371.41</v>
          </cell>
          <cell r="W17">
            <v>4187.7700000000004</v>
          </cell>
          <cell r="X17">
            <v>-4215.9699999999993</v>
          </cell>
          <cell r="Y17">
            <v>48.599999999999994</v>
          </cell>
          <cell r="Z17">
            <v>7339.46</v>
          </cell>
          <cell r="BK17">
            <v>648342.91000000015</v>
          </cell>
        </row>
        <row r="18">
          <cell r="J18">
            <v>3208.4500000000003</v>
          </cell>
          <cell r="K18">
            <v>2619.62</v>
          </cell>
          <cell r="L18">
            <v>211.66</v>
          </cell>
          <cell r="M18">
            <v>10181.020000000002</v>
          </cell>
          <cell r="N18">
            <v>1606.69</v>
          </cell>
          <cell r="O18">
            <v>1680.38</v>
          </cell>
          <cell r="P18">
            <v>12390.29</v>
          </cell>
          <cell r="Q18">
            <v>57979.719999999994</v>
          </cell>
          <cell r="R18">
            <v>16591.22</v>
          </cell>
          <cell r="S18">
            <v>118.14000000000001</v>
          </cell>
          <cell r="T18">
            <v>6056.5300000000007</v>
          </cell>
          <cell r="U18">
            <v>847.68</v>
          </cell>
          <cell r="V18">
            <v>13122.199999999999</v>
          </cell>
          <cell r="W18">
            <v>3933.79</v>
          </cell>
          <cell r="BK18">
            <v>130547.38999999998</v>
          </cell>
        </row>
        <row r="19">
          <cell r="J19">
            <v>2912.6600000000003</v>
          </cell>
          <cell r="K19">
            <v>7724.42</v>
          </cell>
          <cell r="L19">
            <v>39.36</v>
          </cell>
          <cell r="M19">
            <v>21155.57</v>
          </cell>
          <cell r="N19">
            <v>61578.330000000009</v>
          </cell>
          <cell r="O19">
            <v>134815.76999999999</v>
          </cell>
          <cell r="P19">
            <v>19900.419999999998</v>
          </cell>
          <cell r="Q19">
            <v>164170.87000000002</v>
          </cell>
          <cell r="R19">
            <v>70566.53</v>
          </cell>
          <cell r="S19">
            <v>33518.89</v>
          </cell>
          <cell r="T19">
            <v>5138.8399999999992</v>
          </cell>
          <cell r="U19">
            <v>17934.59</v>
          </cell>
          <cell r="V19">
            <v>13035.29</v>
          </cell>
          <cell r="Z19">
            <v>23223.11</v>
          </cell>
          <cell r="AB19">
            <v>953.31999999999994</v>
          </cell>
          <cell r="AC19">
            <v>65.95</v>
          </cell>
          <cell r="BK19">
            <v>576733.92000000004</v>
          </cell>
        </row>
        <row r="20">
          <cell r="J20">
            <v>3610.5000000000005</v>
          </cell>
          <cell r="K20">
            <v>7472.7300000000005</v>
          </cell>
          <cell r="L20">
            <v>16889.27</v>
          </cell>
          <cell r="M20">
            <v>4040.03</v>
          </cell>
          <cell r="N20">
            <v>226850.92</v>
          </cell>
          <cell r="O20">
            <v>441793.28000000003</v>
          </cell>
          <cell r="P20">
            <v>185223.14</v>
          </cell>
          <cell r="Q20">
            <v>112813.26</v>
          </cell>
          <cell r="R20">
            <v>1100.8</v>
          </cell>
          <cell r="S20">
            <v>363.82</v>
          </cell>
          <cell r="T20">
            <v>120.42</v>
          </cell>
          <cell r="U20">
            <v>27401.99</v>
          </cell>
          <cell r="BK20">
            <v>1027680.16</v>
          </cell>
        </row>
        <row r="21">
          <cell r="K21">
            <v>1989.1200000000001</v>
          </cell>
          <cell r="L21">
            <v>233.19</v>
          </cell>
          <cell r="M21">
            <v>2398.6300000000006</v>
          </cell>
          <cell r="N21">
            <v>14547.369999999997</v>
          </cell>
          <cell r="O21">
            <v>355.70000000000016</v>
          </cell>
          <cell r="P21">
            <v>342.55000000000007</v>
          </cell>
          <cell r="Q21">
            <v>1182.94</v>
          </cell>
          <cell r="X21">
            <v>-161.03</v>
          </cell>
          <cell r="BK21">
            <v>20888.469999999998</v>
          </cell>
        </row>
        <row r="22">
          <cell r="J22">
            <v>15823.28</v>
          </cell>
          <cell r="K22">
            <v>10640.13</v>
          </cell>
          <cell r="L22">
            <v>5380.7</v>
          </cell>
          <cell r="M22">
            <v>1408.1100000000001</v>
          </cell>
          <cell r="N22">
            <v>199959.61000000002</v>
          </cell>
          <cell r="O22">
            <v>99399.540000000023</v>
          </cell>
          <cell r="P22">
            <v>25475.609999999997</v>
          </cell>
          <cell r="Q22">
            <v>8840.4700000000012</v>
          </cell>
          <cell r="R22">
            <v>31185.719999999994</v>
          </cell>
          <cell r="S22">
            <v>24874.45</v>
          </cell>
          <cell r="T22">
            <v>36650.730000000003</v>
          </cell>
          <cell r="U22">
            <v>32850.230000000003</v>
          </cell>
          <cell r="V22">
            <v>35371.97</v>
          </cell>
          <cell r="W22">
            <v>3110</v>
          </cell>
          <cell r="X22">
            <v>315.3</v>
          </cell>
          <cell r="Y22">
            <v>72.900000000000006</v>
          </cell>
          <cell r="Z22">
            <v>6467.4400000000005</v>
          </cell>
          <cell r="BK22">
            <v>537826.19000000006</v>
          </cell>
        </row>
        <row r="23">
          <cell r="J23">
            <v>4941.3099999999995</v>
          </cell>
          <cell r="K23">
            <v>4485.9500000000007</v>
          </cell>
          <cell r="L23">
            <v>2306.8100000000004</v>
          </cell>
          <cell r="M23">
            <v>3191.96</v>
          </cell>
          <cell r="N23">
            <v>36840.249999999993</v>
          </cell>
          <cell r="O23">
            <v>51713.4</v>
          </cell>
          <cell r="P23">
            <v>98973.549999999988</v>
          </cell>
          <cell r="Q23">
            <v>135913.26</v>
          </cell>
          <cell r="R23">
            <v>215177.17999999996</v>
          </cell>
          <cell r="S23">
            <v>33109.22</v>
          </cell>
          <cell r="T23">
            <v>5077.4699999999993</v>
          </cell>
          <cell r="U23">
            <v>43897.41</v>
          </cell>
          <cell r="V23">
            <v>1734.2</v>
          </cell>
          <cell r="W23">
            <v>1640.04</v>
          </cell>
          <cell r="X23">
            <v>1150.2</v>
          </cell>
          <cell r="Y23">
            <v>-9677.56</v>
          </cell>
          <cell r="Z23">
            <v>2793.34</v>
          </cell>
          <cell r="AB23">
            <v>-243.2</v>
          </cell>
          <cell r="BK23">
            <v>633024.7899999998</v>
          </cell>
        </row>
        <row r="24">
          <cell r="K24">
            <v>5762.6500000000005</v>
          </cell>
          <cell r="L24">
            <v>21.32</v>
          </cell>
          <cell r="M24">
            <v>35385.51</v>
          </cell>
          <cell r="N24">
            <v>27308.730000000003</v>
          </cell>
          <cell r="O24">
            <v>1158.3700000000001</v>
          </cell>
          <cell r="P24">
            <v>16376.92</v>
          </cell>
          <cell r="Q24">
            <v>111456.59999999999</v>
          </cell>
          <cell r="R24">
            <v>126091.15000000001</v>
          </cell>
          <cell r="S24">
            <v>23734.199999999993</v>
          </cell>
          <cell r="T24">
            <v>7829.8899999999994</v>
          </cell>
          <cell r="U24">
            <v>8001.5300000000007</v>
          </cell>
          <cell r="V24">
            <v>36543.19</v>
          </cell>
          <cell r="W24">
            <v>9204.0500000000011</v>
          </cell>
          <cell r="X24">
            <v>23002.47</v>
          </cell>
          <cell r="Y24">
            <v>24.3</v>
          </cell>
          <cell r="Z24">
            <v>-295.04999999999995</v>
          </cell>
          <cell r="BK24">
            <v>431605.83000000007</v>
          </cell>
        </row>
        <row r="25">
          <cell r="K25">
            <v>7046.79</v>
          </cell>
          <cell r="L25">
            <v>4398.3600000000006</v>
          </cell>
          <cell r="M25">
            <v>23645.56</v>
          </cell>
          <cell r="N25">
            <v>79923.180000000008</v>
          </cell>
          <cell r="O25">
            <v>30513.199999999993</v>
          </cell>
          <cell r="P25">
            <v>99473.869999999966</v>
          </cell>
          <cell r="Q25">
            <v>188538.68999999997</v>
          </cell>
          <cell r="R25">
            <v>109605.27</v>
          </cell>
          <cell r="S25">
            <v>83368.470000000016</v>
          </cell>
          <cell r="T25">
            <v>6310.1600000000008</v>
          </cell>
          <cell r="U25">
            <v>2523.6799999999998</v>
          </cell>
          <cell r="V25">
            <v>39796.06</v>
          </cell>
          <cell r="W25">
            <v>5041.7400000000007</v>
          </cell>
          <cell r="X25">
            <v>10739.150000000001</v>
          </cell>
          <cell r="Y25">
            <v>-10444.58</v>
          </cell>
          <cell r="Z25">
            <v>508.68</v>
          </cell>
          <cell r="BK25">
            <v>680988.28000000014</v>
          </cell>
        </row>
        <row r="26">
          <cell r="M26">
            <v>1348.26</v>
          </cell>
          <cell r="N26">
            <v>3009.5700000000006</v>
          </cell>
          <cell r="O26">
            <v>16.559999999999999</v>
          </cell>
          <cell r="P26">
            <v>6.5600000000000005</v>
          </cell>
          <cell r="Q26">
            <v>6.57</v>
          </cell>
          <cell r="R26">
            <v>4.3899999999999997</v>
          </cell>
          <cell r="S26">
            <v>4.3899999999999997</v>
          </cell>
          <cell r="T26">
            <v>14.06</v>
          </cell>
          <cell r="U26">
            <v>-2846.8500000000004</v>
          </cell>
          <cell r="V26">
            <v>-1563.5099999999998</v>
          </cell>
          <cell r="BK26">
            <v>2.2737367544323206E-12</v>
          </cell>
        </row>
        <row r="27">
          <cell r="M27">
            <v>5864.74</v>
          </cell>
          <cell r="N27">
            <v>5005.4100000000008</v>
          </cell>
          <cell r="O27">
            <v>13879.279999999997</v>
          </cell>
          <cell r="P27">
            <v>22667.670000000002</v>
          </cell>
          <cell r="Q27">
            <v>5099.8799999999983</v>
          </cell>
          <cell r="R27">
            <v>122.64000000000001</v>
          </cell>
          <cell r="S27">
            <v>988.34</v>
          </cell>
          <cell r="T27">
            <v>-302.3</v>
          </cell>
          <cell r="U27">
            <v>-432.56</v>
          </cell>
          <cell r="V27">
            <v>8963.4</v>
          </cell>
          <cell r="W27">
            <v>355.49</v>
          </cell>
          <cell r="X27">
            <v>-608.54999999999995</v>
          </cell>
          <cell r="BK27">
            <v>61603.439999999995</v>
          </cell>
        </row>
        <row r="28">
          <cell r="K28">
            <v>106.08000000000001</v>
          </cell>
          <cell r="L28">
            <v>0.39</v>
          </cell>
          <cell r="M28">
            <v>10574.28</v>
          </cell>
          <cell r="N28">
            <v>6440.14</v>
          </cell>
          <cell r="O28">
            <v>4241.3</v>
          </cell>
          <cell r="P28">
            <v>22278.01</v>
          </cell>
          <cell r="Q28">
            <v>40074.44</v>
          </cell>
          <cell r="R28">
            <v>30053.29</v>
          </cell>
          <cell r="S28">
            <v>2454.0100000000002</v>
          </cell>
          <cell r="T28">
            <v>4726.62</v>
          </cell>
          <cell r="U28">
            <v>13556.579999999998</v>
          </cell>
          <cell r="V28">
            <v>26279.660000000003</v>
          </cell>
          <cell r="W28">
            <v>123.19999999999986</v>
          </cell>
          <cell r="X28">
            <v>18580.260000000002</v>
          </cell>
          <cell r="BK28">
            <v>179488.26</v>
          </cell>
        </row>
        <row r="29">
          <cell r="G29">
            <v>32614.09</v>
          </cell>
          <cell r="H29">
            <v>88.06</v>
          </cell>
          <cell r="I29">
            <v>-88.06</v>
          </cell>
          <cell r="Q29">
            <v>974.89</v>
          </cell>
          <cell r="R29">
            <v>32.57</v>
          </cell>
          <cell r="S29">
            <v>32.57</v>
          </cell>
          <cell r="T29">
            <v>-279.22000000000003</v>
          </cell>
          <cell r="BK29">
            <v>33374.9</v>
          </cell>
        </row>
        <row r="30">
          <cell r="Q30">
            <v>17702.48</v>
          </cell>
          <cell r="R30">
            <v>17.7</v>
          </cell>
          <cell r="S30">
            <v>12165.12</v>
          </cell>
          <cell r="T30">
            <v>164149.66</v>
          </cell>
          <cell r="U30">
            <v>103822.87000000001</v>
          </cell>
          <cell r="V30">
            <v>145934.98000000001</v>
          </cell>
          <cell r="W30">
            <v>79567.669999999984</v>
          </cell>
          <cell r="X30">
            <v>154262.70000000001</v>
          </cell>
          <cell r="Y30">
            <v>202163.49999999997</v>
          </cell>
          <cell r="Z30">
            <v>316988.91000000003</v>
          </cell>
          <cell r="AA30">
            <v>-6620.2300000000005</v>
          </cell>
          <cell r="AB30">
            <v>-9081.52</v>
          </cell>
          <cell r="BK30">
            <v>1181073.8400000001</v>
          </cell>
        </row>
        <row r="31">
          <cell r="H31">
            <v>18989</v>
          </cell>
          <cell r="I31">
            <v>290060.03000000003</v>
          </cell>
          <cell r="J31">
            <v>955.5</v>
          </cell>
          <cell r="K31">
            <v>172216.55000000002</v>
          </cell>
          <cell r="M31">
            <v>12221.4</v>
          </cell>
          <cell r="N31">
            <v>1359.0300000000002</v>
          </cell>
          <cell r="P31">
            <v>5310.8</v>
          </cell>
          <cell r="Q31">
            <v>9336.7900000000009</v>
          </cell>
          <cell r="S31">
            <v>-8.2600000000000016</v>
          </cell>
          <cell r="W31">
            <v>117.13</v>
          </cell>
          <cell r="X31">
            <v>-7.5900000000000007</v>
          </cell>
          <cell r="BK31">
            <v>510550.38000000006</v>
          </cell>
        </row>
        <row r="32">
          <cell r="H32">
            <v>42616.130000000005</v>
          </cell>
          <cell r="I32">
            <v>269939.44000000006</v>
          </cell>
          <cell r="J32">
            <v>44797.960000000006</v>
          </cell>
          <cell r="K32">
            <v>127875.75</v>
          </cell>
          <cell r="L32">
            <v>50435.709999999992</v>
          </cell>
          <cell r="M32">
            <v>8836.08</v>
          </cell>
          <cell r="N32">
            <v>29545.57</v>
          </cell>
          <cell r="O32">
            <v>2272.0200000000004</v>
          </cell>
          <cell r="P32">
            <v>23626.240000000002</v>
          </cell>
          <cell r="Q32">
            <v>53258.77</v>
          </cell>
          <cell r="R32">
            <v>0</v>
          </cell>
          <cell r="S32">
            <v>340.03</v>
          </cell>
          <cell r="T32">
            <v>2479.54</v>
          </cell>
          <cell r="U32">
            <v>113.97</v>
          </cell>
          <cell r="BK32">
            <v>656137.21000000008</v>
          </cell>
        </row>
        <row r="33">
          <cell r="H33">
            <v>61954.119999999995</v>
          </cell>
          <cell r="I33">
            <v>24407.509999999995</v>
          </cell>
          <cell r="J33">
            <v>122918.15000000002</v>
          </cell>
          <cell r="K33">
            <v>138350.04</v>
          </cell>
          <cell r="L33">
            <v>154466.28999999998</v>
          </cell>
          <cell r="M33">
            <v>43598.29</v>
          </cell>
          <cell r="N33">
            <v>83108.090000000011</v>
          </cell>
          <cell r="O33">
            <v>245.78999999999976</v>
          </cell>
          <cell r="P33">
            <v>25516.23</v>
          </cell>
          <cell r="Q33">
            <v>14352.230000000001</v>
          </cell>
          <cell r="R33">
            <v>257.17</v>
          </cell>
          <cell r="S33">
            <v>601.1</v>
          </cell>
          <cell r="T33">
            <v>2005.93</v>
          </cell>
          <cell r="U33">
            <v>-3016.7500000000005</v>
          </cell>
          <cell r="V33">
            <v>3563.34</v>
          </cell>
          <cell r="X33">
            <v>-1712.27</v>
          </cell>
          <cell r="BK33">
            <v>670615.26</v>
          </cell>
        </row>
        <row r="34">
          <cell r="G34">
            <v>54308.13</v>
          </cell>
          <cell r="H34">
            <v>33238.429999999993</v>
          </cell>
          <cell r="I34">
            <v>50804.560000000005</v>
          </cell>
          <cell r="J34">
            <v>76165.710000000036</v>
          </cell>
          <cell r="K34">
            <v>-31991.46</v>
          </cell>
          <cell r="L34">
            <v>13544.39</v>
          </cell>
          <cell r="M34">
            <v>35819.460000000006</v>
          </cell>
          <cell r="N34">
            <v>-1741.98</v>
          </cell>
          <cell r="P34">
            <v>9906.68</v>
          </cell>
          <cell r="Q34">
            <v>2824.65</v>
          </cell>
          <cell r="S34">
            <v>0</v>
          </cell>
          <cell r="U34">
            <v>4162.2699999999995</v>
          </cell>
          <cell r="BK34">
            <v>247040.84</v>
          </cell>
        </row>
        <row r="35">
          <cell r="I35">
            <v>71707.64</v>
          </cell>
          <cell r="J35">
            <v>42201.409999999996</v>
          </cell>
          <cell r="K35">
            <v>104351.49000000002</v>
          </cell>
          <cell r="L35">
            <v>163683.25</v>
          </cell>
          <cell r="M35">
            <v>31969.5</v>
          </cell>
          <cell r="N35">
            <v>75329.259999999995</v>
          </cell>
          <cell r="O35">
            <v>7632.3899999999994</v>
          </cell>
          <cell r="P35">
            <v>3422.34</v>
          </cell>
          <cell r="Q35">
            <v>4016.99</v>
          </cell>
          <cell r="R35">
            <v>6103.92</v>
          </cell>
          <cell r="S35">
            <v>-1923.64</v>
          </cell>
          <cell r="T35">
            <v>5546.4299999999994</v>
          </cell>
          <cell r="U35">
            <v>911.17000000000007</v>
          </cell>
          <cell r="V35">
            <v>7201.2800000000007</v>
          </cell>
          <cell r="W35">
            <v>-4918.95</v>
          </cell>
          <cell r="X35">
            <v>-2059.4899999999998</v>
          </cell>
          <cell r="BK35">
            <v>515174.99000000005</v>
          </cell>
        </row>
        <row r="36">
          <cell r="I36">
            <v>90639.489999999991</v>
          </cell>
          <cell r="J36">
            <v>25578.07</v>
          </cell>
          <cell r="K36">
            <v>48874.729999999989</v>
          </cell>
          <cell r="L36">
            <v>313801.25999999995</v>
          </cell>
          <cell r="M36">
            <v>53613.16</v>
          </cell>
          <cell r="N36">
            <v>117739.18000000001</v>
          </cell>
          <cell r="O36">
            <v>18954.399999999994</v>
          </cell>
          <cell r="P36">
            <v>46315.15</v>
          </cell>
          <cell r="Q36">
            <v>2079.42</v>
          </cell>
          <cell r="R36">
            <v>0</v>
          </cell>
          <cell r="S36">
            <v>11334.840000000002</v>
          </cell>
          <cell r="T36">
            <v>607.99</v>
          </cell>
          <cell r="U36">
            <v>21.8</v>
          </cell>
          <cell r="X36">
            <v>-2190.4499999999998</v>
          </cell>
          <cell r="Z36">
            <v>-3707.04</v>
          </cell>
          <cell r="BK36">
            <v>723662.00000000012</v>
          </cell>
        </row>
        <row r="37">
          <cell r="I37">
            <v>31678.98</v>
          </cell>
          <cell r="J37">
            <v>20505.25</v>
          </cell>
          <cell r="K37">
            <v>4716.75</v>
          </cell>
          <cell r="L37">
            <v>38292.99</v>
          </cell>
          <cell r="M37">
            <v>17352.670000000002</v>
          </cell>
          <cell r="N37">
            <v>16327.78</v>
          </cell>
          <cell r="O37">
            <v>-183.27</v>
          </cell>
          <cell r="P37">
            <v>12528.03</v>
          </cell>
          <cell r="Q37">
            <v>17967.73</v>
          </cell>
          <cell r="R37">
            <v>-263.7</v>
          </cell>
          <cell r="S37">
            <v>11123.89</v>
          </cell>
          <cell r="U37">
            <v>-11057.95</v>
          </cell>
          <cell r="BK37">
            <v>158989.14999999997</v>
          </cell>
        </row>
        <row r="38">
          <cell r="H38">
            <v>1567.8000000000002</v>
          </cell>
          <cell r="I38">
            <v>37452.140000000007</v>
          </cell>
          <cell r="J38">
            <v>21672.74</v>
          </cell>
          <cell r="K38">
            <v>-37883.14</v>
          </cell>
          <cell r="M38">
            <v>2302.0500000000002</v>
          </cell>
          <cell r="N38">
            <v>1123.48</v>
          </cell>
          <cell r="P38">
            <v>612.79999999999995</v>
          </cell>
          <cell r="R38">
            <v>0</v>
          </cell>
          <cell r="V38">
            <v>1311.06</v>
          </cell>
          <cell r="BK38">
            <v>28158.930000000008</v>
          </cell>
        </row>
        <row r="39">
          <cell r="J39">
            <v>912.96</v>
          </cell>
          <cell r="K39">
            <v>2.46</v>
          </cell>
          <cell r="L39">
            <v>1719.2799999999997</v>
          </cell>
          <cell r="M39">
            <v>1919.66</v>
          </cell>
          <cell r="N39">
            <v>9521.7900000000009</v>
          </cell>
          <cell r="O39">
            <v>53.49</v>
          </cell>
          <cell r="P39">
            <v>-112.51</v>
          </cell>
          <cell r="R39">
            <v>-645.55999999999995</v>
          </cell>
          <cell r="S39">
            <v>3311.6400000000003</v>
          </cell>
          <cell r="BK39">
            <v>16683.210000000003</v>
          </cell>
        </row>
        <row r="40">
          <cell r="J40">
            <v>8506.2199999999993</v>
          </cell>
          <cell r="K40">
            <v>1663.47</v>
          </cell>
          <cell r="L40">
            <v>38354.080000000009</v>
          </cell>
          <cell r="M40">
            <v>29406.29</v>
          </cell>
          <cell r="N40">
            <v>1388.4299999999998</v>
          </cell>
          <cell r="P40">
            <v>-127.35000000000001</v>
          </cell>
          <cell r="R40">
            <v>-669.64</v>
          </cell>
          <cell r="S40">
            <v>13744.73</v>
          </cell>
          <cell r="V40">
            <v>319.58</v>
          </cell>
          <cell r="BK40">
            <v>92585.809999999983</v>
          </cell>
        </row>
        <row r="41">
          <cell r="J41">
            <v>10211.390000000001</v>
          </cell>
          <cell r="K41">
            <v>661.92</v>
          </cell>
          <cell r="L41">
            <v>11741.97</v>
          </cell>
          <cell r="M41">
            <v>35998.910000000011</v>
          </cell>
          <cell r="N41">
            <v>21279.339999999997</v>
          </cell>
          <cell r="O41">
            <v>92.69</v>
          </cell>
          <cell r="P41">
            <v>1758.01</v>
          </cell>
          <cell r="Q41">
            <v>20439.250000000004</v>
          </cell>
          <cell r="R41">
            <v>-527.13</v>
          </cell>
          <cell r="S41">
            <v>12416.14</v>
          </cell>
          <cell r="T41">
            <v>1444.19</v>
          </cell>
          <cell r="V41">
            <v>710.4</v>
          </cell>
          <cell r="Z41">
            <v>-942.47</v>
          </cell>
          <cell r="BK41">
            <v>115284.60999999999</v>
          </cell>
        </row>
        <row r="42">
          <cell r="J42">
            <v>6948.59</v>
          </cell>
          <cell r="K42">
            <v>1533.02</v>
          </cell>
          <cell r="L42">
            <v>25004.989999999998</v>
          </cell>
          <cell r="M42">
            <v>33388.93</v>
          </cell>
          <cell r="N42">
            <v>13025.899999999998</v>
          </cell>
          <cell r="P42">
            <v>-103.22</v>
          </cell>
          <cell r="R42">
            <v>-327.9</v>
          </cell>
          <cell r="S42">
            <v>340.03</v>
          </cell>
          <cell r="Z42">
            <v>-1014.0799999999999</v>
          </cell>
          <cell r="BK42">
            <v>78796.259999999995</v>
          </cell>
        </row>
        <row r="43">
          <cell r="K43">
            <v>14890.76</v>
          </cell>
          <cell r="L43">
            <v>71796.340000000026</v>
          </cell>
          <cell r="M43">
            <v>193578.04</v>
          </cell>
          <cell r="N43">
            <v>308150.8</v>
          </cell>
          <cell r="O43">
            <v>6508.1499999999987</v>
          </cell>
          <cell r="P43">
            <v>13251.53</v>
          </cell>
          <cell r="Q43">
            <v>91599.41</v>
          </cell>
          <cell r="R43">
            <v>472.59999999999997</v>
          </cell>
          <cell r="S43">
            <v>47070.12000000001</v>
          </cell>
          <cell r="T43">
            <v>11307.75</v>
          </cell>
          <cell r="U43">
            <v>1739.4199999999998</v>
          </cell>
          <cell r="V43">
            <v>929.93000000000006</v>
          </cell>
          <cell r="W43">
            <v>-6138.37</v>
          </cell>
          <cell r="Z43">
            <v>-1231.3900000000001</v>
          </cell>
          <cell r="AA43">
            <v>6476.87</v>
          </cell>
          <cell r="BK43">
            <v>760401.96000000008</v>
          </cell>
        </row>
        <row r="44">
          <cell r="K44">
            <v>8780.4600000000009</v>
          </cell>
          <cell r="L44">
            <v>49406.57</v>
          </cell>
          <cell r="M44">
            <v>79428.210000000006</v>
          </cell>
          <cell r="N44">
            <v>208913.71</v>
          </cell>
          <cell r="O44">
            <v>25227.879999999997</v>
          </cell>
          <cell r="P44">
            <v>87770.640000000014</v>
          </cell>
          <cell r="Q44">
            <v>82074.110000000015</v>
          </cell>
          <cell r="R44">
            <v>25958.329999999998</v>
          </cell>
          <cell r="S44">
            <v>66041.69</v>
          </cell>
          <cell r="T44">
            <v>31331</v>
          </cell>
          <cell r="U44">
            <v>17064.59</v>
          </cell>
          <cell r="V44">
            <v>-1501.9300000000005</v>
          </cell>
          <cell r="W44">
            <v>5.9300000000000006</v>
          </cell>
          <cell r="X44">
            <v>-5092.3900000000003</v>
          </cell>
          <cell r="Y44">
            <v>-1095</v>
          </cell>
          <cell r="Z44">
            <v>-5968.97</v>
          </cell>
          <cell r="BK44">
            <v>668344.82999999984</v>
          </cell>
        </row>
        <row r="45">
          <cell r="K45">
            <v>9853.4500000000007</v>
          </cell>
          <cell r="L45">
            <v>47651.81</v>
          </cell>
          <cell r="M45">
            <v>14672.590000000002</v>
          </cell>
          <cell r="N45">
            <v>211706.18</v>
          </cell>
          <cell r="O45">
            <v>23187.479999999996</v>
          </cell>
          <cell r="P45">
            <v>65486.55000000001</v>
          </cell>
          <cell r="Q45">
            <v>190645.12999999998</v>
          </cell>
          <cell r="R45">
            <v>153492.66</v>
          </cell>
          <cell r="S45">
            <v>24240.120000000003</v>
          </cell>
          <cell r="T45">
            <v>87693.21</v>
          </cell>
          <cell r="U45">
            <v>7889.2400000000007</v>
          </cell>
          <cell r="V45">
            <v>-3288.7799999999997</v>
          </cell>
          <cell r="W45">
            <v>560.86000000000013</v>
          </cell>
          <cell r="X45">
            <v>-5666.16</v>
          </cell>
          <cell r="Z45">
            <v>-7728.24</v>
          </cell>
          <cell r="AA45">
            <v>-208.15</v>
          </cell>
          <cell r="BK45">
            <v>820187.94999999984</v>
          </cell>
        </row>
        <row r="46">
          <cell r="P46">
            <v>12839.48</v>
          </cell>
          <cell r="Q46">
            <v>36267.35</v>
          </cell>
          <cell r="R46">
            <v>33315.94</v>
          </cell>
          <cell r="S46">
            <v>3979.14</v>
          </cell>
          <cell r="T46">
            <v>138.97</v>
          </cell>
          <cell r="Z46">
            <v>9501.2300000000014</v>
          </cell>
          <cell r="AG46">
            <v>-121.77</v>
          </cell>
          <cell r="BK46">
            <v>95920.34</v>
          </cell>
        </row>
        <row r="47">
          <cell r="P47">
            <v>37803.240000000005</v>
          </cell>
          <cell r="Q47">
            <v>28068.75</v>
          </cell>
          <cell r="R47">
            <v>172042.6400000001</v>
          </cell>
          <cell r="S47">
            <v>240405.77</v>
          </cell>
          <cell r="T47">
            <v>108197.85999999999</v>
          </cell>
          <cell r="U47">
            <v>63295.640000000021</v>
          </cell>
          <cell r="V47">
            <v>64115.170000000013</v>
          </cell>
          <cell r="W47">
            <v>28835.18</v>
          </cell>
          <cell r="X47">
            <v>107826.84</v>
          </cell>
          <cell r="Y47">
            <v>11340.9</v>
          </cell>
          <cell r="Z47">
            <v>31346.859999999997</v>
          </cell>
          <cell r="AA47">
            <v>8910.32</v>
          </cell>
          <cell r="BK47">
            <v>902189.17000000016</v>
          </cell>
        </row>
        <row r="48">
          <cell r="K48">
            <v>5943.5900000000011</v>
          </cell>
          <cell r="L48">
            <v>19950.829999999998</v>
          </cell>
          <cell r="M48">
            <v>19278.110000000004</v>
          </cell>
          <cell r="N48">
            <v>103484.25000000001</v>
          </cell>
          <cell r="O48">
            <v>1180.5600000000002</v>
          </cell>
          <cell r="P48">
            <v>34846.36</v>
          </cell>
          <cell r="Q48">
            <v>5974.52</v>
          </cell>
          <cell r="R48">
            <v>-367.23</v>
          </cell>
          <cell r="S48">
            <v>962.26</v>
          </cell>
          <cell r="T48">
            <v>9695.9900000000016</v>
          </cell>
          <cell r="W48">
            <v>1010.4899999999999</v>
          </cell>
          <cell r="AH48">
            <v>2311.17</v>
          </cell>
          <cell r="BK48">
            <v>204270.9</v>
          </cell>
        </row>
        <row r="49">
          <cell r="G49">
            <v>30487.62</v>
          </cell>
          <cell r="H49">
            <v>80728.13</v>
          </cell>
          <cell r="I49">
            <v>1566.38</v>
          </cell>
          <cell r="J49">
            <v>4707.82</v>
          </cell>
          <cell r="K49">
            <v>1432.32</v>
          </cell>
          <cell r="L49">
            <v>17303.580000000002</v>
          </cell>
          <cell r="M49">
            <v>19725.5</v>
          </cell>
          <cell r="N49">
            <v>-351.98000000000008</v>
          </cell>
          <cell r="BK49">
            <v>155599.37000000002</v>
          </cell>
        </row>
        <row r="50">
          <cell r="Q50">
            <v>40098.35</v>
          </cell>
          <cell r="R50">
            <v>124428.40000000001</v>
          </cell>
          <cell r="S50">
            <v>138729.69</v>
          </cell>
          <cell r="T50">
            <v>107659.13999999998</v>
          </cell>
          <cell r="U50">
            <v>26722.210000000006</v>
          </cell>
          <cell r="V50">
            <v>-1237.8800000000001</v>
          </cell>
          <cell r="W50">
            <v>25983.51</v>
          </cell>
          <cell r="X50">
            <v>45548.270000000004</v>
          </cell>
          <cell r="Y50">
            <v>2431.2600000000002</v>
          </cell>
          <cell r="Z50">
            <v>-5593.5400000000009</v>
          </cell>
          <cell r="AC50">
            <v>164.31</v>
          </cell>
          <cell r="BK50">
            <v>504933.72000000003</v>
          </cell>
        </row>
        <row r="51">
          <cell r="J51">
            <v>30460.240000000002</v>
          </cell>
          <cell r="K51">
            <v>28570.149999999998</v>
          </cell>
          <cell r="L51">
            <v>55161.279999999999</v>
          </cell>
          <cell r="M51">
            <v>36399.99</v>
          </cell>
          <cell r="N51">
            <v>360616.73</v>
          </cell>
          <cell r="O51">
            <v>150373.04</v>
          </cell>
          <cell r="P51">
            <v>123093.38000000002</v>
          </cell>
          <cell r="Q51">
            <v>251108.13000000003</v>
          </cell>
          <cell r="R51">
            <v>84464.849999999991</v>
          </cell>
          <cell r="S51">
            <v>18510.120000000003</v>
          </cell>
          <cell r="T51">
            <v>25683.010000000002</v>
          </cell>
          <cell r="U51">
            <v>8736.69</v>
          </cell>
          <cell r="V51">
            <v>51654.2</v>
          </cell>
          <cell r="W51">
            <v>4990.7599999999993</v>
          </cell>
          <cell r="X51">
            <v>139323.35</v>
          </cell>
          <cell r="Z51">
            <v>-2852.37</v>
          </cell>
          <cell r="AG51">
            <v>1015.2399999999999</v>
          </cell>
          <cell r="AH51">
            <v>-1072.3600000000001</v>
          </cell>
          <cell r="BK51">
            <v>1366236.43</v>
          </cell>
        </row>
        <row r="52">
          <cell r="J52">
            <v>46120.12</v>
          </cell>
          <cell r="K52">
            <v>8916.74</v>
          </cell>
          <cell r="L52">
            <v>93127.670000000013</v>
          </cell>
          <cell r="M52">
            <v>199891.74999999997</v>
          </cell>
          <cell r="N52">
            <v>363051.41000000003</v>
          </cell>
          <cell r="O52">
            <v>9514.3900000000012</v>
          </cell>
          <cell r="P52">
            <v>13771.230000000001</v>
          </cell>
          <cell r="Q52">
            <v>17237.11</v>
          </cell>
          <cell r="R52">
            <v>984.87</v>
          </cell>
          <cell r="S52">
            <v>5710.8</v>
          </cell>
          <cell r="T52">
            <v>2662.29</v>
          </cell>
          <cell r="U52">
            <v>14597.18</v>
          </cell>
          <cell r="V52">
            <v>950.66000000000008</v>
          </cell>
          <cell r="W52">
            <v>-6353.32</v>
          </cell>
          <cell r="Z52">
            <v>-7979.5599999999995</v>
          </cell>
          <cell r="AB52">
            <v>1090.99</v>
          </cell>
          <cell r="AC52">
            <v>-18506.260000000002</v>
          </cell>
          <cell r="BK52">
            <v>744788.07000000018</v>
          </cell>
        </row>
        <row r="53">
          <cell r="K53">
            <v>1050.26</v>
          </cell>
          <cell r="L53">
            <v>606.1400000000001</v>
          </cell>
          <cell r="M53">
            <v>1616.71</v>
          </cell>
          <cell r="N53">
            <v>13464.45</v>
          </cell>
          <cell r="O53">
            <v>232.20999999999998</v>
          </cell>
          <cell r="P53">
            <v>4926.1000000000004</v>
          </cell>
          <cell r="Q53">
            <v>2723.5299999999997</v>
          </cell>
          <cell r="R53">
            <v>24.62</v>
          </cell>
          <cell r="S53">
            <v>24.64</v>
          </cell>
          <cell r="T53">
            <v>2260.86</v>
          </cell>
          <cell r="U53">
            <v>78.09</v>
          </cell>
          <cell r="V53">
            <v>64.63</v>
          </cell>
          <cell r="W53">
            <v>70.02</v>
          </cell>
          <cell r="X53">
            <v>-63.92</v>
          </cell>
          <cell r="Y53">
            <v>-521.09</v>
          </cell>
          <cell r="BK53">
            <v>26557.250000000004</v>
          </cell>
        </row>
        <row r="54">
          <cell r="K54">
            <v>2238.81</v>
          </cell>
          <cell r="L54">
            <v>8095.0599999999995</v>
          </cell>
          <cell r="M54">
            <v>8399.9500000000007</v>
          </cell>
          <cell r="N54">
            <v>50534.970000000008</v>
          </cell>
          <cell r="O54">
            <v>103.52</v>
          </cell>
          <cell r="P54">
            <v>5746.96</v>
          </cell>
          <cell r="Q54">
            <v>1202.49</v>
          </cell>
          <cell r="R54">
            <v>-21.330000000000002</v>
          </cell>
          <cell r="S54">
            <v>888.34</v>
          </cell>
          <cell r="T54">
            <v>1272.04</v>
          </cell>
          <cell r="U54">
            <v>3345.08</v>
          </cell>
          <cell r="X54">
            <v>-2601.2600000000002</v>
          </cell>
          <cell r="BK54">
            <v>79204.630000000019</v>
          </cell>
        </row>
        <row r="55">
          <cell r="Q55">
            <v>1672.14</v>
          </cell>
          <cell r="R55">
            <v>1.67</v>
          </cell>
          <cell r="S55">
            <v>1.67</v>
          </cell>
          <cell r="T55">
            <v>12808.64</v>
          </cell>
          <cell r="U55">
            <v>797.85</v>
          </cell>
          <cell r="W55">
            <v>3310.2400000000002</v>
          </cell>
          <cell r="AA55">
            <v>2550.0500000000002</v>
          </cell>
          <cell r="AB55">
            <v>588.84</v>
          </cell>
          <cell r="AC55">
            <v>77102.55</v>
          </cell>
          <cell r="AD55">
            <v>136103.53</v>
          </cell>
          <cell r="AE55">
            <v>81159.51999999999</v>
          </cell>
          <cell r="AF55">
            <v>18514.03</v>
          </cell>
          <cell r="AG55">
            <v>1752.98</v>
          </cell>
          <cell r="AH55">
            <v>18863.03</v>
          </cell>
          <cell r="AI55">
            <v>7419.9699999999993</v>
          </cell>
          <cell r="AJ55">
            <v>60852.44</v>
          </cell>
          <cell r="AK55">
            <v>63068.36</v>
          </cell>
          <cell r="AL55">
            <v>33685.700000000004</v>
          </cell>
          <cell r="AM55">
            <v>-4920.1000000000004</v>
          </cell>
          <cell r="AO55">
            <v>1122.98</v>
          </cell>
          <cell r="BK55">
            <v>516456.08999999997</v>
          </cell>
        </row>
        <row r="56">
          <cell r="W56">
            <v>21558.62</v>
          </cell>
          <cell r="X56">
            <v>38.81</v>
          </cell>
          <cell r="Y56">
            <v>71.28</v>
          </cell>
          <cell r="Z56">
            <v>199.29000000000002</v>
          </cell>
          <cell r="AA56">
            <v>4072.8300000000004</v>
          </cell>
          <cell r="AB56">
            <v>181.57999999999998</v>
          </cell>
          <cell r="AC56">
            <v>182.86</v>
          </cell>
          <cell r="AD56">
            <v>80520.810000000012</v>
          </cell>
          <cell r="AE56">
            <v>130706.65</v>
          </cell>
          <cell r="AF56">
            <v>127847.48000000001</v>
          </cell>
          <cell r="AG56">
            <v>169270.99</v>
          </cell>
          <cell r="AH56">
            <v>128043.08</v>
          </cell>
          <cell r="AI56">
            <v>246668.40000000002</v>
          </cell>
          <cell r="AJ56">
            <v>90690.32</v>
          </cell>
          <cell r="AK56">
            <v>989.9</v>
          </cell>
          <cell r="AL56">
            <v>-12202.88</v>
          </cell>
          <cell r="BK56">
            <v>988840.02</v>
          </cell>
        </row>
        <row r="57">
          <cell r="AA57">
            <v>22941.55</v>
          </cell>
          <cell r="AB57">
            <v>160.59</v>
          </cell>
          <cell r="AC57">
            <v>80.86</v>
          </cell>
          <cell r="AD57">
            <v>162.28</v>
          </cell>
          <cell r="AE57">
            <v>5.84</v>
          </cell>
          <cell r="AF57">
            <v>4.67</v>
          </cell>
          <cell r="AN57">
            <v>11.68</v>
          </cell>
          <cell r="AO57">
            <v>87831.65</v>
          </cell>
          <cell r="AP57">
            <v>69360.429999999993</v>
          </cell>
          <cell r="AQ57">
            <v>69617.430000000008</v>
          </cell>
          <cell r="AR57">
            <v>34051.280000000006</v>
          </cell>
          <cell r="AS57">
            <v>34517.08</v>
          </cell>
          <cell r="AT57">
            <v>15514.279999999999</v>
          </cell>
          <cell r="AU57">
            <v>28299.98</v>
          </cell>
          <cell r="AV57">
            <v>20825.080000000002</v>
          </cell>
          <cell r="AW57">
            <v>85218.4</v>
          </cell>
          <cell r="AX57">
            <v>60598.960000000006</v>
          </cell>
          <cell r="AY57">
            <v>-870.07999999999993</v>
          </cell>
          <cell r="AZ57">
            <v>-1637.8300000000002</v>
          </cell>
          <cell r="BE57">
            <v>-4937.54</v>
          </cell>
          <cell r="BK57">
            <v>521756.59</v>
          </cell>
        </row>
        <row r="58">
          <cell r="T58">
            <v>32.03</v>
          </cell>
          <cell r="U58">
            <v>0.09</v>
          </cell>
          <cell r="V58">
            <v>0.08</v>
          </cell>
          <cell r="W58">
            <v>17834.150000000001</v>
          </cell>
          <cell r="AA58">
            <v>1176.55</v>
          </cell>
          <cell r="AO58">
            <v>55545.490000000005</v>
          </cell>
          <cell r="AP58">
            <v>27292.58</v>
          </cell>
          <cell r="AQ58">
            <v>529.11</v>
          </cell>
          <cell r="AR58">
            <v>86536.45</v>
          </cell>
          <cell r="AS58">
            <v>59243.470000000008</v>
          </cell>
          <cell r="AT58">
            <v>117103.92</v>
          </cell>
          <cell r="AU58">
            <v>97202.489999999991</v>
          </cell>
          <cell r="AV58">
            <v>50831.099999999984</v>
          </cell>
          <cell r="AW58">
            <v>148869.97999999998</v>
          </cell>
          <cell r="AX58">
            <v>108029.43000000001</v>
          </cell>
          <cell r="AY58">
            <v>-12054.75</v>
          </cell>
          <cell r="AZ58">
            <v>-7848.1799999999994</v>
          </cell>
          <cell r="BE58">
            <v>4937.54</v>
          </cell>
          <cell r="BK58">
            <v>755261.53</v>
          </cell>
        </row>
        <row r="59">
          <cell r="T59">
            <v>9963.59</v>
          </cell>
          <cell r="U59">
            <v>28.900000000000002</v>
          </cell>
          <cell r="W59">
            <v>1265.3999999999999</v>
          </cell>
          <cell r="Y59">
            <v>343.47</v>
          </cell>
          <cell r="AA59">
            <v>3758.4500000000003</v>
          </cell>
          <cell r="AR59">
            <v>2227.8000000000002</v>
          </cell>
          <cell r="AS59">
            <v>24644.53</v>
          </cell>
          <cell r="AT59">
            <v>89642.810000000012</v>
          </cell>
          <cell r="AU59">
            <v>70605.959999999992</v>
          </cell>
          <cell r="AV59">
            <v>303.72000000000003</v>
          </cell>
          <cell r="AW59">
            <v>37020.450000000004</v>
          </cell>
          <cell r="AX59">
            <v>41112.320000000007</v>
          </cell>
          <cell r="AY59">
            <v>-4028.8900000000003</v>
          </cell>
          <cell r="BE59">
            <v>-6087.1100000000006</v>
          </cell>
          <cell r="BK59">
            <v>270801.40000000002</v>
          </cell>
        </row>
        <row r="60">
          <cell r="R60">
            <v>243.87</v>
          </cell>
          <cell r="S60">
            <v>66595.76999999999</v>
          </cell>
          <cell r="T60">
            <v>78689.590000000011</v>
          </cell>
          <cell r="U60">
            <v>67210.37999999999</v>
          </cell>
          <cell r="V60">
            <v>53214.2</v>
          </cell>
          <cell r="W60">
            <v>53734.150000000009</v>
          </cell>
          <cell r="X60">
            <v>44241.62</v>
          </cell>
          <cell r="Y60">
            <v>32712.550000000007</v>
          </cell>
          <cell r="Z60">
            <v>27368.170000000002</v>
          </cell>
          <cell r="AA60">
            <v>-811.3</v>
          </cell>
          <cell r="BK60">
            <v>423199</v>
          </cell>
        </row>
        <row r="61">
          <cell r="R61">
            <v>40939.579999999994</v>
          </cell>
          <cell r="S61">
            <v>43945.490000000005</v>
          </cell>
          <cell r="T61">
            <v>42017.530000000013</v>
          </cell>
          <cell r="U61">
            <v>34839.61</v>
          </cell>
          <cell r="V61">
            <v>30878.759999999991</v>
          </cell>
          <cell r="W61">
            <v>60977.87</v>
          </cell>
          <cell r="X61">
            <v>23205.949999999997</v>
          </cell>
          <cell r="Y61">
            <v>4236.6400000000003</v>
          </cell>
          <cell r="Z61">
            <v>290.06000000000051</v>
          </cell>
          <cell r="AB61">
            <v>1302.7</v>
          </cell>
          <cell r="BK61">
            <v>282634.19</v>
          </cell>
        </row>
        <row r="62">
          <cell r="AA62">
            <v>8041.9600000000009</v>
          </cell>
          <cell r="AB62">
            <v>56.29</v>
          </cell>
          <cell r="AC62">
            <v>28.34</v>
          </cell>
          <cell r="AD62">
            <v>56.89</v>
          </cell>
          <cell r="AE62">
            <v>2.0499999999999998</v>
          </cell>
          <cell r="AN62">
            <v>4.09</v>
          </cell>
          <cell r="AO62">
            <v>4.09</v>
          </cell>
          <cell r="AP62">
            <v>4.0999999999999996</v>
          </cell>
          <cell r="AQ62">
            <v>7.38</v>
          </cell>
          <cell r="AR62">
            <v>32625.05</v>
          </cell>
          <cell r="AS62">
            <v>21695.199999999993</v>
          </cell>
          <cell r="AT62">
            <v>39134.870000000003</v>
          </cell>
          <cell r="AU62">
            <v>20324.659999999996</v>
          </cell>
          <cell r="AV62">
            <v>6159.7100000000009</v>
          </cell>
          <cell r="AW62">
            <v>2119.23</v>
          </cell>
          <cell r="AX62">
            <v>14664.349999999999</v>
          </cell>
          <cell r="AY62">
            <v>1252.8900000000001</v>
          </cell>
          <cell r="AZ62">
            <v>1024.94</v>
          </cell>
          <cell r="BB62">
            <v>2119.7200000000003</v>
          </cell>
          <cell r="BF62">
            <v>969.47</v>
          </cell>
          <cell r="BJ62">
            <v>0</v>
          </cell>
          <cell r="BK62">
            <v>150295.28000000003</v>
          </cell>
        </row>
        <row r="63">
          <cell r="T63">
            <v>2020.1200000000001</v>
          </cell>
          <cell r="U63">
            <v>3955.6100000000006</v>
          </cell>
          <cell r="W63">
            <v>1290.72</v>
          </cell>
          <cell r="AA63">
            <v>4392.78</v>
          </cell>
          <cell r="AB63">
            <v>24312.260000000002</v>
          </cell>
          <cell r="AC63">
            <v>49046.35</v>
          </cell>
          <cell r="AD63">
            <v>62293.090000000004</v>
          </cell>
          <cell r="AE63">
            <v>30403.809999999998</v>
          </cell>
          <cell r="AF63">
            <v>31444.93</v>
          </cell>
          <cell r="AG63">
            <v>38113.51999999999</v>
          </cell>
          <cell r="AH63">
            <v>0</v>
          </cell>
          <cell r="AI63">
            <v>32021.65</v>
          </cell>
          <cell r="AJ63">
            <v>18.14</v>
          </cell>
          <cell r="AL63">
            <v>1358.18</v>
          </cell>
          <cell r="BK63">
            <v>280671.15999999997</v>
          </cell>
        </row>
        <row r="64">
          <cell r="AA64">
            <v>21521.550000000003</v>
          </cell>
          <cell r="AB64">
            <v>150.65</v>
          </cell>
          <cell r="AC64">
            <v>75.849999999999994</v>
          </cell>
          <cell r="AD64">
            <v>152.24</v>
          </cell>
          <cell r="AE64">
            <v>5.48</v>
          </cell>
          <cell r="AF64">
            <v>4.38</v>
          </cell>
          <cell r="BK64">
            <v>21910.150000000005</v>
          </cell>
        </row>
        <row r="65">
          <cell r="AA65">
            <v>20161.02</v>
          </cell>
          <cell r="AB65">
            <v>141.12</v>
          </cell>
          <cell r="AC65">
            <v>71.06</v>
          </cell>
          <cell r="AD65">
            <v>142.61000000000001</v>
          </cell>
          <cell r="AE65">
            <v>5.13</v>
          </cell>
          <cell r="AF65">
            <v>8.2100000000000009</v>
          </cell>
          <cell r="BK65">
            <v>20529.150000000001</v>
          </cell>
        </row>
        <row r="66">
          <cell r="S66">
            <v>6718.49</v>
          </cell>
          <cell r="T66">
            <v>77117.64999999998</v>
          </cell>
          <cell r="U66">
            <v>111822.41</v>
          </cell>
          <cell r="V66">
            <v>111499.53000000003</v>
          </cell>
          <cell r="W66">
            <v>148804.91000000003</v>
          </cell>
          <cell r="X66">
            <v>147509.96000000002</v>
          </cell>
          <cell r="Y66">
            <v>142710.97999999998</v>
          </cell>
          <cell r="Z66">
            <v>-610.60000000000014</v>
          </cell>
          <cell r="AA66">
            <v>4010.2000000000003</v>
          </cell>
          <cell r="AB66">
            <v>-13194.710000000001</v>
          </cell>
          <cell r="AC66">
            <v>-100.18</v>
          </cell>
          <cell r="BK66">
            <v>736288.64</v>
          </cell>
        </row>
        <row r="67">
          <cell r="X67">
            <v>164.71</v>
          </cell>
          <cell r="Y67">
            <v>0.55000000000000004</v>
          </cell>
          <cell r="Z67">
            <v>1.52</v>
          </cell>
          <cell r="AA67">
            <v>31813.77</v>
          </cell>
          <cell r="AB67">
            <v>223.86</v>
          </cell>
          <cell r="AC67">
            <v>112.72</v>
          </cell>
          <cell r="AD67">
            <v>226.22000000000003</v>
          </cell>
          <cell r="AE67">
            <v>8.14</v>
          </cell>
          <cell r="AF67">
            <v>13.02</v>
          </cell>
          <cell r="BK67">
            <v>32564.510000000002</v>
          </cell>
        </row>
        <row r="68">
          <cell r="T68">
            <v>12430.26</v>
          </cell>
          <cell r="U68">
            <v>683.27</v>
          </cell>
          <cell r="V68">
            <v>16.170000000000002</v>
          </cell>
          <cell r="W68">
            <v>3089.3599999999997</v>
          </cell>
          <cell r="AA68">
            <v>728.94</v>
          </cell>
          <cell r="AC68">
            <v>600.4</v>
          </cell>
          <cell r="AO68">
            <v>13366.850000000002</v>
          </cell>
          <cell r="AP68">
            <v>15160.83</v>
          </cell>
          <cell r="AQ68">
            <v>16557.11</v>
          </cell>
          <cell r="AR68">
            <v>17101.320000000003</v>
          </cell>
          <cell r="AS68">
            <v>51169.409999999996</v>
          </cell>
          <cell r="AT68">
            <v>35183.450000000004</v>
          </cell>
          <cell r="AU68">
            <v>81171.300000000017</v>
          </cell>
          <cell r="AV68">
            <v>51377.83</v>
          </cell>
          <cell r="AW68">
            <v>27792.190000000002</v>
          </cell>
          <cell r="AX68">
            <v>15017.859999999999</v>
          </cell>
          <cell r="AY68">
            <v>5840.3600000000006</v>
          </cell>
          <cell r="AZ68">
            <v>4326.51</v>
          </cell>
          <cell r="BA68">
            <v>3231.78</v>
          </cell>
          <cell r="BB68">
            <v>7168.05</v>
          </cell>
          <cell r="BC68">
            <v>3340.55</v>
          </cell>
          <cell r="BD68">
            <v>14141.9</v>
          </cell>
          <cell r="BK68">
            <v>379495.70000000007</v>
          </cell>
        </row>
        <row r="69">
          <cell r="Q69">
            <v>39462.550000000003</v>
          </cell>
          <cell r="R69">
            <v>67019.180000000022</v>
          </cell>
          <cell r="S69">
            <v>214713.46999999997</v>
          </cell>
          <cell r="T69">
            <v>125529.95999999998</v>
          </cell>
          <cell r="U69">
            <v>20632.750000000004</v>
          </cell>
          <cell r="V69">
            <v>27283.05</v>
          </cell>
          <cell r="W69">
            <v>6234.23</v>
          </cell>
          <cell r="X69">
            <v>1771.68</v>
          </cell>
          <cell r="Y69">
            <v>-6110.49</v>
          </cell>
          <cell r="BK69">
            <v>496536.37999999995</v>
          </cell>
        </row>
        <row r="70">
          <cell r="S70">
            <v>1560.19</v>
          </cell>
          <cell r="T70">
            <v>13466.210000000001</v>
          </cell>
          <cell r="U70">
            <v>2297.33</v>
          </cell>
          <cell r="V70">
            <v>41.58</v>
          </cell>
          <cell r="W70">
            <v>2500.44</v>
          </cell>
          <cell r="X70">
            <v>429</v>
          </cell>
          <cell r="Y70">
            <v>328.5</v>
          </cell>
          <cell r="AA70">
            <v>680.24</v>
          </cell>
          <cell r="AC70">
            <v>52220.170000000006</v>
          </cell>
          <cell r="AD70">
            <v>123597.65000000002</v>
          </cell>
          <cell r="AE70">
            <v>78001.63</v>
          </cell>
          <cell r="AF70">
            <v>30998.75</v>
          </cell>
          <cell r="AG70">
            <v>109706.82</v>
          </cell>
          <cell r="AH70">
            <v>50783.580000000009</v>
          </cell>
          <cell r="AI70">
            <v>33592.149999999994</v>
          </cell>
          <cell r="AJ70">
            <v>4813.22</v>
          </cell>
          <cell r="AO70">
            <v>-7657.2100000000009</v>
          </cell>
          <cell r="AQ70">
            <v>-441.37</v>
          </cell>
          <cell r="BK70">
            <v>496918.88000000006</v>
          </cell>
        </row>
        <row r="71">
          <cell r="S71">
            <v>3331.17</v>
          </cell>
          <cell r="T71">
            <v>141670.65000000002</v>
          </cell>
          <cell r="U71">
            <v>63765.770000000011</v>
          </cell>
          <cell r="V71">
            <v>64022.37</v>
          </cell>
          <cell r="W71">
            <v>48082.079999999994</v>
          </cell>
          <cell r="X71">
            <v>91516.34</v>
          </cell>
          <cell r="Y71">
            <v>100455.75000000001</v>
          </cell>
          <cell r="Z71">
            <v>280957.73000000004</v>
          </cell>
          <cell r="AA71">
            <v>-7437.97</v>
          </cell>
          <cell r="BK71">
            <v>786363.89000000013</v>
          </cell>
        </row>
        <row r="72">
          <cell r="AA72">
            <v>40872.47</v>
          </cell>
          <cell r="AB72">
            <v>286.11</v>
          </cell>
          <cell r="AC72">
            <v>-560.44000000000005</v>
          </cell>
          <cell r="AD72">
            <v>284.19</v>
          </cell>
          <cell r="AE72">
            <v>10.220000000000001</v>
          </cell>
          <cell r="AF72">
            <v>16.36</v>
          </cell>
          <cell r="BK72">
            <v>40908.910000000003</v>
          </cell>
        </row>
        <row r="73">
          <cell r="AA73">
            <v>10414.65</v>
          </cell>
          <cell r="AB73">
            <v>72.91</v>
          </cell>
          <cell r="AC73">
            <v>36.71</v>
          </cell>
          <cell r="AD73">
            <v>73.67</v>
          </cell>
          <cell r="AE73">
            <v>2.65</v>
          </cell>
          <cell r="AF73">
            <v>2.12</v>
          </cell>
          <cell r="AN73">
            <v>5.3</v>
          </cell>
          <cell r="AO73">
            <v>24049.56</v>
          </cell>
          <cell r="AP73">
            <v>12983.890000000001</v>
          </cell>
          <cell r="AQ73">
            <v>103343.97</v>
          </cell>
          <cell r="AR73">
            <v>83334.06</v>
          </cell>
          <cell r="AS73">
            <v>43694.469999999994</v>
          </cell>
          <cell r="AT73">
            <v>2212.33</v>
          </cell>
          <cell r="AU73">
            <v>3350.51</v>
          </cell>
          <cell r="AV73">
            <v>260</v>
          </cell>
          <cell r="AW73">
            <v>50639.210000000006</v>
          </cell>
          <cell r="AX73">
            <v>36235.08</v>
          </cell>
          <cell r="BK73">
            <v>370711.09</v>
          </cell>
        </row>
        <row r="74">
          <cell r="T74">
            <v>24272.579999999998</v>
          </cell>
          <cell r="U74">
            <v>2444.54</v>
          </cell>
          <cell r="X74">
            <v>-340.06</v>
          </cell>
          <cell r="AB74">
            <v>503.58</v>
          </cell>
          <cell r="AD74">
            <v>5252.94</v>
          </cell>
          <cell r="AE74">
            <v>39979.469999999994</v>
          </cell>
          <cell r="AF74">
            <v>27195.8</v>
          </cell>
          <cell r="AG74">
            <v>15808.47</v>
          </cell>
          <cell r="AH74">
            <v>31292.73</v>
          </cell>
          <cell r="AI74">
            <v>43395.6</v>
          </cell>
          <cell r="AJ74">
            <v>25293.219999999998</v>
          </cell>
          <cell r="AK74">
            <v>11339.960000000001</v>
          </cell>
          <cell r="AL74">
            <v>7906.42</v>
          </cell>
          <cell r="AO74">
            <v>-6066.96</v>
          </cell>
          <cell r="BK74">
            <v>228278.29</v>
          </cell>
        </row>
        <row r="75">
          <cell r="W75">
            <v>2525.1200000000003</v>
          </cell>
          <cell r="AA75">
            <v>5208.3900000000003</v>
          </cell>
          <cell r="AB75">
            <v>187.56</v>
          </cell>
          <cell r="BK75">
            <v>7921.0700000000006</v>
          </cell>
        </row>
        <row r="76">
          <cell r="AB76">
            <v>85.05</v>
          </cell>
          <cell r="AC76">
            <v>2505.08</v>
          </cell>
          <cell r="AD76">
            <v>18.14</v>
          </cell>
          <cell r="AE76">
            <v>512.92000000000007</v>
          </cell>
          <cell r="AF76">
            <v>1.25</v>
          </cell>
          <cell r="AG76">
            <v>1.25</v>
          </cell>
          <cell r="AH76">
            <v>1.25</v>
          </cell>
          <cell r="AI76">
            <v>0.94000000000000006</v>
          </cell>
          <cell r="AJ76">
            <v>27706.739999999998</v>
          </cell>
          <cell r="AK76">
            <v>60469.270000000004</v>
          </cell>
          <cell r="AL76">
            <v>121562.95999999999</v>
          </cell>
          <cell r="AM76">
            <v>3067.38</v>
          </cell>
          <cell r="BF76">
            <v>863.96</v>
          </cell>
          <cell r="BK76">
            <v>216796.18999999997</v>
          </cell>
        </row>
        <row r="77">
          <cell r="P77">
            <v>31660.15</v>
          </cell>
          <cell r="Q77">
            <v>128809.59000000003</v>
          </cell>
          <cell r="R77">
            <v>176390.80000000002</v>
          </cell>
          <cell r="S77">
            <v>23643.149999999998</v>
          </cell>
          <cell r="T77">
            <v>4967.95</v>
          </cell>
          <cell r="U77">
            <v>698.13</v>
          </cell>
          <cell r="W77">
            <v>115.46000000000001</v>
          </cell>
          <cell r="X77">
            <v>-5387.33</v>
          </cell>
          <cell r="AG77">
            <v>-23.73</v>
          </cell>
          <cell r="BK77">
            <v>360874.1700000001</v>
          </cell>
        </row>
        <row r="78">
          <cell r="R78">
            <v>70545.460000000006</v>
          </cell>
          <cell r="S78">
            <v>76378.98000000001</v>
          </cell>
          <cell r="T78">
            <v>136061.56</v>
          </cell>
          <cell r="U78">
            <v>77720.61</v>
          </cell>
          <cell r="V78">
            <v>35807.450000000004</v>
          </cell>
          <cell r="W78">
            <v>34520.489999999991</v>
          </cell>
          <cell r="X78">
            <v>101600.89999999998</v>
          </cell>
          <cell r="Y78">
            <v>51705.439999999995</v>
          </cell>
          <cell r="Z78">
            <v>116697.65000000001</v>
          </cell>
          <cell r="AI78">
            <v>5259.0300000000007</v>
          </cell>
          <cell r="BK78">
            <v>706297.57</v>
          </cell>
        </row>
        <row r="79">
          <cell r="P79">
            <v>30433.030000000002</v>
          </cell>
          <cell r="Q79">
            <v>98722.99</v>
          </cell>
          <cell r="R79">
            <v>191915.05</v>
          </cell>
          <cell r="S79">
            <v>137169.76</v>
          </cell>
          <cell r="T79">
            <v>136004.72</v>
          </cell>
          <cell r="U79">
            <v>35216.86</v>
          </cell>
          <cell r="V79">
            <v>2471.6</v>
          </cell>
          <cell r="W79">
            <v>19521.68</v>
          </cell>
          <cell r="X79">
            <v>1250.92</v>
          </cell>
          <cell r="Y79">
            <v>2143.2400000000002</v>
          </cell>
          <cell r="Z79">
            <v>3225.2900000000004</v>
          </cell>
          <cell r="AA79">
            <v>-29.46</v>
          </cell>
          <cell r="AG79">
            <v>-16578.989999999998</v>
          </cell>
          <cell r="BK79">
            <v>641466.69000000018</v>
          </cell>
        </row>
        <row r="80">
          <cell r="S80">
            <v>40311.62000000001</v>
          </cell>
          <cell r="T80">
            <v>58557.32</v>
          </cell>
          <cell r="U80">
            <v>97083.520000000004</v>
          </cell>
          <cell r="V80">
            <v>67898.490000000005</v>
          </cell>
          <cell r="W80">
            <v>75149.37000000001</v>
          </cell>
          <cell r="X80">
            <v>142725.5</v>
          </cell>
          <cell r="Y80">
            <v>86581.35</v>
          </cell>
          <cell r="Z80">
            <v>320239.71000000002</v>
          </cell>
          <cell r="AA80">
            <v>-21405.82</v>
          </cell>
          <cell r="BK80">
            <v>867141.06000000017</v>
          </cell>
        </row>
        <row r="81">
          <cell r="P81">
            <v>26772.400000000001</v>
          </cell>
          <cell r="Q81">
            <v>8188.3900000000012</v>
          </cell>
          <cell r="R81">
            <v>66617.62000000001</v>
          </cell>
          <cell r="S81">
            <v>135653.01</v>
          </cell>
          <cell r="T81">
            <v>110287.99000000002</v>
          </cell>
          <cell r="U81">
            <v>85016.8</v>
          </cell>
          <cell r="V81">
            <v>41683.199999999997</v>
          </cell>
          <cell r="W81">
            <v>41043.31</v>
          </cell>
          <cell r="X81">
            <v>25748.9</v>
          </cell>
          <cell r="Y81">
            <v>34279</v>
          </cell>
          <cell r="Z81">
            <v>228.26</v>
          </cell>
          <cell r="AG81">
            <v>-2218.5100000000002</v>
          </cell>
          <cell r="BK81">
            <v>573300.37</v>
          </cell>
        </row>
        <row r="82">
          <cell r="W82">
            <v>13933.490000000002</v>
          </cell>
          <cell r="X82">
            <v>25.08</v>
          </cell>
          <cell r="Y82">
            <v>46.07</v>
          </cell>
          <cell r="Z82">
            <v>128.80000000000001</v>
          </cell>
          <cell r="AA82">
            <v>21293.050000000003</v>
          </cell>
          <cell r="AB82">
            <v>247.99</v>
          </cell>
          <cell r="AC82">
            <v>124.86</v>
          </cell>
          <cell r="AD82">
            <v>250.6</v>
          </cell>
          <cell r="AE82">
            <v>18.02</v>
          </cell>
          <cell r="AN82">
            <v>18.03</v>
          </cell>
          <cell r="AO82">
            <v>923.31999999999994</v>
          </cell>
          <cell r="AP82">
            <v>18.5</v>
          </cell>
          <cell r="AQ82">
            <v>33.33</v>
          </cell>
          <cell r="AR82">
            <v>48.180000000000007</v>
          </cell>
          <cell r="AS82">
            <v>70.509999999999991</v>
          </cell>
          <cell r="AT82">
            <v>71937.14</v>
          </cell>
          <cell r="AU82">
            <v>101428.98999999999</v>
          </cell>
          <cell r="AV82">
            <v>116327.03000000001</v>
          </cell>
          <cell r="AW82">
            <v>127439.64</v>
          </cell>
          <cell r="AX82">
            <v>477667.53</v>
          </cell>
          <cell r="AY82">
            <v>2810.3</v>
          </cell>
          <cell r="AZ82">
            <v>61663.02</v>
          </cell>
          <cell r="BA82">
            <v>65515.759999999995</v>
          </cell>
          <cell r="BB82">
            <v>-3077.1299999999997</v>
          </cell>
          <cell r="BC82">
            <v>5352.8</v>
          </cell>
          <cell r="BD82">
            <v>9052.89</v>
          </cell>
          <cell r="BE82">
            <v>30281.87</v>
          </cell>
          <cell r="BF82">
            <v>41020.6</v>
          </cell>
          <cell r="BG82">
            <v>2703.58</v>
          </cell>
          <cell r="BK82">
            <v>1147303.8500000003</v>
          </cell>
        </row>
        <row r="83">
          <cell r="W83">
            <v>42.39</v>
          </cell>
          <cell r="AA83">
            <v>4251.7</v>
          </cell>
          <cell r="AB83">
            <v>213.4</v>
          </cell>
          <cell r="AC83">
            <v>3948.33</v>
          </cell>
          <cell r="AE83">
            <v>10534.809999999998</v>
          </cell>
          <cell r="AF83">
            <v>78694.09</v>
          </cell>
          <cell r="AG83">
            <v>52329.380000000005</v>
          </cell>
          <cell r="AH83">
            <v>67840.83</v>
          </cell>
          <cell r="AI83">
            <v>28032.75</v>
          </cell>
          <cell r="AJ83">
            <v>7233.34</v>
          </cell>
          <cell r="AK83">
            <v>1133.3399999999999</v>
          </cell>
          <cell r="AL83">
            <v>6223.33</v>
          </cell>
          <cell r="AM83">
            <v>360</v>
          </cell>
          <cell r="AN83">
            <v>10782.380000000001</v>
          </cell>
          <cell r="BK83">
            <v>271620.06999999995</v>
          </cell>
        </row>
        <row r="84">
          <cell r="W84">
            <v>56.56</v>
          </cell>
          <cell r="AA84">
            <v>2916.7000000000003</v>
          </cell>
          <cell r="AR84">
            <v>3.8600000000000003</v>
          </cell>
          <cell r="AS84">
            <v>5.66</v>
          </cell>
          <cell r="AT84">
            <v>5.37</v>
          </cell>
          <cell r="AU84">
            <v>5.3800000000000008</v>
          </cell>
          <cell r="AV84">
            <v>4.49</v>
          </cell>
          <cell r="AW84">
            <v>3.3</v>
          </cell>
          <cell r="AX84">
            <v>6555.14</v>
          </cell>
          <cell r="AY84">
            <v>19387.52</v>
          </cell>
          <cell r="AZ84">
            <v>11430.71</v>
          </cell>
          <cell r="BA84">
            <v>137426.97</v>
          </cell>
          <cell r="BB84">
            <v>3168.53</v>
          </cell>
          <cell r="BC84">
            <v>280</v>
          </cell>
          <cell r="BF84">
            <v>420</v>
          </cell>
          <cell r="BH84">
            <v>20</v>
          </cell>
          <cell r="BK84">
            <v>181690.19</v>
          </cell>
        </row>
        <row r="85">
          <cell r="AB85">
            <v>1120.1000000000001</v>
          </cell>
          <cell r="AC85">
            <v>40927.01</v>
          </cell>
          <cell r="AD85">
            <v>66103.37999999999</v>
          </cell>
          <cell r="AE85">
            <v>35263.629999999997</v>
          </cell>
          <cell r="AF85">
            <v>230.22000000000003</v>
          </cell>
          <cell r="AG85">
            <v>13934.07</v>
          </cell>
          <cell r="AH85">
            <v>1440.19</v>
          </cell>
          <cell r="BK85">
            <v>159018.6</v>
          </cell>
        </row>
        <row r="86">
          <cell r="W86">
            <v>223.81</v>
          </cell>
          <cell r="AA86">
            <v>9955.1799999999985</v>
          </cell>
          <cell r="AO86">
            <v>246.97</v>
          </cell>
          <cell r="AP86">
            <v>16417.55</v>
          </cell>
          <cell r="AQ86">
            <v>59088.07</v>
          </cell>
          <cell r="AR86">
            <v>93122.06</v>
          </cell>
          <cell r="AS86">
            <v>54992.21</v>
          </cell>
          <cell r="AT86">
            <v>28450.6</v>
          </cell>
          <cell r="AU86">
            <v>79386.23</v>
          </cell>
          <cell r="AV86">
            <v>10.209999999999837</v>
          </cell>
          <cell r="AW86">
            <v>40039.269999999997</v>
          </cell>
          <cell r="AX86">
            <v>42382.71</v>
          </cell>
          <cell r="AY86">
            <v>0</v>
          </cell>
          <cell r="BK86">
            <v>424314.87</v>
          </cell>
        </row>
        <row r="87">
          <cell r="W87">
            <v>224.03</v>
          </cell>
          <cell r="AA87">
            <v>6905.6100000000006</v>
          </cell>
          <cell r="AO87">
            <v>105.39000000000001</v>
          </cell>
          <cell r="AP87">
            <v>1580.2</v>
          </cell>
          <cell r="AQ87">
            <v>24372.950000000004</v>
          </cell>
          <cell r="AR87">
            <v>41582.160000000003</v>
          </cell>
          <cell r="AS87">
            <v>10015.65</v>
          </cell>
          <cell r="AT87">
            <v>10877.4</v>
          </cell>
          <cell r="AU87">
            <v>47954.700000000004</v>
          </cell>
          <cell r="AV87">
            <v>3465.35</v>
          </cell>
          <cell r="AW87">
            <v>14433.570000000002</v>
          </cell>
          <cell r="AX87">
            <v>13036.36</v>
          </cell>
          <cell r="BK87">
            <v>174553.37</v>
          </cell>
        </row>
        <row r="88">
          <cell r="W88">
            <v>2355.21</v>
          </cell>
          <cell r="AA88">
            <v>4042.09</v>
          </cell>
          <cell r="AB88">
            <v>250.92000000000002</v>
          </cell>
          <cell r="AC88">
            <v>3155.14</v>
          </cell>
          <cell r="AI88">
            <v>2728.32</v>
          </cell>
          <cell r="AJ88">
            <v>48196.680000000008</v>
          </cell>
          <cell r="AK88">
            <v>42154.540000000008</v>
          </cell>
          <cell r="AL88">
            <v>18063.920000000002</v>
          </cell>
          <cell r="AM88">
            <v>11369.48</v>
          </cell>
          <cell r="AN88">
            <v>7875.3399999999992</v>
          </cell>
          <cell r="AO88">
            <v>5646.3600000000006</v>
          </cell>
          <cell r="AP88">
            <v>11267.75</v>
          </cell>
          <cell r="AW88">
            <v>33242.399999999994</v>
          </cell>
          <cell r="AX88">
            <v>21339.09</v>
          </cell>
          <cell r="BK88">
            <v>211687.24</v>
          </cell>
        </row>
        <row r="89">
          <cell r="AA89">
            <v>18811.919999999998</v>
          </cell>
          <cell r="AB89">
            <v>879.65</v>
          </cell>
          <cell r="AC89">
            <v>12713.61</v>
          </cell>
          <cell r="AD89">
            <v>17483.309999999998</v>
          </cell>
          <cell r="AE89">
            <v>71144.66</v>
          </cell>
          <cell r="AF89">
            <v>70659.420000000013</v>
          </cell>
          <cell r="AG89">
            <v>67915.650000000009</v>
          </cell>
          <cell r="AH89">
            <v>51173.96</v>
          </cell>
          <cell r="AI89">
            <v>45152.18</v>
          </cell>
          <cell r="AJ89">
            <v>9186.0600000000013</v>
          </cell>
          <cell r="AK89">
            <v>6976.9599999999991</v>
          </cell>
          <cell r="BK89">
            <v>372097.38000000006</v>
          </cell>
        </row>
        <row r="90">
          <cell r="T90">
            <v>1488.2</v>
          </cell>
          <cell r="U90">
            <v>4.3100000000000005</v>
          </cell>
          <cell r="V90">
            <v>3.58</v>
          </cell>
          <cell r="W90">
            <v>515.77</v>
          </cell>
          <cell r="X90">
            <v>3.62</v>
          </cell>
          <cell r="Y90">
            <v>6.65</v>
          </cell>
          <cell r="Z90">
            <v>-2012.72</v>
          </cell>
          <cell r="AA90">
            <v>3885.2400000000007</v>
          </cell>
          <cell r="AB90">
            <v>-3886.4500000000003</v>
          </cell>
          <cell r="AC90">
            <v>-8.17</v>
          </cell>
          <cell r="AD90">
            <v>-0.03</v>
          </cell>
          <cell r="BK90">
            <v>2.7292057502847911E-13</v>
          </cell>
        </row>
        <row r="91">
          <cell r="S91">
            <v>5027.25</v>
          </cell>
          <cell r="T91">
            <v>16.080000000000002</v>
          </cell>
          <cell r="U91">
            <v>14.620000000000001</v>
          </cell>
          <cell r="V91">
            <v>745.77</v>
          </cell>
          <cell r="W91">
            <v>25685.5</v>
          </cell>
          <cell r="X91">
            <v>12338.94</v>
          </cell>
          <cell r="Y91">
            <v>169.92999999999998</v>
          </cell>
          <cell r="Z91">
            <v>1750.77</v>
          </cell>
          <cell r="AB91">
            <v>5047.71</v>
          </cell>
          <cell r="BK91">
            <v>50796.57</v>
          </cell>
        </row>
        <row r="92">
          <cell r="T92">
            <v>5365.53</v>
          </cell>
          <cell r="U92">
            <v>1253.2900000000002</v>
          </cell>
          <cell r="V92">
            <v>31293.24</v>
          </cell>
          <cell r="W92">
            <v>54618.62</v>
          </cell>
          <cell r="X92">
            <v>4896.3599999999997</v>
          </cell>
          <cell r="Y92">
            <v>-411.83000000000004</v>
          </cell>
          <cell r="Z92">
            <v>-488.26000000000005</v>
          </cell>
          <cell r="AA92">
            <v>-674.36</v>
          </cell>
          <cell r="AB92">
            <v>-2446.96</v>
          </cell>
          <cell r="AI92">
            <v>3116.1900000000005</v>
          </cell>
          <cell r="BK92">
            <v>96521.819999999992</v>
          </cell>
        </row>
        <row r="93">
          <cell r="S93">
            <v>12312.68</v>
          </cell>
          <cell r="T93">
            <v>109592.68999999999</v>
          </cell>
          <cell r="U93">
            <v>67949.209999999992</v>
          </cell>
          <cell r="V93">
            <v>16414.330000000005</v>
          </cell>
          <cell r="W93">
            <v>8546.2199999999993</v>
          </cell>
          <cell r="X93">
            <v>123.03</v>
          </cell>
          <cell r="Y93">
            <v>709.3</v>
          </cell>
          <cell r="Z93">
            <v>-2783.01</v>
          </cell>
          <cell r="AC93">
            <v>-21.36</v>
          </cell>
          <cell r="BK93">
            <v>212843.09</v>
          </cell>
        </row>
        <row r="94">
          <cell r="T94">
            <v>20843.160000000007</v>
          </cell>
          <cell r="U94">
            <v>85973.440000000002</v>
          </cell>
          <cell r="V94">
            <v>87570.469999999972</v>
          </cell>
          <cell r="W94">
            <v>87314.190000000017</v>
          </cell>
          <cell r="X94">
            <v>4329.4400000000005</v>
          </cell>
          <cell r="Y94">
            <v>2756.28</v>
          </cell>
          <cell r="Z94">
            <v>5447.35</v>
          </cell>
          <cell r="AA94">
            <v>6227.1500000000005</v>
          </cell>
          <cell r="AB94">
            <v>2103.23</v>
          </cell>
          <cell r="AC94">
            <v>-3023.5000000000005</v>
          </cell>
          <cell r="AJ94">
            <v>-4126.13</v>
          </cell>
          <cell r="BK94">
            <v>295415.08</v>
          </cell>
        </row>
        <row r="95">
          <cell r="S95">
            <v>14171.480000000001</v>
          </cell>
          <cell r="T95">
            <v>41204.429999999993</v>
          </cell>
          <cell r="U95">
            <v>43862.009999999995</v>
          </cell>
          <cell r="V95">
            <v>-3481.5900000000006</v>
          </cell>
          <cell r="W95">
            <v>2828.0700000000011</v>
          </cell>
          <cell r="X95">
            <v>1041.0800000000002</v>
          </cell>
          <cell r="Z95">
            <v>6462.72</v>
          </cell>
          <cell r="AA95">
            <v>6863.74</v>
          </cell>
          <cell r="AB95">
            <v>9312.7099999999991</v>
          </cell>
          <cell r="AC95">
            <v>-9204.17</v>
          </cell>
          <cell r="BK95">
            <v>113060.48</v>
          </cell>
        </row>
        <row r="96">
          <cell r="T96">
            <v>4814.53</v>
          </cell>
          <cell r="U96">
            <v>2076.15</v>
          </cell>
          <cell r="V96">
            <v>10352.1</v>
          </cell>
          <cell r="W96">
            <v>778.91</v>
          </cell>
          <cell r="AY96">
            <v>120.75</v>
          </cell>
          <cell r="AZ96">
            <v>100950.89000000001</v>
          </cell>
          <cell r="BA96">
            <v>349077.28999999992</v>
          </cell>
          <cell r="BB96">
            <v>-162693.63</v>
          </cell>
          <cell r="BC96">
            <v>1960.6800000000003</v>
          </cell>
          <cell r="BD96">
            <v>71596.09</v>
          </cell>
          <cell r="BE96">
            <v>1060.4099999999999</v>
          </cell>
          <cell r="BF96">
            <v>7116.14</v>
          </cell>
          <cell r="BG96">
            <v>12121.230000000001</v>
          </cell>
          <cell r="BK96">
            <v>399331.53999999986</v>
          </cell>
        </row>
        <row r="97">
          <cell r="T97">
            <v>34370.870000000003</v>
          </cell>
          <cell r="U97">
            <v>171.84</v>
          </cell>
          <cell r="V97">
            <v>-17445.919999999998</v>
          </cell>
          <cell r="AB97">
            <v>3139.56</v>
          </cell>
          <cell r="AC97">
            <v>204207.37000000002</v>
          </cell>
          <cell r="AD97">
            <v>131392.12000000002</v>
          </cell>
          <cell r="AE97">
            <v>24624.329999999998</v>
          </cell>
          <cell r="AF97">
            <v>12856.5</v>
          </cell>
          <cell r="AG97">
            <v>159.94000000000003</v>
          </cell>
          <cell r="AH97">
            <v>2214.13</v>
          </cell>
          <cell r="AI97">
            <v>8516.2899999999991</v>
          </cell>
          <cell r="AJ97">
            <v>0</v>
          </cell>
          <cell r="BK97">
            <v>404207.03000000009</v>
          </cell>
        </row>
        <row r="98">
          <cell r="AB98">
            <v>1295.17</v>
          </cell>
          <cell r="AC98">
            <v>17047.600000000002</v>
          </cell>
          <cell r="AD98">
            <v>7683.93</v>
          </cell>
          <cell r="AE98">
            <v>181820.48</v>
          </cell>
          <cell r="AF98">
            <v>90190.16</v>
          </cell>
          <cell r="AG98">
            <v>97753.680000000008</v>
          </cell>
          <cell r="AH98">
            <v>120301.46</v>
          </cell>
          <cell r="AI98">
            <v>61099.07</v>
          </cell>
          <cell r="AJ98">
            <v>69357.59</v>
          </cell>
          <cell r="AK98">
            <v>28215.570000000003</v>
          </cell>
          <cell r="AL98">
            <v>27537.040000000001</v>
          </cell>
          <cell r="AM98">
            <v>2090.1</v>
          </cell>
          <cell r="BK98">
            <v>704391.85</v>
          </cell>
        </row>
        <row r="99">
          <cell r="S99">
            <v>17815.830000000002</v>
          </cell>
          <cell r="T99">
            <v>11874.1</v>
          </cell>
          <cell r="U99">
            <v>2414.6200000000003</v>
          </cell>
          <cell r="V99">
            <v>1067</v>
          </cell>
          <cell r="W99">
            <v>1474.86</v>
          </cell>
          <cell r="Z99">
            <v>0</v>
          </cell>
          <cell r="AA99">
            <v>2443.4</v>
          </cell>
          <cell r="AC99">
            <v>8100.25</v>
          </cell>
          <cell r="BK99">
            <v>45190.060000000005</v>
          </cell>
        </row>
        <row r="100">
          <cell r="S100">
            <v>5697.630000000001</v>
          </cell>
          <cell r="T100">
            <v>8834.7999999999993</v>
          </cell>
          <cell r="U100">
            <v>1516.1100000000001</v>
          </cell>
          <cell r="W100">
            <v>1661.95</v>
          </cell>
          <cell r="AA100">
            <v>817.09</v>
          </cell>
          <cell r="AB100">
            <v>99.75</v>
          </cell>
          <cell r="AC100">
            <v>2021.95</v>
          </cell>
          <cell r="AD100">
            <v>8962.6099999999988</v>
          </cell>
          <cell r="AE100">
            <v>36259.089999999997</v>
          </cell>
          <cell r="AF100">
            <v>74815.399999999994</v>
          </cell>
          <cell r="AG100">
            <v>64650.200000000012</v>
          </cell>
          <cell r="AH100">
            <v>40125.79</v>
          </cell>
          <cell r="AI100">
            <v>20377.54</v>
          </cell>
          <cell r="AJ100">
            <v>8250.3100000000013</v>
          </cell>
          <cell r="AK100">
            <v>8025</v>
          </cell>
          <cell r="AL100">
            <v>8025</v>
          </cell>
          <cell r="AO100">
            <v>37431.26</v>
          </cell>
          <cell r="AP100">
            <v>102336.62000000002</v>
          </cell>
          <cell r="AQ100">
            <v>118628.96999999999</v>
          </cell>
          <cell r="AR100">
            <v>194643.77</v>
          </cell>
          <cell r="AS100">
            <v>22434.09</v>
          </cell>
          <cell r="AT100">
            <v>-2164.63</v>
          </cell>
          <cell r="AU100">
            <v>26.68</v>
          </cell>
          <cell r="AV100">
            <v>-656.38</v>
          </cell>
          <cell r="AW100">
            <v>-1937.8300000000002</v>
          </cell>
          <cell r="AZ100">
            <v>-330.31000000000006</v>
          </cell>
          <cell r="BK100">
            <v>760552.46000000008</v>
          </cell>
        </row>
        <row r="101">
          <cell r="Q101">
            <v>5790.17</v>
          </cell>
          <cell r="R101">
            <v>30350.720000000001</v>
          </cell>
          <cell r="S101">
            <v>1264.54</v>
          </cell>
          <cell r="T101">
            <v>5133.03</v>
          </cell>
          <cell r="U101">
            <v>122.87</v>
          </cell>
          <cell r="V101">
            <v>101.67999999999999</v>
          </cell>
          <cell r="W101">
            <v>4369.4500000000007</v>
          </cell>
          <cell r="X101">
            <v>-143.22</v>
          </cell>
          <cell r="BK101">
            <v>46989.240000000005</v>
          </cell>
        </row>
        <row r="102">
          <cell r="AB102">
            <v>326.35000000000002</v>
          </cell>
          <cell r="AC102">
            <v>10133.910000000002</v>
          </cell>
          <cell r="AD102">
            <v>73.22</v>
          </cell>
          <cell r="AE102">
            <v>2.63</v>
          </cell>
          <cell r="AF102">
            <v>2.11</v>
          </cell>
          <cell r="AN102">
            <v>5.2700000000000005</v>
          </cell>
          <cell r="AO102">
            <v>81.42</v>
          </cell>
          <cell r="AP102">
            <v>6403.8</v>
          </cell>
          <cell r="AQ102">
            <v>65308.580000000016</v>
          </cell>
          <cell r="AR102">
            <v>56765.159999999996</v>
          </cell>
          <cell r="AS102">
            <v>56670.5</v>
          </cell>
          <cell r="AT102">
            <v>91415.55</v>
          </cell>
          <cell r="AU102">
            <v>96781.789999999964</v>
          </cell>
          <cell r="AV102">
            <v>90219.299999999988</v>
          </cell>
          <cell r="AW102">
            <v>38644.19</v>
          </cell>
          <cell r="AX102">
            <v>-574.34999999999968</v>
          </cell>
          <cell r="AY102">
            <v>725.1</v>
          </cell>
          <cell r="AZ102">
            <v>-214.45</v>
          </cell>
          <cell r="BA102">
            <v>1079.75</v>
          </cell>
          <cell r="BC102">
            <v>1891.56</v>
          </cell>
          <cell r="BE102">
            <v>9894.0300000000007</v>
          </cell>
          <cell r="BK102">
            <v>525635.41999999993</v>
          </cell>
        </row>
        <row r="103">
          <cell r="AB103">
            <v>329.02000000000004</v>
          </cell>
          <cell r="AC103">
            <v>7159.26</v>
          </cell>
          <cell r="AD103">
            <v>13574.92</v>
          </cell>
          <cell r="AE103">
            <v>10.53</v>
          </cell>
          <cell r="AF103">
            <v>8.43</v>
          </cell>
          <cell r="AG103">
            <v>22.240000000000002</v>
          </cell>
          <cell r="AH103">
            <v>1686.0200000000002</v>
          </cell>
          <cell r="AI103">
            <v>42023.61</v>
          </cell>
          <cell r="AJ103">
            <v>65567.310000000012</v>
          </cell>
          <cell r="AK103">
            <v>82415.08</v>
          </cell>
          <cell r="AL103">
            <v>89562.59</v>
          </cell>
          <cell r="AM103">
            <v>5778.0699999999988</v>
          </cell>
          <cell r="AO103">
            <v>-1751.52</v>
          </cell>
          <cell r="AP103">
            <v>16157.189999999999</v>
          </cell>
          <cell r="AQ103">
            <v>173.61</v>
          </cell>
          <cell r="AT103">
            <v>2967.9</v>
          </cell>
          <cell r="AU103">
            <v>2151.1499999999996</v>
          </cell>
          <cell r="BK103">
            <v>327835.41000000003</v>
          </cell>
        </row>
        <row r="104">
          <cell r="T104">
            <v>10550.44</v>
          </cell>
          <cell r="U104">
            <v>30.6</v>
          </cell>
          <cell r="W104">
            <v>15048.460000000001</v>
          </cell>
          <cell r="AA104">
            <v>1247.19</v>
          </cell>
          <cell r="AN104">
            <v>13.44</v>
          </cell>
          <cell r="AO104">
            <v>13.450000000000001</v>
          </cell>
          <cell r="AP104">
            <v>13.450000000000001</v>
          </cell>
          <cell r="AQ104">
            <v>49643.93</v>
          </cell>
          <cell r="AR104">
            <v>72162.89</v>
          </cell>
          <cell r="AS104">
            <v>28995.54</v>
          </cell>
          <cell r="AT104">
            <v>202592.57</v>
          </cell>
          <cell r="AU104">
            <v>123350.64</v>
          </cell>
          <cell r="AV104">
            <v>250.60000000000002</v>
          </cell>
          <cell r="AW104">
            <v>7326.7199999999993</v>
          </cell>
          <cell r="AY104">
            <v>-27.29</v>
          </cell>
          <cell r="BD104">
            <v>-7093.9600000000009</v>
          </cell>
          <cell r="BK104">
            <v>504118.66999999993</v>
          </cell>
        </row>
        <row r="105">
          <cell r="AC105">
            <v>21293.46</v>
          </cell>
          <cell r="AD105">
            <v>70299.22</v>
          </cell>
          <cell r="AE105">
            <v>89053.07</v>
          </cell>
          <cell r="AF105">
            <v>164200.80000000002</v>
          </cell>
          <cell r="AG105">
            <v>54325.120000000003</v>
          </cell>
          <cell r="AH105">
            <v>24041.620000000003</v>
          </cell>
          <cell r="AI105">
            <v>19135.25</v>
          </cell>
          <cell r="BK105">
            <v>442348.54000000004</v>
          </cell>
        </row>
        <row r="106">
          <cell r="AD106">
            <v>3395.2400000000007</v>
          </cell>
          <cell r="AE106">
            <v>7356.7599999999984</v>
          </cell>
          <cell r="AF106">
            <v>50993.899999999994</v>
          </cell>
          <cell r="AG106">
            <v>7624.9400000000005</v>
          </cell>
          <cell r="AH106">
            <v>1383.92</v>
          </cell>
          <cell r="BK106">
            <v>70754.759999999995</v>
          </cell>
        </row>
        <row r="107">
          <cell r="AI107">
            <v>11996.72</v>
          </cell>
          <cell r="AJ107">
            <v>51932.28</v>
          </cell>
          <cell r="AK107">
            <v>8366.6400000000012</v>
          </cell>
          <cell r="AL107">
            <v>-31.82</v>
          </cell>
          <cell r="AN107">
            <v>281.39999999999998</v>
          </cell>
          <cell r="AR107">
            <v>10553.320000000002</v>
          </cell>
          <cell r="BK107">
            <v>83098.539999999994</v>
          </cell>
        </row>
        <row r="108">
          <cell r="AI108">
            <v>60860.82</v>
          </cell>
          <cell r="AJ108">
            <v>64213.280000000006</v>
          </cell>
          <cell r="AK108">
            <v>48381.459999999992</v>
          </cell>
          <cell r="AL108">
            <v>46122.559999999998</v>
          </cell>
          <cell r="AM108">
            <v>52.59</v>
          </cell>
          <cell r="AN108">
            <v>31165.57</v>
          </cell>
          <cell r="AO108">
            <v>559.80000000000007</v>
          </cell>
          <cell r="AP108">
            <v>22.9</v>
          </cell>
          <cell r="BK108">
            <v>251378.97999999998</v>
          </cell>
        </row>
        <row r="109">
          <cell r="AK109">
            <v>34552.200000000004</v>
          </cell>
          <cell r="AL109">
            <v>141597.11999999997</v>
          </cell>
          <cell r="AM109">
            <v>-5084.4000000000033</v>
          </cell>
          <cell r="AN109">
            <v>45394.130000000005</v>
          </cell>
          <cell r="AO109">
            <v>3973.650000000001</v>
          </cell>
          <cell r="AQ109">
            <v>43.89</v>
          </cell>
          <cell r="BK109">
            <v>220476.59</v>
          </cell>
        </row>
        <row r="110">
          <cell r="AK110">
            <v>447.99</v>
          </cell>
          <cell r="AL110">
            <v>29348.17</v>
          </cell>
          <cell r="AM110">
            <v>-4.54</v>
          </cell>
          <cell r="AP110">
            <v>16737.95</v>
          </cell>
          <cell r="BK110">
            <v>46529.57</v>
          </cell>
        </row>
        <row r="111">
          <cell r="AN111">
            <v>148.99</v>
          </cell>
          <cell r="AO111">
            <v>18922.13</v>
          </cell>
          <cell r="AP111">
            <v>17148.559999999998</v>
          </cell>
          <cell r="AQ111">
            <v>5483.76</v>
          </cell>
          <cell r="AR111">
            <v>2370.3199999999997</v>
          </cell>
          <cell r="AS111">
            <v>28245.899999999998</v>
          </cell>
          <cell r="AT111">
            <v>50631.46</v>
          </cell>
          <cell r="AU111">
            <v>71596.199999999983</v>
          </cell>
          <cell r="AV111">
            <v>37623.270000000004</v>
          </cell>
          <cell r="AW111">
            <v>32238.760000000002</v>
          </cell>
          <cell r="AX111">
            <v>16278.54</v>
          </cell>
          <cell r="AY111">
            <v>-3271.14</v>
          </cell>
          <cell r="AZ111">
            <v>3372.74</v>
          </cell>
          <cell r="BA111">
            <v>2775.61</v>
          </cell>
          <cell r="BB111">
            <v>8951.76</v>
          </cell>
          <cell r="BC111">
            <v>2890.48</v>
          </cell>
          <cell r="BD111">
            <v>6574.8</v>
          </cell>
          <cell r="BK111">
            <v>301982.1399999999</v>
          </cell>
        </row>
        <row r="112">
          <cell r="AN112">
            <v>482.94000000000005</v>
          </cell>
          <cell r="AO112">
            <v>4115.63</v>
          </cell>
          <cell r="AP112">
            <v>12460.509999999998</v>
          </cell>
          <cell r="AQ112">
            <v>53727.30000000001</v>
          </cell>
          <cell r="AR112">
            <v>34752.980000000003</v>
          </cell>
          <cell r="AS112">
            <v>57320.959999999999</v>
          </cell>
          <cell r="AT112">
            <v>7935.2600000000011</v>
          </cell>
          <cell r="AU112">
            <v>13791.739999999998</v>
          </cell>
          <cell r="AV112">
            <v>52303.240000000005</v>
          </cell>
          <cell r="AW112">
            <v>119114.77000000002</v>
          </cell>
          <cell r="AX112">
            <v>160262.35</v>
          </cell>
          <cell r="AY112">
            <v>58560.380000000005</v>
          </cell>
          <cell r="AZ112">
            <v>7111.8799999999992</v>
          </cell>
          <cell r="BA112">
            <v>2616.4100000000003</v>
          </cell>
          <cell r="BB112">
            <v>32815.54</v>
          </cell>
          <cell r="BC112">
            <v>3662.8700000000003</v>
          </cell>
          <cell r="BD112">
            <v>6477.97</v>
          </cell>
          <cell r="BE112">
            <v>1070.77</v>
          </cell>
          <cell r="BK112">
            <v>628583.50000000012</v>
          </cell>
        </row>
        <row r="113">
          <cell r="AN113">
            <v>12215.740000000002</v>
          </cell>
          <cell r="AO113">
            <v>32618.950000000004</v>
          </cell>
          <cell r="AP113">
            <v>34906.869999999995</v>
          </cell>
          <cell r="AQ113">
            <v>33521.56</v>
          </cell>
          <cell r="AR113">
            <v>45254.380000000005</v>
          </cell>
          <cell r="AS113">
            <v>13216.83</v>
          </cell>
          <cell r="AT113">
            <v>33034.080000000002</v>
          </cell>
          <cell r="AU113">
            <v>100766.68000000002</v>
          </cell>
          <cell r="AV113">
            <v>698.42000000000007</v>
          </cell>
          <cell r="AW113">
            <v>164.99</v>
          </cell>
          <cell r="BK113">
            <v>306398.49999999994</v>
          </cell>
        </row>
        <row r="114">
          <cell r="AN114">
            <v>3087.26</v>
          </cell>
          <cell r="AO114">
            <v>64162.359999999993</v>
          </cell>
          <cell r="AP114">
            <v>66801.12000000001</v>
          </cell>
          <cell r="AQ114">
            <v>81292.34</v>
          </cell>
          <cell r="AR114">
            <v>68012.59</v>
          </cell>
          <cell r="AS114">
            <v>526.37</v>
          </cell>
          <cell r="AT114">
            <v>69495.3</v>
          </cell>
          <cell r="AU114">
            <v>56720.520000000004</v>
          </cell>
          <cell r="AV114">
            <v>26092.879999999997</v>
          </cell>
          <cell r="AW114">
            <v>23476.74</v>
          </cell>
          <cell r="AX114">
            <v>230.14000000000001</v>
          </cell>
          <cell r="AY114">
            <v>-2617.4899999999998</v>
          </cell>
          <cell r="AZ114">
            <v>116.7999999999999</v>
          </cell>
          <cell r="BA114">
            <v>68.680000000000007</v>
          </cell>
          <cell r="BK114">
            <v>457465.61</v>
          </cell>
        </row>
        <row r="115">
          <cell r="AO115">
            <v>191.55</v>
          </cell>
          <cell r="AP115">
            <v>0.1</v>
          </cell>
          <cell r="AQ115">
            <v>61493.000000000007</v>
          </cell>
          <cell r="AR115">
            <v>55424.709999999992</v>
          </cell>
          <cell r="AS115">
            <v>211264.92</v>
          </cell>
          <cell r="AT115">
            <v>44229.83</v>
          </cell>
          <cell r="AU115">
            <v>102929.45999999999</v>
          </cell>
          <cell r="AV115">
            <v>1227.83</v>
          </cell>
          <cell r="AW115">
            <v>1884.75</v>
          </cell>
          <cell r="AX115">
            <v>589.87999999999988</v>
          </cell>
          <cell r="AZ115">
            <v>-285.41000000000003</v>
          </cell>
          <cell r="BB115">
            <v>-2280.8199999999997</v>
          </cell>
          <cell r="BK115">
            <v>476669.8000000001</v>
          </cell>
        </row>
        <row r="116">
          <cell r="AO116">
            <v>362.84</v>
          </cell>
          <cell r="AP116">
            <v>0.18</v>
          </cell>
          <cell r="AQ116">
            <v>0.33</v>
          </cell>
          <cell r="AR116">
            <v>1414.3200000000002</v>
          </cell>
          <cell r="AS116">
            <v>46610.75</v>
          </cell>
          <cell r="AT116">
            <v>6865.45</v>
          </cell>
          <cell r="AU116">
            <v>144230.74</v>
          </cell>
          <cell r="AV116">
            <v>66479.259999999995</v>
          </cell>
          <cell r="AW116">
            <v>24570.02</v>
          </cell>
          <cell r="AX116">
            <v>49906.429999999993</v>
          </cell>
          <cell r="AY116">
            <v>-0.01</v>
          </cell>
          <cell r="AZ116">
            <v>20.46</v>
          </cell>
          <cell r="BD116">
            <v>-6086.8</v>
          </cell>
          <cell r="BK116">
            <v>334373.97000000003</v>
          </cell>
        </row>
        <row r="117">
          <cell r="AO117">
            <v>124448.27000000002</v>
          </cell>
          <cell r="AP117">
            <v>55790.779999999992</v>
          </cell>
          <cell r="AQ117">
            <v>118623.16</v>
          </cell>
          <cell r="AR117">
            <v>167234.59000000003</v>
          </cell>
          <cell r="AS117">
            <v>98888.749999999971</v>
          </cell>
          <cell r="AT117">
            <v>103314.62</v>
          </cell>
          <cell r="AU117">
            <v>2362.61</v>
          </cell>
          <cell r="AY117">
            <v>422.49</v>
          </cell>
          <cell r="BK117">
            <v>671085.27</v>
          </cell>
        </row>
        <row r="118">
          <cell r="AO118">
            <v>1614.25</v>
          </cell>
          <cell r="AP118">
            <v>0.81</v>
          </cell>
          <cell r="AQ118">
            <v>1.45</v>
          </cell>
          <cell r="AR118">
            <v>2.1</v>
          </cell>
          <cell r="AS118">
            <v>3.08</v>
          </cell>
          <cell r="AT118">
            <v>55739.66</v>
          </cell>
          <cell r="AU118">
            <v>122022.26999999999</v>
          </cell>
          <cell r="AV118">
            <v>105894.77999999996</v>
          </cell>
          <cell r="AW118">
            <v>94831.78</v>
          </cell>
          <cell r="AX118">
            <v>104514.42</v>
          </cell>
          <cell r="AY118">
            <v>-5966.0199999999995</v>
          </cell>
          <cell r="AZ118">
            <v>393.39</v>
          </cell>
          <cell r="BB118">
            <v>0</v>
          </cell>
          <cell r="BK118">
            <v>479051.96999999991</v>
          </cell>
        </row>
        <row r="119">
          <cell r="AO119">
            <v>286.96000000000004</v>
          </cell>
          <cell r="AP119">
            <v>0.14000000000000001</v>
          </cell>
          <cell r="AQ119">
            <v>0.26</v>
          </cell>
          <cell r="AR119">
            <v>76638.98</v>
          </cell>
          <cell r="AS119">
            <v>148939.04999999999</v>
          </cell>
          <cell r="AT119">
            <v>234562.25999999998</v>
          </cell>
          <cell r="AU119">
            <v>300776.35000000009</v>
          </cell>
          <cell r="AV119">
            <v>-26674.750000000004</v>
          </cell>
          <cell r="AW119">
            <v>16622.97</v>
          </cell>
          <cell r="AX119">
            <v>63836.800000000003</v>
          </cell>
          <cell r="AY119">
            <v>0</v>
          </cell>
          <cell r="AZ119">
            <v>18325.29</v>
          </cell>
          <cell r="BB119">
            <v>-1244.6500000000001</v>
          </cell>
          <cell r="BD119">
            <v>212.17999999999998</v>
          </cell>
          <cell r="BK119">
            <v>832281.84000000008</v>
          </cell>
        </row>
        <row r="120">
          <cell r="AO120">
            <v>2143.0299999999997</v>
          </cell>
          <cell r="AP120">
            <v>53.92</v>
          </cell>
          <cell r="AQ120">
            <v>1.98</v>
          </cell>
          <cell r="AR120">
            <v>2.8600000000000003</v>
          </cell>
          <cell r="AS120">
            <v>4.18</v>
          </cell>
          <cell r="AT120">
            <v>3.9699999999999998</v>
          </cell>
          <cell r="AU120">
            <v>87859.23000000001</v>
          </cell>
          <cell r="AV120">
            <v>68533.2</v>
          </cell>
          <cell r="AW120">
            <v>106122.86</v>
          </cell>
          <cell r="AX120">
            <v>79986.649999999994</v>
          </cell>
          <cell r="AY120">
            <v>0</v>
          </cell>
          <cell r="AZ120">
            <v>-763.83</v>
          </cell>
          <cell r="BA120">
            <v>-10528.79</v>
          </cell>
          <cell r="BD120">
            <v>-1985.37</v>
          </cell>
          <cell r="BK120">
            <v>331433.89</v>
          </cell>
        </row>
        <row r="121">
          <cell r="AO121">
            <v>106.63000000000001</v>
          </cell>
          <cell r="AP121">
            <v>0.05</v>
          </cell>
          <cell r="AQ121">
            <v>0.09</v>
          </cell>
          <cell r="AR121">
            <v>0.13</v>
          </cell>
          <cell r="AS121">
            <v>22813.57</v>
          </cell>
          <cell r="AT121">
            <v>18805.280000000002</v>
          </cell>
          <cell r="AU121">
            <v>91027.09</v>
          </cell>
          <cell r="AV121">
            <v>49495.5</v>
          </cell>
          <cell r="AW121">
            <v>27169.51</v>
          </cell>
          <cell r="AX121">
            <v>55594.650000000009</v>
          </cell>
          <cell r="AZ121">
            <v>-264.63</v>
          </cell>
          <cell r="BA121">
            <v>-4167.16</v>
          </cell>
          <cell r="BD121">
            <v>-2133.5100000000002</v>
          </cell>
          <cell r="BK121">
            <v>258447.19999999998</v>
          </cell>
        </row>
        <row r="122">
          <cell r="AO122">
            <v>2112.83</v>
          </cell>
          <cell r="AP122">
            <v>53.17</v>
          </cell>
          <cell r="AQ122">
            <v>1.9500000000000002</v>
          </cell>
          <cell r="AR122">
            <v>21536.240000000002</v>
          </cell>
          <cell r="AS122">
            <v>82880.350000000006</v>
          </cell>
          <cell r="AT122">
            <v>40848.57</v>
          </cell>
          <cell r="AU122">
            <v>44293.37</v>
          </cell>
          <cell r="AV122">
            <v>34747.230000000003</v>
          </cell>
          <cell r="AW122">
            <v>34584.480000000003</v>
          </cell>
          <cell r="AX122">
            <v>17258.38</v>
          </cell>
          <cell r="AY122">
            <v>49191.760000000009</v>
          </cell>
          <cell r="AZ122">
            <v>10557.78</v>
          </cell>
          <cell r="BA122">
            <v>754.21</v>
          </cell>
          <cell r="BB122">
            <v>12329.910000000002</v>
          </cell>
          <cell r="BC122">
            <v>0</v>
          </cell>
          <cell r="BK122">
            <v>351150.23000000004</v>
          </cell>
        </row>
        <row r="123">
          <cell r="AO123">
            <v>18493.63</v>
          </cell>
          <cell r="AP123">
            <v>58655.37999999999</v>
          </cell>
          <cell r="AQ123">
            <v>72721.23</v>
          </cell>
          <cell r="AR123">
            <v>23089.43</v>
          </cell>
          <cell r="AS123">
            <v>24679.280000000002</v>
          </cell>
          <cell r="AT123">
            <v>42371.630000000005</v>
          </cell>
          <cell r="AU123">
            <v>42722.260000000009</v>
          </cell>
          <cell r="AV123">
            <v>52126.570000000007</v>
          </cell>
          <cell r="AW123">
            <v>6186.4</v>
          </cell>
          <cell r="AX123">
            <v>13514.99</v>
          </cell>
          <cell r="AZ123">
            <v>-534.58000000000004</v>
          </cell>
          <cell r="BB123">
            <v>5806.11</v>
          </cell>
          <cell r="BK123">
            <v>359832.32999999996</v>
          </cell>
        </row>
        <row r="124">
          <cell r="AO124">
            <v>3566.61</v>
          </cell>
          <cell r="AP124">
            <v>1382.63</v>
          </cell>
          <cell r="AQ124">
            <v>4.45</v>
          </cell>
          <cell r="AR124">
            <v>10342.34</v>
          </cell>
          <cell r="AS124">
            <v>9020.82</v>
          </cell>
          <cell r="AT124">
            <v>33149.570000000007</v>
          </cell>
          <cell r="AU124">
            <v>84806.77</v>
          </cell>
          <cell r="AV124">
            <v>72460.820000000022</v>
          </cell>
          <cell r="AW124">
            <v>82445.19</v>
          </cell>
          <cell r="AX124">
            <v>23444.080000000002</v>
          </cell>
          <cell r="AY124">
            <v>-4646.32</v>
          </cell>
          <cell r="AZ124">
            <v>-167.97</v>
          </cell>
          <cell r="BC124">
            <v>5997.54</v>
          </cell>
          <cell r="BD124">
            <v>954.14</v>
          </cell>
          <cell r="BK124">
            <v>322760.67000000004</v>
          </cell>
        </row>
        <row r="125">
          <cell r="AO125">
            <v>1628.4600000000003</v>
          </cell>
          <cell r="AP125">
            <v>38286.870000000003</v>
          </cell>
          <cell r="AQ125">
            <v>179941.78000000003</v>
          </cell>
          <cell r="AR125">
            <v>77944.77</v>
          </cell>
          <cell r="AS125">
            <v>12086.259999999998</v>
          </cell>
          <cell r="AT125">
            <v>68335.900000000009</v>
          </cell>
          <cell r="AU125">
            <v>52472.479999999989</v>
          </cell>
          <cell r="BK125">
            <v>430696.52000000008</v>
          </cell>
        </row>
        <row r="126">
          <cell r="AO126">
            <v>42321.44000000001</v>
          </cell>
          <cell r="AP126">
            <v>94200.39</v>
          </cell>
          <cell r="AQ126">
            <v>154597.36999999997</v>
          </cell>
          <cell r="AR126">
            <v>52270.87</v>
          </cell>
          <cell r="AS126">
            <v>43678.720000000001</v>
          </cell>
          <cell r="AT126">
            <v>17367.500000000004</v>
          </cell>
          <cell r="AU126">
            <v>42897.23</v>
          </cell>
          <cell r="BK126">
            <v>447333.5199999999</v>
          </cell>
        </row>
        <row r="127">
          <cell r="AO127">
            <v>1519.41</v>
          </cell>
          <cell r="AP127">
            <v>1136.05</v>
          </cell>
          <cell r="AQ127">
            <v>510.43</v>
          </cell>
          <cell r="AR127">
            <v>26298.2</v>
          </cell>
          <cell r="AS127">
            <v>22054.169999999995</v>
          </cell>
          <cell r="AT127">
            <v>167632.11999999997</v>
          </cell>
          <cell r="AU127">
            <v>63579.42</v>
          </cell>
          <cell r="AV127">
            <v>6044.37</v>
          </cell>
          <cell r="AW127">
            <v>2328.2199999999998</v>
          </cell>
          <cell r="AX127">
            <v>1666.04</v>
          </cell>
          <cell r="AY127">
            <v>0</v>
          </cell>
          <cell r="AZ127">
            <v>-437.02</v>
          </cell>
          <cell r="BD127">
            <v>-155.57999999999998</v>
          </cell>
          <cell r="BF127">
            <v>2500.41</v>
          </cell>
          <cell r="BK127">
            <v>294676.23999999982</v>
          </cell>
        </row>
        <row r="128">
          <cell r="AO128">
            <v>1448.6100000000001</v>
          </cell>
          <cell r="AP128">
            <v>57289.599999999999</v>
          </cell>
          <cell r="AQ128">
            <v>79585.119999999995</v>
          </cell>
          <cell r="AR128">
            <v>18771.650000000001</v>
          </cell>
          <cell r="AU128">
            <v>420.26</v>
          </cell>
          <cell r="BA128">
            <v>79669.100000000006</v>
          </cell>
          <cell r="BB128">
            <v>-101555.94000000002</v>
          </cell>
          <cell r="BC128">
            <v>1263.1000000000001</v>
          </cell>
          <cell r="BD128">
            <v>0</v>
          </cell>
          <cell r="BE128">
            <v>549.71</v>
          </cell>
          <cell r="BG128">
            <v>1289</v>
          </cell>
          <cell r="BK128">
            <v>138730.20999999996</v>
          </cell>
        </row>
        <row r="129">
          <cell r="AP129">
            <v>31.35</v>
          </cell>
          <cell r="AQ129">
            <v>0.03</v>
          </cell>
          <cell r="AR129">
            <v>0.04</v>
          </cell>
          <cell r="AS129">
            <v>4383.2899999999991</v>
          </cell>
          <cell r="AT129">
            <v>92964.76</v>
          </cell>
          <cell r="AU129">
            <v>123343.42000000001</v>
          </cell>
          <cell r="AV129">
            <v>20930.27</v>
          </cell>
          <cell r="AW129">
            <v>23228.93</v>
          </cell>
          <cell r="AX129">
            <v>6369.58</v>
          </cell>
          <cell r="AY129">
            <v>0</v>
          </cell>
          <cell r="AZ129">
            <v>-212.01</v>
          </cell>
          <cell r="BB129">
            <v>16.59</v>
          </cell>
          <cell r="BF129">
            <v>985.44</v>
          </cell>
          <cell r="BK129">
            <v>272041.69000000006</v>
          </cell>
        </row>
        <row r="130">
          <cell r="AQ130">
            <v>23212.369999999995</v>
          </cell>
          <cell r="AR130">
            <v>56638.87</v>
          </cell>
          <cell r="AS130">
            <v>65762.280000000013</v>
          </cell>
          <cell r="AT130">
            <v>60836.77</v>
          </cell>
          <cell r="AU130">
            <v>43846.039999999994</v>
          </cell>
          <cell r="AV130">
            <v>45925.96</v>
          </cell>
          <cell r="AW130">
            <v>20655.350000000006</v>
          </cell>
          <cell r="AX130">
            <v>5001.68</v>
          </cell>
          <cell r="AY130">
            <v>52988.880000000005</v>
          </cell>
          <cell r="AZ130">
            <v>-147.01</v>
          </cell>
          <cell r="BG130">
            <v>676.82999999999993</v>
          </cell>
          <cell r="BK130">
            <v>375398.02</v>
          </cell>
        </row>
        <row r="131">
          <cell r="AR131">
            <v>25050.189999999995</v>
          </cell>
          <cell r="AS131">
            <v>28885.949999999997</v>
          </cell>
          <cell r="AT131">
            <v>10051.44</v>
          </cell>
          <cell r="AU131">
            <v>101794.27999999998</v>
          </cell>
          <cell r="AV131">
            <v>8444.7899999999991</v>
          </cell>
          <cell r="AW131">
            <v>13883.930000000002</v>
          </cell>
          <cell r="AX131">
            <v>18772.22</v>
          </cell>
          <cell r="AY131">
            <v>0</v>
          </cell>
          <cell r="BD131">
            <v>-3609.61</v>
          </cell>
          <cell r="BK131">
            <v>203273.19</v>
          </cell>
        </row>
        <row r="132">
          <cell r="AR132">
            <v>55673.530000000006</v>
          </cell>
          <cell r="AS132">
            <v>49918.049999999988</v>
          </cell>
          <cell r="AT132">
            <v>55776.11</v>
          </cell>
          <cell r="AU132">
            <v>84343.92</v>
          </cell>
          <cell r="AV132">
            <v>1252.1300000000001</v>
          </cell>
          <cell r="AW132">
            <v>5315.85</v>
          </cell>
          <cell r="AX132">
            <v>9407.7400000000016</v>
          </cell>
          <cell r="AY132">
            <v>0</v>
          </cell>
          <cell r="BD132">
            <v>-1512.34</v>
          </cell>
          <cell r="BK132">
            <v>260174.99</v>
          </cell>
        </row>
        <row r="133">
          <cell r="AR133">
            <v>486.35000000000008</v>
          </cell>
          <cell r="AS133">
            <v>573.74</v>
          </cell>
          <cell r="AT133">
            <v>17800.61</v>
          </cell>
          <cell r="AU133">
            <v>19076.82</v>
          </cell>
          <cell r="AV133">
            <v>80735.56</v>
          </cell>
          <cell r="AW133">
            <v>40406.959999999999</v>
          </cell>
          <cell r="AX133">
            <v>63968.930000000008</v>
          </cell>
          <cell r="AY133">
            <v>0.05</v>
          </cell>
          <cell r="BB133">
            <v>6786.79</v>
          </cell>
          <cell r="BK133">
            <v>229835.81000000003</v>
          </cell>
        </row>
        <row r="134">
          <cell r="AS134">
            <v>27.52</v>
          </cell>
          <cell r="AT134">
            <v>31538.05</v>
          </cell>
          <cell r="AU134">
            <v>131698.38</v>
          </cell>
          <cell r="AV134">
            <v>84146</v>
          </cell>
          <cell r="AW134">
            <v>25640.769999999997</v>
          </cell>
          <cell r="AX134">
            <v>98958.550000000017</v>
          </cell>
          <cell r="AY134">
            <v>2500.75</v>
          </cell>
          <cell r="AZ134">
            <v>509.16999999999996</v>
          </cell>
          <cell r="BB134">
            <v>1742.27</v>
          </cell>
          <cell r="BC134">
            <v>7066.66</v>
          </cell>
          <cell r="BF134">
            <v>-4622.05</v>
          </cell>
          <cell r="BH134">
            <v>-1966.4</v>
          </cell>
          <cell r="BJ134">
            <v>0</v>
          </cell>
          <cell r="BK134">
            <v>377239.67</v>
          </cell>
        </row>
        <row r="135">
          <cell r="AS135">
            <v>10263.43</v>
          </cell>
          <cell r="AT135">
            <v>16198.180000000002</v>
          </cell>
          <cell r="AU135">
            <v>78323.039999999994</v>
          </cell>
          <cell r="AV135">
            <v>3544.26</v>
          </cell>
          <cell r="AW135">
            <v>5642.7300000000005</v>
          </cell>
          <cell r="AX135">
            <v>11104.800000000001</v>
          </cell>
          <cell r="AY135">
            <v>0.01</v>
          </cell>
          <cell r="AZ135">
            <v>384.18000000000006</v>
          </cell>
          <cell r="BA135">
            <v>153.99</v>
          </cell>
          <cell r="BK135">
            <v>125614.61999999998</v>
          </cell>
        </row>
        <row r="136">
          <cell r="AU136">
            <v>201280.26999999996</v>
          </cell>
          <cell r="AV136">
            <v>132168.76</v>
          </cell>
          <cell r="AW136">
            <v>21908.920000000002</v>
          </cell>
          <cell r="AX136">
            <v>31259.340000000004</v>
          </cell>
          <cell r="AY136">
            <v>-13177.650000000001</v>
          </cell>
          <cell r="AZ136">
            <v>25789.940000000002</v>
          </cell>
          <cell r="BA136">
            <v>256.39</v>
          </cell>
          <cell r="BB136">
            <v>-844.04</v>
          </cell>
          <cell r="BK136">
            <v>398641.93</v>
          </cell>
        </row>
        <row r="137">
          <cell r="AX137">
            <v>1701.14</v>
          </cell>
          <cell r="AY137">
            <v>969.18</v>
          </cell>
          <cell r="AZ137">
            <v>4009.71</v>
          </cell>
          <cell r="BA137">
            <v>39.409999999999997</v>
          </cell>
          <cell r="BB137">
            <v>37040.560000000005</v>
          </cell>
          <cell r="BC137">
            <v>18493.34</v>
          </cell>
          <cell r="BD137">
            <v>99306.299999999988</v>
          </cell>
          <cell r="BE137">
            <v>0</v>
          </cell>
          <cell r="BF137">
            <v>19576.66</v>
          </cell>
          <cell r="BG137">
            <v>22475.5</v>
          </cell>
          <cell r="BH137">
            <v>981.13</v>
          </cell>
          <cell r="BI137">
            <v>3907.2400000000002</v>
          </cell>
          <cell r="BJ137">
            <v>2497.73</v>
          </cell>
          <cell r="BK137">
            <v>210997.90000000002</v>
          </cell>
        </row>
        <row r="138">
          <cell r="AY138">
            <v>3051.1099999999997</v>
          </cell>
          <cell r="AZ138">
            <v>31043.39</v>
          </cell>
          <cell r="BA138">
            <v>51090.650000000009</v>
          </cell>
          <cell r="BB138">
            <v>182826.30000000005</v>
          </cell>
          <cell r="BC138">
            <v>130581.70999999999</v>
          </cell>
          <cell r="BD138">
            <v>149528.50999999998</v>
          </cell>
          <cell r="BE138">
            <v>13561.44</v>
          </cell>
          <cell r="BF138">
            <v>3201.8700000000003</v>
          </cell>
          <cell r="BG138">
            <v>9489.1999999999989</v>
          </cell>
          <cell r="BI138">
            <v>11703.66</v>
          </cell>
          <cell r="BK138">
            <v>586077.84</v>
          </cell>
        </row>
        <row r="139">
          <cell r="AY139">
            <v>6669.6600000000008</v>
          </cell>
          <cell r="AZ139">
            <v>1309.2999999999997</v>
          </cell>
          <cell r="BA139">
            <v>2352</v>
          </cell>
          <cell r="BB139">
            <v>37295.15</v>
          </cell>
          <cell r="BC139">
            <v>654.84</v>
          </cell>
          <cell r="BD139">
            <v>1318.43</v>
          </cell>
          <cell r="BE139">
            <v>2889.5099999999998</v>
          </cell>
          <cell r="BG139">
            <v>488.78</v>
          </cell>
          <cell r="BI139">
            <v>-530.69000000000005</v>
          </cell>
          <cell r="BJ139">
            <v>283.08000000000004</v>
          </cell>
          <cell r="BK139">
            <v>52730.06</v>
          </cell>
        </row>
        <row r="140">
          <cell r="AY140">
            <v>3440.03</v>
          </cell>
          <cell r="AZ140">
            <v>30266.989999999998</v>
          </cell>
          <cell r="BA140">
            <v>1670.43</v>
          </cell>
          <cell r="BB140">
            <v>56681.37000000001</v>
          </cell>
          <cell r="BC140">
            <v>134443.86000000002</v>
          </cell>
          <cell r="BD140">
            <v>69157.600000000006</v>
          </cell>
          <cell r="BE140">
            <v>13995.830000000005</v>
          </cell>
          <cell r="BF140">
            <v>18355.419999999998</v>
          </cell>
          <cell r="BG140">
            <v>42688.6</v>
          </cell>
          <cell r="BH140">
            <v>0</v>
          </cell>
          <cell r="BJ140">
            <v>1583.0900000000001</v>
          </cell>
          <cell r="BK140">
            <v>372283.22000000003</v>
          </cell>
        </row>
        <row r="141">
          <cell r="AY141">
            <v>35534.57</v>
          </cell>
          <cell r="AZ141">
            <v>3695.1799999999994</v>
          </cell>
          <cell r="BA141">
            <v>4391.2700000000004</v>
          </cell>
          <cell r="BB141">
            <v>-34472.69</v>
          </cell>
          <cell r="BC141">
            <v>-6748.5200000000023</v>
          </cell>
          <cell r="BG141">
            <v>32333.950000000004</v>
          </cell>
          <cell r="BH141">
            <v>28228.810000000005</v>
          </cell>
          <cell r="BI141">
            <v>56933.98</v>
          </cell>
          <cell r="BJ141">
            <v>7432.4600000000009</v>
          </cell>
          <cell r="BK141">
            <v>127329.01000000002</v>
          </cell>
        </row>
        <row r="142">
          <cell r="AY142">
            <v>5143.3899999999994</v>
          </cell>
          <cell r="AZ142">
            <v>26537.579999999998</v>
          </cell>
          <cell r="BA142">
            <v>165388.23000000004</v>
          </cell>
          <cell r="BB142">
            <v>-101100.22000000002</v>
          </cell>
          <cell r="BC142">
            <v>-8816.64</v>
          </cell>
          <cell r="BD142">
            <v>12123.35</v>
          </cell>
          <cell r="BE142">
            <v>0</v>
          </cell>
          <cell r="BK142">
            <v>99275.690000000031</v>
          </cell>
        </row>
        <row r="143">
          <cell r="AZ143">
            <v>1258.5600000000002</v>
          </cell>
          <cell r="BA143">
            <v>138543.62</v>
          </cell>
          <cell r="BB143">
            <v>51338.770000000004</v>
          </cell>
          <cell r="BC143">
            <v>83353.36</v>
          </cell>
          <cell r="BD143">
            <v>124914.69</v>
          </cell>
          <cell r="BE143">
            <v>2.0000000004074536E-2</v>
          </cell>
          <cell r="BF143">
            <v>572.96</v>
          </cell>
          <cell r="BG143">
            <v>1205.5999999999999</v>
          </cell>
          <cell r="BJ143">
            <v>9872.2599999999984</v>
          </cell>
          <cell r="BK143">
            <v>411059.84</v>
          </cell>
        </row>
        <row r="144">
          <cell r="AZ144">
            <v>41255.51</v>
          </cell>
          <cell r="BA144">
            <v>12072.77</v>
          </cell>
          <cell r="BB144">
            <v>271.20999999999992</v>
          </cell>
          <cell r="BC144">
            <v>8183.5800000000017</v>
          </cell>
          <cell r="BE144">
            <v>1119.99</v>
          </cell>
          <cell r="BG144">
            <v>2523.23</v>
          </cell>
          <cell r="BK144">
            <v>65426.29</v>
          </cell>
        </row>
        <row r="145">
          <cell r="AZ145">
            <v>44904.72</v>
          </cell>
          <cell r="BA145">
            <v>218435.58</v>
          </cell>
          <cell r="BB145">
            <v>19231.63</v>
          </cell>
          <cell r="BC145">
            <v>22637.809999999998</v>
          </cell>
          <cell r="BD145">
            <v>1473.3200000000004</v>
          </cell>
          <cell r="BE145">
            <v>9833.119999999999</v>
          </cell>
          <cell r="BF145">
            <v>1081.47</v>
          </cell>
          <cell r="BG145">
            <v>6830.75</v>
          </cell>
          <cell r="BK145">
            <v>324428.39999999997</v>
          </cell>
        </row>
        <row r="146">
          <cell r="AZ146">
            <v>11216.460000000003</v>
          </cell>
          <cell r="BA146">
            <v>226915.35</v>
          </cell>
          <cell r="BB146">
            <v>6952.8799999999992</v>
          </cell>
          <cell r="BC146">
            <v>10132.5</v>
          </cell>
          <cell r="BD146">
            <v>5669.5300000000007</v>
          </cell>
          <cell r="BE146">
            <v>36011.01</v>
          </cell>
          <cell r="BF146">
            <v>15107.61</v>
          </cell>
          <cell r="BG146">
            <v>199947.80000000002</v>
          </cell>
          <cell r="BH146">
            <v>16669.219999999998</v>
          </cell>
          <cell r="BI146">
            <v>1478.3799999999999</v>
          </cell>
          <cell r="BJ146">
            <v>47016.83</v>
          </cell>
          <cell r="BK146">
            <v>577117.56999999995</v>
          </cell>
        </row>
        <row r="147">
          <cell r="AZ147">
            <v>6222.12</v>
          </cell>
          <cell r="BA147">
            <v>72614.75999999998</v>
          </cell>
          <cell r="BB147">
            <v>43673.340000000018</v>
          </cell>
          <cell r="BC147">
            <v>79768.249999999971</v>
          </cell>
          <cell r="BD147">
            <v>109855.69</v>
          </cell>
          <cell r="BE147">
            <v>22616.04</v>
          </cell>
          <cell r="BF147">
            <v>49610.330000000009</v>
          </cell>
          <cell r="BG147">
            <v>84395.889999999985</v>
          </cell>
          <cell r="BH147">
            <v>26692.100000000002</v>
          </cell>
          <cell r="BI147">
            <v>42351.78</v>
          </cell>
          <cell r="BJ147">
            <v>335.26</v>
          </cell>
          <cell r="BK147">
            <v>538135.55999999994</v>
          </cell>
        </row>
        <row r="148">
          <cell r="AZ148">
            <v>52757.669999999984</v>
          </cell>
          <cell r="BA148">
            <v>182122.31</v>
          </cell>
          <cell r="BB148">
            <v>69231.899999999994</v>
          </cell>
          <cell r="BC148">
            <v>337110.45999999996</v>
          </cell>
          <cell r="BD148">
            <v>146552.98000000001</v>
          </cell>
          <cell r="BE148">
            <v>14617.939999999991</v>
          </cell>
          <cell r="BF148">
            <v>1791.9899999999998</v>
          </cell>
          <cell r="BH148">
            <v>2352.2800000000002</v>
          </cell>
          <cell r="BI148">
            <v>39.720000000000006</v>
          </cell>
          <cell r="BJ148">
            <v>1976.11</v>
          </cell>
          <cell r="BK148">
            <v>808553.35999999987</v>
          </cell>
        </row>
        <row r="149">
          <cell r="AZ149">
            <v>39387.929999999993</v>
          </cell>
          <cell r="BA149">
            <v>235373.07000000004</v>
          </cell>
          <cell r="BB149">
            <v>70183.150000000009</v>
          </cell>
          <cell r="BC149">
            <v>70958.23000000001</v>
          </cell>
          <cell r="BD149">
            <v>33523.600000000006</v>
          </cell>
          <cell r="BE149">
            <v>84852.560000000012</v>
          </cell>
          <cell r="BF149">
            <v>98108.030000000013</v>
          </cell>
          <cell r="BG149">
            <v>40943.810000000005</v>
          </cell>
          <cell r="BH149">
            <v>32282.14</v>
          </cell>
          <cell r="BI149">
            <v>33057.47</v>
          </cell>
          <cell r="BJ149">
            <v>17746.590000000004</v>
          </cell>
          <cell r="BK149">
            <v>756416.58000000007</v>
          </cell>
        </row>
        <row r="150">
          <cell r="AZ150">
            <v>12296.189999999999</v>
          </cell>
          <cell r="BA150">
            <v>420.35999999999996</v>
          </cell>
          <cell r="BB150">
            <v>75.03</v>
          </cell>
          <cell r="BC150">
            <v>74.19</v>
          </cell>
          <cell r="BD150">
            <v>75.47</v>
          </cell>
          <cell r="BE150">
            <v>79.3</v>
          </cell>
          <cell r="BF150">
            <v>75.47</v>
          </cell>
          <cell r="BG150">
            <v>75.47</v>
          </cell>
          <cell r="BH150">
            <v>4299.5999999999995</v>
          </cell>
          <cell r="BI150">
            <v>37180.93</v>
          </cell>
          <cell r="BJ150">
            <v>72233.99000000002</v>
          </cell>
          <cell r="BK150">
            <v>126886.00000000001</v>
          </cell>
        </row>
        <row r="151">
          <cell r="AZ151">
            <v>43882.770000000004</v>
          </cell>
          <cell r="BA151">
            <v>52494.27</v>
          </cell>
          <cell r="BB151">
            <v>7630.2</v>
          </cell>
          <cell r="BC151">
            <v>56665.07</v>
          </cell>
          <cell r="BD151">
            <v>129408.10999999999</v>
          </cell>
          <cell r="BE151">
            <v>33587.219999999987</v>
          </cell>
          <cell r="BF151">
            <v>191461.11000000002</v>
          </cell>
          <cell r="BG151">
            <v>154016.82999999999</v>
          </cell>
          <cell r="BH151">
            <v>68120.78</v>
          </cell>
          <cell r="BI151">
            <v>110970.62000000001</v>
          </cell>
          <cell r="BJ151">
            <v>58842.239999999998</v>
          </cell>
          <cell r="BK151">
            <v>907079.22</v>
          </cell>
        </row>
        <row r="152">
          <cell r="AZ152">
            <v>66990.240000000005</v>
          </cell>
          <cell r="BA152">
            <v>238818.62999999998</v>
          </cell>
          <cell r="BB152">
            <v>40453.899999999994</v>
          </cell>
          <cell r="BC152">
            <v>136323.75</v>
          </cell>
          <cell r="BD152">
            <v>93966.98</v>
          </cell>
          <cell r="BE152">
            <v>8617.9400000000023</v>
          </cell>
          <cell r="BF152">
            <v>36433.69</v>
          </cell>
          <cell r="BG152">
            <v>7003.13</v>
          </cell>
          <cell r="BH152">
            <v>426.45000000000027</v>
          </cell>
          <cell r="BK152">
            <v>629034.70999999985</v>
          </cell>
        </row>
        <row r="153">
          <cell r="AZ153">
            <v>43217.86</v>
          </cell>
          <cell r="BA153">
            <v>4518.1299999999974</v>
          </cell>
          <cell r="BB153">
            <v>281.64</v>
          </cell>
          <cell r="BC153">
            <v>2658.32</v>
          </cell>
          <cell r="BD153">
            <v>9561.1</v>
          </cell>
          <cell r="BE153">
            <v>14377.079999999998</v>
          </cell>
          <cell r="BF153">
            <v>52150.599999999991</v>
          </cell>
          <cell r="BG153">
            <v>148204.97</v>
          </cell>
          <cell r="BH153">
            <v>73331.090000000011</v>
          </cell>
          <cell r="BI153">
            <v>155196.10000000003</v>
          </cell>
          <cell r="BJ153">
            <v>4477.4299999999994</v>
          </cell>
          <cell r="BK153">
            <v>507974.32</v>
          </cell>
        </row>
        <row r="154">
          <cell r="AZ154">
            <v>6519.92</v>
          </cell>
          <cell r="BA154">
            <v>48430.91</v>
          </cell>
          <cell r="BB154">
            <v>39533.560000000005</v>
          </cell>
          <cell r="BC154">
            <v>74700.290000000008</v>
          </cell>
          <cell r="BD154">
            <v>86264.94</v>
          </cell>
          <cell r="BE154">
            <v>10950.309999999994</v>
          </cell>
          <cell r="BF154">
            <v>49964.51</v>
          </cell>
          <cell r="BG154">
            <v>26570.550000000003</v>
          </cell>
          <cell r="BH154">
            <v>20457.620000000003</v>
          </cell>
          <cell r="BI154">
            <v>616.68000000000006</v>
          </cell>
          <cell r="BJ154">
            <v>895.56000000000006</v>
          </cell>
          <cell r="BK154">
            <v>364904.85</v>
          </cell>
        </row>
        <row r="155">
          <cell r="BA155">
            <v>74237.63</v>
          </cell>
          <cell r="BB155">
            <v>77815.809999999983</v>
          </cell>
          <cell r="BC155">
            <v>64340.259999999995</v>
          </cell>
          <cell r="BD155">
            <v>102206.90999999999</v>
          </cell>
          <cell r="BE155">
            <v>79932.25</v>
          </cell>
          <cell r="BF155">
            <v>208089.69999999998</v>
          </cell>
          <cell r="BG155">
            <v>134992.73000000004</v>
          </cell>
          <cell r="BH155">
            <v>142936.66999999998</v>
          </cell>
          <cell r="BI155">
            <v>108703.10000000002</v>
          </cell>
          <cell r="BJ155">
            <v>168880.23</v>
          </cell>
          <cell r="BK155">
            <v>1162135.29</v>
          </cell>
        </row>
        <row r="156">
          <cell r="BA156">
            <v>44972.34</v>
          </cell>
          <cell r="BB156">
            <v>10190.510000000002</v>
          </cell>
          <cell r="BC156">
            <v>66856.479999999996</v>
          </cell>
          <cell r="BD156">
            <v>43208.840000000004</v>
          </cell>
          <cell r="BE156">
            <v>-42788.950000000004</v>
          </cell>
          <cell r="BF156">
            <v>909.91000000000008</v>
          </cell>
          <cell r="BG156">
            <v>24961.089999999993</v>
          </cell>
          <cell r="BH156">
            <v>35453.08</v>
          </cell>
          <cell r="BI156">
            <v>39762.480000000003</v>
          </cell>
          <cell r="BJ156">
            <v>264776.08</v>
          </cell>
          <cell r="BK156">
            <v>488301.86</v>
          </cell>
        </row>
        <row r="157">
          <cell r="BA157">
            <v>19939.77</v>
          </cell>
          <cell r="BB157">
            <v>352.97</v>
          </cell>
          <cell r="BC157">
            <v>16111.63</v>
          </cell>
          <cell r="BD157">
            <v>101987.76000000001</v>
          </cell>
          <cell r="BE157">
            <v>61054.420000000013</v>
          </cell>
          <cell r="BF157">
            <v>77532.52</v>
          </cell>
          <cell r="BG157">
            <v>73097.290000000008</v>
          </cell>
          <cell r="BK157">
            <v>350076.36</v>
          </cell>
        </row>
        <row r="158">
          <cell r="BA158">
            <v>8536.7200000000012</v>
          </cell>
          <cell r="BB158">
            <v>12324.970000000001</v>
          </cell>
          <cell r="BC158">
            <v>31392.029999999995</v>
          </cell>
          <cell r="BD158">
            <v>206475.49000000005</v>
          </cell>
          <cell r="BE158">
            <v>59310.239999999998</v>
          </cell>
          <cell r="BF158">
            <v>8048.2200000000012</v>
          </cell>
          <cell r="BG158">
            <v>105745.58000000002</v>
          </cell>
          <cell r="BH158">
            <v>15964.73</v>
          </cell>
          <cell r="BI158">
            <v>65393.279999999999</v>
          </cell>
          <cell r="BJ158">
            <v>12655.14</v>
          </cell>
          <cell r="BK158">
            <v>525846.4</v>
          </cell>
        </row>
        <row r="159">
          <cell r="BA159">
            <v>81984.000000000015</v>
          </cell>
          <cell r="BB159">
            <v>8231.6</v>
          </cell>
          <cell r="BC159">
            <v>32090.39</v>
          </cell>
          <cell r="BD159">
            <v>42805.68</v>
          </cell>
          <cell r="BE159">
            <v>0</v>
          </cell>
          <cell r="BK159">
            <v>165111.67000000001</v>
          </cell>
        </row>
        <row r="160">
          <cell r="BA160">
            <v>133749.49999999997</v>
          </cell>
          <cell r="BB160">
            <v>63269.049999999996</v>
          </cell>
          <cell r="BC160">
            <v>142399.50999999998</v>
          </cell>
          <cell r="BD160">
            <v>225365.59999999998</v>
          </cell>
          <cell r="BE160">
            <v>37191.040000000008</v>
          </cell>
          <cell r="BF160">
            <v>9459.17</v>
          </cell>
          <cell r="BG160">
            <v>13016.440000000002</v>
          </cell>
          <cell r="BK160">
            <v>624450.31000000006</v>
          </cell>
        </row>
        <row r="161">
          <cell r="BA161">
            <v>109997.75</v>
          </cell>
          <cell r="BB161">
            <v>21057.420000000002</v>
          </cell>
          <cell r="BC161">
            <v>-1683.1700000000003</v>
          </cell>
          <cell r="BE161">
            <v>3875.02</v>
          </cell>
          <cell r="BK161">
            <v>133247.01999999999</v>
          </cell>
        </row>
        <row r="162">
          <cell r="BB162">
            <v>33404.32</v>
          </cell>
          <cell r="BC162">
            <v>129718.5</v>
          </cell>
          <cell r="BD162">
            <v>23584.829999999998</v>
          </cell>
          <cell r="BE162">
            <v>28487.09</v>
          </cell>
          <cell r="BF162">
            <v>104182.36000000002</v>
          </cell>
          <cell r="BG162">
            <v>52542.270000000004</v>
          </cell>
          <cell r="BH162">
            <v>14.450000000000291</v>
          </cell>
          <cell r="BI162">
            <v>2981.8900000000003</v>
          </cell>
          <cell r="BJ162">
            <v>2410.79</v>
          </cell>
          <cell r="BK162">
            <v>377326.5</v>
          </cell>
        </row>
        <row r="163">
          <cell r="BB163">
            <v>4524.33</v>
          </cell>
          <cell r="BC163">
            <v>65668.960000000006</v>
          </cell>
          <cell r="BD163">
            <v>271472.79000000004</v>
          </cell>
          <cell r="BE163">
            <v>168068.56999999992</v>
          </cell>
          <cell r="BF163">
            <v>104797.65999999999</v>
          </cell>
          <cell r="BG163">
            <v>87713.150000000009</v>
          </cell>
          <cell r="BH163">
            <v>0</v>
          </cell>
          <cell r="BI163">
            <v>5069.7300000000005</v>
          </cell>
          <cell r="BJ163">
            <v>27779.13</v>
          </cell>
          <cell r="BK163">
            <v>735094.32000000007</v>
          </cell>
        </row>
        <row r="164">
          <cell r="BB164">
            <v>54640.700000000004</v>
          </cell>
          <cell r="BC164">
            <v>38509.880000000005</v>
          </cell>
          <cell r="BD164">
            <v>263555.26</v>
          </cell>
          <cell r="BE164">
            <v>116860.22000000002</v>
          </cell>
          <cell r="BF164">
            <v>48325.849999999991</v>
          </cell>
          <cell r="BG164">
            <v>128028.58</v>
          </cell>
          <cell r="BH164">
            <v>0</v>
          </cell>
          <cell r="BI164">
            <v>10358.780000000001</v>
          </cell>
          <cell r="BK164">
            <v>660279.27</v>
          </cell>
        </row>
        <row r="165">
          <cell r="BB165">
            <v>131614.61999999997</v>
          </cell>
          <cell r="BC165">
            <v>16103.19</v>
          </cell>
          <cell r="BK165">
            <v>147717.80999999997</v>
          </cell>
        </row>
        <row r="166">
          <cell r="BC166">
            <v>25327.040000000001</v>
          </cell>
          <cell r="BD166">
            <v>77961.12000000001</v>
          </cell>
          <cell r="BE166">
            <v>25865.889999999996</v>
          </cell>
          <cell r="BF166">
            <v>41352.320000000007</v>
          </cell>
          <cell r="BG166">
            <v>77495.649999999994</v>
          </cell>
          <cell r="BH166">
            <v>30190.01</v>
          </cell>
          <cell r="BI166">
            <v>371.8</v>
          </cell>
          <cell r="BJ166">
            <v>1477.69</v>
          </cell>
          <cell r="BK166">
            <v>280041.51999999996</v>
          </cell>
        </row>
        <row r="167">
          <cell r="BC167">
            <v>3461.8299999999995</v>
          </cell>
          <cell r="BD167">
            <v>20.37</v>
          </cell>
          <cell r="BE167">
            <v>21.4</v>
          </cell>
          <cell r="BF167">
            <v>4137.1100000000006</v>
          </cell>
          <cell r="BG167">
            <v>44.59</v>
          </cell>
          <cell r="BH167">
            <v>11656.990000000002</v>
          </cell>
          <cell r="BI167">
            <v>42405.240000000005</v>
          </cell>
          <cell r="BJ167">
            <v>330004.82</v>
          </cell>
          <cell r="BK167">
            <v>391752.35000000003</v>
          </cell>
        </row>
        <row r="168">
          <cell r="BC168">
            <v>29164.620000000003</v>
          </cell>
          <cell r="BD168">
            <v>128738.20999999999</v>
          </cell>
          <cell r="BE168">
            <v>12688.410000000002</v>
          </cell>
          <cell r="BF168">
            <v>1319.01</v>
          </cell>
          <cell r="BG168">
            <v>65342.720000000001</v>
          </cell>
          <cell r="BH168">
            <v>1760.5500000000002</v>
          </cell>
          <cell r="BI168">
            <v>15755.33</v>
          </cell>
          <cell r="BJ168">
            <v>29693.15</v>
          </cell>
          <cell r="BK168">
            <v>284462</v>
          </cell>
        </row>
        <row r="169">
          <cell r="BC169">
            <v>28721.489999999998</v>
          </cell>
          <cell r="BD169">
            <v>55112.920000000013</v>
          </cell>
          <cell r="BE169">
            <v>35589.770000000011</v>
          </cell>
          <cell r="BF169">
            <v>121185.67</v>
          </cell>
          <cell r="BG169">
            <v>92525.119999999995</v>
          </cell>
          <cell r="BH169">
            <v>-3924.6800000000003</v>
          </cell>
          <cell r="BI169">
            <v>22894.829999999998</v>
          </cell>
          <cell r="BK169">
            <v>352105.12000000005</v>
          </cell>
        </row>
        <row r="170">
          <cell r="BD170">
            <v>10210.43</v>
          </cell>
          <cell r="BE170">
            <v>63.110000000000582</v>
          </cell>
          <cell r="BF170">
            <v>21691.759999999998</v>
          </cell>
          <cell r="BG170">
            <v>83126.81</v>
          </cell>
          <cell r="BH170">
            <v>346.52999999999952</v>
          </cell>
          <cell r="BI170">
            <v>52553.859999999993</v>
          </cell>
          <cell r="BJ170">
            <v>91951.470000000016</v>
          </cell>
          <cell r="BK170">
            <v>259943.97000000003</v>
          </cell>
        </row>
        <row r="171">
          <cell r="BD171">
            <v>10477.26</v>
          </cell>
          <cell r="BE171">
            <v>3987.17</v>
          </cell>
          <cell r="BF171">
            <v>84.710000000000008</v>
          </cell>
          <cell r="BG171">
            <v>17060.22</v>
          </cell>
          <cell r="BH171">
            <v>50366.18</v>
          </cell>
          <cell r="BI171">
            <v>77683.16</v>
          </cell>
          <cell r="BJ171">
            <v>101219.86000000003</v>
          </cell>
          <cell r="BK171">
            <v>260878.56000000006</v>
          </cell>
        </row>
        <row r="172">
          <cell r="BD172">
            <v>15264.220000000001</v>
          </cell>
          <cell r="BE172">
            <v>21073.82</v>
          </cell>
          <cell r="BF172">
            <v>56256.02</v>
          </cell>
          <cell r="BG172">
            <v>103460.12999999999</v>
          </cell>
          <cell r="BH172">
            <v>11400.449999999997</v>
          </cell>
          <cell r="BI172">
            <v>25376.05</v>
          </cell>
          <cell r="BJ172">
            <v>5029.5</v>
          </cell>
          <cell r="BK172">
            <v>237860.19</v>
          </cell>
        </row>
        <row r="173">
          <cell r="BD173">
            <v>22941.319999999996</v>
          </cell>
          <cell r="BE173">
            <v>141.82</v>
          </cell>
          <cell r="BF173">
            <v>134.96</v>
          </cell>
          <cell r="BG173">
            <v>59081.109999999993</v>
          </cell>
          <cell r="BH173">
            <v>64833.350000000006</v>
          </cell>
          <cell r="BI173">
            <v>72457.300000000017</v>
          </cell>
          <cell r="BJ173">
            <v>104130.47</v>
          </cell>
          <cell r="BK173">
            <v>323720.33</v>
          </cell>
        </row>
        <row r="174">
          <cell r="BD174">
            <v>9754.1400000000012</v>
          </cell>
          <cell r="BE174">
            <v>18845.04</v>
          </cell>
          <cell r="BF174">
            <v>15622.069999999998</v>
          </cell>
          <cell r="BG174">
            <v>123964.72</v>
          </cell>
          <cell r="BH174">
            <v>30260.61</v>
          </cell>
          <cell r="BI174">
            <v>25592.3</v>
          </cell>
          <cell r="BJ174">
            <v>9229.3299999999981</v>
          </cell>
          <cell r="BK174">
            <v>233268.21</v>
          </cell>
        </row>
        <row r="175">
          <cell r="BE175">
            <v>59022.37999999999</v>
          </cell>
          <cell r="BF175">
            <v>64746.130000000005</v>
          </cell>
          <cell r="BG175">
            <v>144073.24000000002</v>
          </cell>
          <cell r="BH175">
            <v>166548.01999999999</v>
          </cell>
          <cell r="BI175">
            <v>186317.82</v>
          </cell>
          <cell r="BJ175">
            <v>152052.60999999999</v>
          </cell>
          <cell r="BK175">
            <v>772760.20000000007</v>
          </cell>
        </row>
        <row r="176">
          <cell r="BE176">
            <v>52322.240000000005</v>
          </cell>
          <cell r="BF176">
            <v>49989.070000000014</v>
          </cell>
          <cell r="BG176">
            <v>325402.23</v>
          </cell>
          <cell r="BH176">
            <v>31770.720000000016</v>
          </cell>
          <cell r="BI176">
            <v>14952.35</v>
          </cell>
          <cell r="BJ176">
            <v>51752.800000000003</v>
          </cell>
          <cell r="BK176">
            <v>526189.41</v>
          </cell>
        </row>
        <row r="177">
          <cell r="BE177">
            <v>3790.7400000000002</v>
          </cell>
          <cell r="BF177">
            <v>43291.360000000001</v>
          </cell>
          <cell r="BG177">
            <v>86270.690000000017</v>
          </cell>
          <cell r="BH177">
            <v>78123.440000000017</v>
          </cell>
          <cell r="BI177">
            <v>189414.78999999998</v>
          </cell>
          <cell r="BJ177">
            <v>242976.2</v>
          </cell>
          <cell r="BK177">
            <v>643867.22</v>
          </cell>
        </row>
        <row r="178">
          <cell r="BF178">
            <v>8229.19</v>
          </cell>
          <cell r="BG178">
            <v>5918.9299999999994</v>
          </cell>
          <cell r="BH178">
            <v>20755.349999999999</v>
          </cell>
          <cell r="BI178">
            <v>6543.7000000000007</v>
          </cell>
          <cell r="BJ178">
            <v>2275.4300000000003</v>
          </cell>
          <cell r="BK178">
            <v>43722.6</v>
          </cell>
        </row>
        <row r="179">
          <cell r="BG179">
            <v>225558.58</v>
          </cell>
          <cell r="BH179">
            <v>128867.78</v>
          </cell>
          <cell r="BI179">
            <v>61084.98000000001</v>
          </cell>
          <cell r="BJ179">
            <v>4879.4299999999994</v>
          </cell>
          <cell r="BK179">
            <v>420390.76999999996</v>
          </cell>
        </row>
        <row r="180">
          <cell r="BG180">
            <v>53763.64</v>
          </cell>
          <cell r="BH180">
            <v>138126.76</v>
          </cell>
          <cell r="BI180">
            <v>217004.86999999997</v>
          </cell>
          <cell r="BJ180">
            <v>48891.960000000006</v>
          </cell>
          <cell r="BK180">
            <v>457787.23000000004</v>
          </cell>
        </row>
        <row r="181">
          <cell r="BH181">
            <v>22501.850000000002</v>
          </cell>
          <cell r="BI181">
            <v>45670.2</v>
          </cell>
          <cell r="BJ181">
            <v>48454.43</v>
          </cell>
          <cell r="BK181">
            <v>116626.48000000001</v>
          </cell>
        </row>
        <row r="182">
          <cell r="G182">
            <v>117409.84</v>
          </cell>
          <cell r="H182">
            <v>284477.37</v>
          </cell>
          <cell r="I182">
            <v>1097213.75</v>
          </cell>
          <cell r="J182">
            <v>807564.62999999989</v>
          </cell>
          <cell r="K182">
            <v>1067237.1799999997</v>
          </cell>
          <cell r="L182">
            <v>2072110.1</v>
          </cell>
          <cell r="M182">
            <v>1727656.98</v>
          </cell>
          <cell r="N182">
            <v>3627989.3800000008</v>
          </cell>
          <cell r="O182">
            <v>1425658.8699999996</v>
          </cell>
          <cell r="P182">
            <v>1444157.6000000006</v>
          </cell>
          <cell r="Q182">
            <v>2403394.8599999994</v>
          </cell>
          <cell r="R182">
            <v>2011738.5800000005</v>
          </cell>
          <cell r="S182">
            <v>1943953.0599999998</v>
          </cell>
          <cell r="T182">
            <v>2250374.5900000003</v>
          </cell>
          <cell r="U182">
            <v>1550858.9100000008</v>
          </cell>
          <cell r="V182">
            <v>1175521.9200000002</v>
          </cell>
          <cell r="W182">
            <v>1012605.4999999998</v>
          </cell>
          <cell r="X182">
            <v>1275410.3500000001</v>
          </cell>
          <cell r="Y182">
            <v>769173.1100000001</v>
          </cell>
          <cell r="Z182">
            <v>1147778.6900000004</v>
          </cell>
          <cell r="AA182">
            <v>255488.11000000002</v>
          </cell>
          <cell r="AB182">
            <v>4112.3999999999996</v>
          </cell>
          <cell r="AC182">
            <v>495050.05</v>
          </cell>
          <cell r="AD182">
            <v>744819.51</v>
          </cell>
          <cell r="AE182">
            <v>849891.33999999985</v>
          </cell>
          <cell r="AF182">
            <v>803129.49000000011</v>
          </cell>
          <cell r="AG182">
            <v>702186.80999999994</v>
          </cell>
          <cell r="AH182">
            <v>690462.34000000008</v>
          </cell>
          <cell r="AI182">
            <v>770788.82000000007</v>
          </cell>
          <cell r="AJ182">
            <v>631320.68000000005</v>
          </cell>
          <cell r="AK182">
            <v>516591.51000000007</v>
          </cell>
          <cell r="AL182">
            <v>622100.71</v>
          </cell>
          <cell r="AM182">
            <v>87899.76</v>
          </cell>
          <cell r="AN182">
            <v>159474.92000000001</v>
          </cell>
          <cell r="AO182">
            <v>597652.93000000005</v>
          </cell>
          <cell r="AP182">
            <v>813839.21000000031</v>
          </cell>
          <cell r="AQ182">
            <v>1424077.3299999996</v>
          </cell>
          <cell r="AR182">
            <v>1641720.04</v>
          </cell>
          <cell r="AS182">
            <v>1426867.12</v>
          </cell>
          <cell r="AT182">
            <v>1989168.97</v>
          </cell>
          <cell r="AU182">
            <v>2964493.9199999995</v>
          </cell>
          <cell r="AV182">
            <v>1286914.1099999999</v>
          </cell>
          <cell r="AW182">
            <v>1403700.8499999999</v>
          </cell>
          <cell r="AX182">
            <v>1765645.7999999996</v>
          </cell>
          <cell r="AY182">
            <v>226730.11</v>
          </cell>
          <cell r="AZ182">
            <v>723969.55</v>
          </cell>
          <cell r="BA182">
            <v>2846398.8100000005</v>
          </cell>
          <cell r="BB182">
            <v>755057.75999999989</v>
          </cell>
          <cell r="BC182">
            <v>1883102.0999999999</v>
          </cell>
          <cell r="BD182">
            <v>2770491.84</v>
          </cell>
          <cell r="BE182">
            <v>1049619.56</v>
          </cell>
          <cell r="BF182">
            <v>1565567.5300000003</v>
          </cell>
          <cell r="BG182">
            <v>2879170.2100000004</v>
          </cell>
          <cell r="BH182">
            <v>1247606.79</v>
          </cell>
          <cell r="BI182">
            <v>1741149.79</v>
          </cell>
          <cell r="BJ182">
            <v>1925713.1499999997</v>
          </cell>
          <cell r="BK182">
            <v>71474259.200000018</v>
          </cell>
        </row>
      </sheetData>
      <sheetData sheetId="6"/>
      <sheetData sheetId="7">
        <row r="1">
          <cell r="A1" t="str">
            <v>BUS_MO_L</v>
          </cell>
          <cell r="B1" t="str">
            <v>EFF_DTE_L</v>
          </cell>
          <cell r="C1" t="str">
            <v>INTRNL_CO_ID_C</v>
          </cell>
          <cell r="D1" t="str">
            <v>BUS_ID_C</v>
          </cell>
          <cell r="E1" t="str">
            <v>AFUDC_ANL_DBT_RT_F</v>
          </cell>
          <cell r="F1" t="str">
            <v>AFUDC_ANL_EQT_RT_F</v>
          </cell>
        </row>
        <row r="2">
          <cell r="A2">
            <v>41244</v>
          </cell>
          <cell r="B2">
            <v>41244</v>
          </cell>
          <cell r="C2" t="str">
            <v>01</v>
          </cell>
          <cell r="D2" t="str">
            <v>G</v>
          </cell>
          <cell r="E2">
            <v>2.2000000000000001E-3</v>
          </cell>
          <cell r="F2">
            <v>4.4000000000000003E-3</v>
          </cell>
        </row>
        <row r="3">
          <cell r="A3">
            <v>41214</v>
          </cell>
          <cell r="B3">
            <v>41214</v>
          </cell>
          <cell r="C3" t="str">
            <v>01</v>
          </cell>
          <cell r="D3" t="str">
            <v>G</v>
          </cell>
          <cell r="E3">
            <v>2.0999999999999999E-3</v>
          </cell>
          <cell r="F3">
            <v>4.4000000000000003E-3</v>
          </cell>
        </row>
        <row r="4">
          <cell r="A4">
            <v>41183</v>
          </cell>
          <cell r="B4">
            <v>41183</v>
          </cell>
          <cell r="C4" t="str">
            <v>02</v>
          </cell>
          <cell r="D4" t="str">
            <v>G</v>
          </cell>
          <cell r="E4">
            <v>2.0999999999999999E-3</v>
          </cell>
          <cell r="F4">
            <v>4.4000000000000003E-3</v>
          </cell>
        </row>
        <row r="5">
          <cell r="A5">
            <v>41153</v>
          </cell>
          <cell r="B5">
            <v>41153</v>
          </cell>
          <cell r="C5" t="str">
            <v>02</v>
          </cell>
          <cell r="D5" t="str">
            <v>G</v>
          </cell>
          <cell r="E5">
            <v>1.9E-3</v>
          </cell>
          <cell r="F5">
            <v>4.0000000000000001E-3</v>
          </cell>
        </row>
        <row r="6">
          <cell r="A6">
            <v>41122</v>
          </cell>
          <cell r="B6">
            <v>41122</v>
          </cell>
          <cell r="C6" t="str">
            <v>02</v>
          </cell>
          <cell r="D6" t="str">
            <v>G</v>
          </cell>
          <cell r="E6">
            <v>1.9E-3</v>
          </cell>
          <cell r="F6">
            <v>4.0000000000000001E-3</v>
          </cell>
        </row>
        <row r="7">
          <cell r="A7">
            <v>41091</v>
          </cell>
          <cell r="B7">
            <v>41091</v>
          </cell>
          <cell r="C7" t="str">
            <v>02</v>
          </cell>
          <cell r="D7" t="str">
            <v>G</v>
          </cell>
          <cell r="E7">
            <v>2E-3</v>
          </cell>
          <cell r="F7">
            <v>4.1999999999999997E-3</v>
          </cell>
        </row>
        <row r="8">
          <cell r="A8">
            <v>41061</v>
          </cell>
          <cell r="B8">
            <v>41061</v>
          </cell>
          <cell r="C8" t="str">
            <v>02</v>
          </cell>
          <cell r="D8" t="str">
            <v>G</v>
          </cell>
          <cell r="E8">
            <v>1.9E-3</v>
          </cell>
          <cell r="F8">
            <v>4.0000000000000001E-3</v>
          </cell>
        </row>
        <row r="9">
          <cell r="A9">
            <v>41030</v>
          </cell>
          <cell r="B9">
            <v>41030</v>
          </cell>
          <cell r="C9" t="str">
            <v>02</v>
          </cell>
          <cell r="D9" t="str">
            <v>G</v>
          </cell>
          <cell r="E9">
            <v>1.9E-3</v>
          </cell>
          <cell r="F9">
            <v>3.8999999999999998E-3</v>
          </cell>
        </row>
        <row r="10">
          <cell r="A10">
            <v>41000</v>
          </cell>
          <cell r="B10">
            <v>41000</v>
          </cell>
          <cell r="C10" t="str">
            <v>02</v>
          </cell>
          <cell r="D10" t="str">
            <v>G</v>
          </cell>
          <cell r="E10">
            <v>1.9E-3</v>
          </cell>
          <cell r="F10">
            <v>4.0000000000000001E-3</v>
          </cell>
        </row>
        <row r="11">
          <cell r="A11">
            <v>40969</v>
          </cell>
          <cell r="B11">
            <v>40969</v>
          </cell>
          <cell r="C11" t="str">
            <v>02</v>
          </cell>
          <cell r="D11" t="str">
            <v>G</v>
          </cell>
          <cell r="E11">
            <v>1.9E-3</v>
          </cell>
          <cell r="F11">
            <v>4.0000000000000001E-3</v>
          </cell>
        </row>
        <row r="12">
          <cell r="A12">
            <v>40940</v>
          </cell>
          <cell r="B12">
            <v>40940</v>
          </cell>
          <cell r="C12" t="str">
            <v>02</v>
          </cell>
          <cell r="D12" t="str">
            <v>G</v>
          </cell>
          <cell r="E12">
            <v>1.6999999999999999E-3</v>
          </cell>
          <cell r="F12">
            <v>3.3999999999999998E-3</v>
          </cell>
        </row>
        <row r="13">
          <cell r="A13">
            <v>40909</v>
          </cell>
          <cell r="B13">
            <v>40909</v>
          </cell>
          <cell r="C13" t="str">
            <v>02</v>
          </cell>
          <cell r="D13" t="str">
            <v>G</v>
          </cell>
          <cell r="E13">
            <v>2.2000000000000001E-3</v>
          </cell>
          <cell r="F13">
            <v>4.4999999999999997E-3</v>
          </cell>
        </row>
        <row r="14">
          <cell r="A14">
            <v>40878</v>
          </cell>
          <cell r="B14">
            <v>40878</v>
          </cell>
          <cell r="C14" t="str">
            <v>02</v>
          </cell>
          <cell r="D14" t="str">
            <v>G</v>
          </cell>
          <cell r="E14">
            <v>4.0000000000000002E-4</v>
          </cell>
          <cell r="F14">
            <v>1E-4</v>
          </cell>
        </row>
        <row r="15">
          <cell r="A15">
            <v>40848</v>
          </cell>
          <cell r="B15">
            <v>40848</v>
          </cell>
          <cell r="C15" t="str">
            <v>02</v>
          </cell>
          <cell r="D15" t="str">
            <v>G</v>
          </cell>
          <cell r="E15">
            <v>4.0000000000000002E-4</v>
          </cell>
          <cell r="F15">
            <v>1E-4</v>
          </cell>
        </row>
        <row r="16">
          <cell r="A16">
            <v>40817</v>
          </cell>
          <cell r="B16">
            <v>40817</v>
          </cell>
          <cell r="C16" t="str">
            <v>02</v>
          </cell>
          <cell r="D16" t="str">
            <v>G</v>
          </cell>
          <cell r="E16">
            <v>4.0000000000000002E-4</v>
          </cell>
          <cell r="F16">
            <v>1E-4</v>
          </cell>
        </row>
        <row r="17">
          <cell r="A17">
            <v>40787</v>
          </cell>
          <cell r="B17">
            <v>40787</v>
          </cell>
          <cell r="C17" t="str">
            <v>02</v>
          </cell>
          <cell r="D17" t="str">
            <v>G</v>
          </cell>
          <cell r="E17">
            <v>4.0000000000000002E-4</v>
          </cell>
          <cell r="F17">
            <v>1E-4</v>
          </cell>
        </row>
        <row r="18">
          <cell r="A18">
            <v>40756</v>
          </cell>
          <cell r="B18">
            <v>40756</v>
          </cell>
          <cell r="C18" t="str">
            <v>02</v>
          </cell>
          <cell r="D18" t="str">
            <v>G</v>
          </cell>
          <cell r="E18">
            <v>4.0000000000000002E-4</v>
          </cell>
          <cell r="F18">
            <v>1E-4</v>
          </cell>
        </row>
        <row r="19">
          <cell r="A19">
            <v>40725</v>
          </cell>
          <cell r="B19">
            <v>40725</v>
          </cell>
          <cell r="C19" t="str">
            <v>02</v>
          </cell>
          <cell r="D19" t="str">
            <v>G</v>
          </cell>
          <cell r="E19">
            <v>4.0000000000000002E-4</v>
          </cell>
          <cell r="F19">
            <v>1E-4</v>
          </cell>
        </row>
        <row r="20">
          <cell r="A20">
            <v>40695</v>
          </cell>
          <cell r="B20">
            <v>40695</v>
          </cell>
          <cell r="C20" t="str">
            <v>02</v>
          </cell>
          <cell r="D20" t="str">
            <v>G</v>
          </cell>
          <cell r="E20">
            <v>4.0000000000000002E-4</v>
          </cell>
          <cell r="F20">
            <v>1E-4</v>
          </cell>
        </row>
        <row r="21">
          <cell r="A21">
            <v>40664</v>
          </cell>
          <cell r="B21">
            <v>40664</v>
          </cell>
          <cell r="C21" t="str">
            <v>02</v>
          </cell>
          <cell r="D21" t="str">
            <v>G</v>
          </cell>
          <cell r="E21">
            <v>4.0000000000000002E-4</v>
          </cell>
          <cell r="F21">
            <v>1E-4</v>
          </cell>
        </row>
        <row r="22">
          <cell r="A22">
            <v>40634</v>
          </cell>
          <cell r="B22">
            <v>40634</v>
          </cell>
          <cell r="C22" t="str">
            <v>02</v>
          </cell>
          <cell r="D22" t="str">
            <v>G</v>
          </cell>
          <cell r="E22">
            <v>4.0000000000000002E-4</v>
          </cell>
          <cell r="F22">
            <v>1E-4</v>
          </cell>
        </row>
        <row r="23">
          <cell r="A23">
            <v>40603</v>
          </cell>
          <cell r="B23">
            <v>40603</v>
          </cell>
          <cell r="C23" t="str">
            <v>02</v>
          </cell>
          <cell r="D23" t="str">
            <v>G</v>
          </cell>
          <cell r="E23">
            <v>4.0000000000000002E-4</v>
          </cell>
          <cell r="F23">
            <v>1E-4</v>
          </cell>
        </row>
        <row r="24">
          <cell r="A24">
            <v>40575</v>
          </cell>
          <cell r="B24">
            <v>40575</v>
          </cell>
          <cell r="C24" t="str">
            <v>02</v>
          </cell>
          <cell r="D24" t="str">
            <v>G</v>
          </cell>
          <cell r="E24">
            <v>4.0000000000000002E-4</v>
          </cell>
          <cell r="F24">
            <v>1E-4</v>
          </cell>
        </row>
        <row r="25">
          <cell r="A25">
            <v>40544</v>
          </cell>
          <cell r="B25">
            <v>40544</v>
          </cell>
          <cell r="C25" t="str">
            <v>02</v>
          </cell>
          <cell r="D25" t="str">
            <v>G</v>
          </cell>
          <cell r="E25">
            <v>4.0000000000000002E-4</v>
          </cell>
          <cell r="F25">
            <v>1E-4</v>
          </cell>
        </row>
        <row r="26">
          <cell r="A26">
            <v>40513</v>
          </cell>
          <cell r="B26">
            <v>40513</v>
          </cell>
          <cell r="C26" t="str">
            <v>02</v>
          </cell>
          <cell r="D26" t="str">
            <v>G</v>
          </cell>
          <cell r="E26">
            <v>2.9999999999999997E-4</v>
          </cell>
          <cell r="F26">
            <v>0</v>
          </cell>
        </row>
        <row r="27">
          <cell r="A27">
            <v>40483</v>
          </cell>
          <cell r="B27">
            <v>40483</v>
          </cell>
          <cell r="C27" t="str">
            <v>02</v>
          </cell>
          <cell r="D27" t="str">
            <v>G</v>
          </cell>
          <cell r="E27">
            <v>2.9999999999999997E-4</v>
          </cell>
          <cell r="F27">
            <v>0</v>
          </cell>
        </row>
        <row r="28">
          <cell r="A28">
            <v>40452</v>
          </cell>
          <cell r="B28">
            <v>40452</v>
          </cell>
          <cell r="C28" t="str">
            <v>02</v>
          </cell>
          <cell r="D28" t="str">
            <v>G</v>
          </cell>
          <cell r="E28">
            <v>2.9999999999999997E-4</v>
          </cell>
          <cell r="F28">
            <v>0</v>
          </cell>
        </row>
        <row r="29">
          <cell r="A29">
            <v>40422</v>
          </cell>
          <cell r="B29">
            <v>40422</v>
          </cell>
          <cell r="C29" t="str">
            <v>02</v>
          </cell>
          <cell r="D29" t="str">
            <v>G</v>
          </cell>
          <cell r="E29">
            <v>2.9999999999999997E-4</v>
          </cell>
          <cell r="F29">
            <v>0</v>
          </cell>
        </row>
        <row r="30">
          <cell r="A30">
            <v>40391</v>
          </cell>
          <cell r="B30">
            <v>40391</v>
          </cell>
          <cell r="C30" t="str">
            <v>02</v>
          </cell>
          <cell r="D30" t="str">
            <v>G</v>
          </cell>
          <cell r="E30">
            <v>2.9999999999999997E-4</v>
          </cell>
          <cell r="F30">
            <v>0</v>
          </cell>
        </row>
        <row r="31">
          <cell r="A31">
            <v>40360</v>
          </cell>
          <cell r="B31">
            <v>40360</v>
          </cell>
          <cell r="C31" t="str">
            <v>02</v>
          </cell>
          <cell r="D31" t="str">
            <v>G</v>
          </cell>
          <cell r="E31">
            <v>2.9999999999999997E-4</v>
          </cell>
          <cell r="F31">
            <v>0</v>
          </cell>
        </row>
        <row r="32">
          <cell r="A32">
            <v>40330</v>
          </cell>
          <cell r="B32">
            <v>40330</v>
          </cell>
          <cell r="C32" t="str">
            <v>02</v>
          </cell>
          <cell r="D32" t="str">
            <v>G</v>
          </cell>
          <cell r="E32">
            <v>2.9999999999999997E-4</v>
          </cell>
          <cell r="F32">
            <v>0</v>
          </cell>
        </row>
        <row r="33">
          <cell r="A33">
            <v>40299</v>
          </cell>
          <cell r="B33">
            <v>40299</v>
          </cell>
          <cell r="C33" t="str">
            <v>02</v>
          </cell>
          <cell r="D33" t="str">
            <v>G</v>
          </cell>
          <cell r="E33">
            <v>2.9999999999999997E-4</v>
          </cell>
          <cell r="F33">
            <v>0</v>
          </cell>
        </row>
        <row r="34">
          <cell r="A34">
            <v>40269</v>
          </cell>
          <cell r="B34">
            <v>40269</v>
          </cell>
          <cell r="C34" t="str">
            <v>02</v>
          </cell>
          <cell r="D34" t="str">
            <v>G</v>
          </cell>
          <cell r="E34">
            <v>2.9999999999999997E-4</v>
          </cell>
          <cell r="F34">
            <v>0</v>
          </cell>
        </row>
        <row r="35">
          <cell r="A35">
            <v>40238</v>
          </cell>
          <cell r="B35">
            <v>40238</v>
          </cell>
          <cell r="C35" t="str">
            <v>02</v>
          </cell>
          <cell r="D35" t="str">
            <v>G</v>
          </cell>
          <cell r="E35">
            <v>2.9999999999999997E-4</v>
          </cell>
          <cell r="F35">
            <v>0</v>
          </cell>
        </row>
        <row r="36">
          <cell r="A36">
            <v>40210</v>
          </cell>
          <cell r="B36">
            <v>40210</v>
          </cell>
          <cell r="C36" t="str">
            <v>02</v>
          </cell>
          <cell r="D36" t="str">
            <v>G</v>
          </cell>
          <cell r="E36">
            <v>2.9999999999999997E-4</v>
          </cell>
          <cell r="F36">
            <v>0</v>
          </cell>
        </row>
        <row r="37">
          <cell r="A37">
            <v>40179</v>
          </cell>
          <cell r="B37">
            <v>40179</v>
          </cell>
          <cell r="C37" t="str">
            <v>02</v>
          </cell>
          <cell r="D37" t="str">
            <v>G</v>
          </cell>
          <cell r="E37">
            <v>2.9999999999999997E-4</v>
          </cell>
          <cell r="F37">
            <v>0</v>
          </cell>
        </row>
        <row r="38">
          <cell r="A38">
            <v>40148</v>
          </cell>
          <cell r="B38">
            <v>40148</v>
          </cell>
          <cell r="C38" t="str">
            <v>02</v>
          </cell>
          <cell r="D38" t="str">
            <v>G</v>
          </cell>
          <cell r="E38">
            <v>1.5E-3</v>
          </cell>
          <cell r="F38">
            <v>1.8E-3</v>
          </cell>
        </row>
        <row r="39">
          <cell r="A39">
            <v>40118</v>
          </cell>
          <cell r="B39">
            <v>40118</v>
          </cell>
          <cell r="C39" t="str">
            <v>02</v>
          </cell>
          <cell r="D39" t="str">
            <v>G</v>
          </cell>
          <cell r="E39">
            <v>1.5E-3</v>
          </cell>
          <cell r="F39">
            <v>1.8E-3</v>
          </cell>
        </row>
        <row r="40">
          <cell r="A40">
            <v>40087</v>
          </cell>
          <cell r="B40">
            <v>40087</v>
          </cell>
          <cell r="C40" t="str">
            <v>02</v>
          </cell>
          <cell r="D40" t="str">
            <v>G</v>
          </cell>
          <cell r="E40">
            <v>1.5E-3</v>
          </cell>
          <cell r="F40">
            <v>1.8E-3</v>
          </cell>
        </row>
        <row r="41">
          <cell r="A41">
            <v>40057</v>
          </cell>
          <cell r="B41">
            <v>40057</v>
          </cell>
          <cell r="C41" t="str">
            <v>02</v>
          </cell>
          <cell r="D41" t="str">
            <v>G</v>
          </cell>
          <cell r="E41">
            <v>1.5E-3</v>
          </cell>
          <cell r="F41">
            <v>1.8E-3</v>
          </cell>
        </row>
        <row r="42">
          <cell r="A42">
            <v>40026</v>
          </cell>
          <cell r="B42">
            <v>40026</v>
          </cell>
          <cell r="C42" t="str">
            <v>02</v>
          </cell>
          <cell r="D42" t="str">
            <v>G</v>
          </cell>
          <cell r="E42">
            <v>1.5E-3</v>
          </cell>
          <cell r="F42">
            <v>1.8E-3</v>
          </cell>
        </row>
        <row r="43">
          <cell r="A43">
            <v>39995</v>
          </cell>
          <cell r="B43">
            <v>39995</v>
          </cell>
          <cell r="C43" t="str">
            <v>02</v>
          </cell>
          <cell r="D43" t="str">
            <v>G</v>
          </cell>
          <cell r="E43">
            <v>1.5E-3</v>
          </cell>
          <cell r="F43">
            <v>1.8E-3</v>
          </cell>
        </row>
        <row r="44">
          <cell r="A44">
            <v>39965</v>
          </cell>
          <cell r="B44">
            <v>39965</v>
          </cell>
          <cell r="C44" t="str">
            <v>02</v>
          </cell>
          <cell r="D44" t="str">
            <v>G</v>
          </cell>
          <cell r="E44">
            <v>1.5E-3</v>
          </cell>
          <cell r="F44">
            <v>1.8E-3</v>
          </cell>
        </row>
        <row r="45">
          <cell r="A45">
            <v>39934</v>
          </cell>
          <cell r="B45">
            <v>39934</v>
          </cell>
          <cell r="C45" t="str">
            <v>02</v>
          </cell>
          <cell r="D45" t="str">
            <v>G</v>
          </cell>
          <cell r="E45">
            <v>1.5E-3</v>
          </cell>
          <cell r="F45">
            <v>1.8E-3</v>
          </cell>
        </row>
        <row r="46">
          <cell r="A46">
            <v>39904</v>
          </cell>
          <cell r="B46">
            <v>39904</v>
          </cell>
          <cell r="C46" t="str">
            <v>02</v>
          </cell>
          <cell r="D46" t="str">
            <v>G</v>
          </cell>
          <cell r="E46">
            <v>1.5E-3</v>
          </cell>
          <cell r="F46">
            <v>1.8E-3</v>
          </cell>
        </row>
        <row r="47">
          <cell r="A47">
            <v>39873</v>
          </cell>
          <cell r="B47">
            <v>39873</v>
          </cell>
          <cell r="C47" t="str">
            <v>02</v>
          </cell>
          <cell r="D47" t="str">
            <v>G</v>
          </cell>
          <cell r="E47">
            <v>1.5E-3</v>
          </cell>
          <cell r="F47">
            <v>1.8E-3</v>
          </cell>
        </row>
        <row r="48">
          <cell r="A48">
            <v>39845</v>
          </cell>
          <cell r="B48">
            <v>39845</v>
          </cell>
          <cell r="C48" t="str">
            <v>02</v>
          </cell>
          <cell r="D48" t="str">
            <v>G</v>
          </cell>
          <cell r="E48">
            <v>1.5E-3</v>
          </cell>
          <cell r="F48">
            <v>1.8E-3</v>
          </cell>
        </row>
        <row r="49">
          <cell r="A49">
            <v>39814</v>
          </cell>
          <cell r="B49">
            <v>39814</v>
          </cell>
          <cell r="C49" t="str">
            <v>02</v>
          </cell>
          <cell r="D49" t="str">
            <v>G</v>
          </cell>
          <cell r="E49">
            <v>1.5E-3</v>
          </cell>
          <cell r="F49">
            <v>1.8E-3</v>
          </cell>
        </row>
      </sheetData>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AGE"/>
      <sheetName val="SUMMARY CALC"/>
      <sheetName val="PIS AFUDC PIVOT"/>
      <sheetName val="Bucket"/>
      <sheetName val="PIS AFUDC"/>
      <sheetName val="CHARGE PIVOT"/>
      <sheetName val="Charges"/>
      <sheetName val="AFUDC Rates"/>
      <sheetName val="WO Select Query"/>
      <sheetName val="WO Select Pivot"/>
      <sheetName val="Press Release"/>
      <sheetName val="Procedures"/>
      <sheetName val="Summary for Projection"/>
    </sheetNames>
    <sheetDataSet>
      <sheetData sheetId="0"/>
      <sheetData sheetId="1"/>
      <sheetData sheetId="2"/>
      <sheetData sheetId="3"/>
      <sheetData sheetId="4"/>
      <sheetData sheetId="5">
        <row r="5">
          <cell r="B5" t="str">
            <v>07585751703</v>
          </cell>
          <cell r="C5">
            <v>30165.439999999995</v>
          </cell>
          <cell r="D5">
            <v>0</v>
          </cell>
        </row>
        <row r="6">
          <cell r="B6" t="str">
            <v>06585451801</v>
          </cell>
          <cell r="C6">
            <v>385764.89999999997</v>
          </cell>
          <cell r="D6">
            <v>0</v>
          </cell>
        </row>
        <row r="7">
          <cell r="B7" t="str">
            <v>06585461029</v>
          </cell>
          <cell r="C7">
            <v>204588.57</v>
          </cell>
          <cell r="D7">
            <v>0</v>
          </cell>
        </row>
        <row r="8">
          <cell r="B8" t="str">
            <v>06585551014</v>
          </cell>
          <cell r="C8">
            <v>109210.78</v>
          </cell>
          <cell r="D8">
            <v>0</v>
          </cell>
        </row>
        <row r="9">
          <cell r="B9" t="str">
            <v>06585751702</v>
          </cell>
          <cell r="C9">
            <v>263198.01</v>
          </cell>
          <cell r="D9">
            <v>0</v>
          </cell>
        </row>
        <row r="10">
          <cell r="B10" t="str">
            <v>07585452800</v>
          </cell>
          <cell r="C10">
            <v>373773.60000000009</v>
          </cell>
          <cell r="D10">
            <v>0</v>
          </cell>
        </row>
        <row r="11">
          <cell r="B11" t="str">
            <v>07585452801</v>
          </cell>
          <cell r="C11">
            <v>223169.95999999996</v>
          </cell>
          <cell r="D11">
            <v>0</v>
          </cell>
        </row>
        <row r="12">
          <cell r="B12" t="str">
            <v>07585452802</v>
          </cell>
          <cell r="C12">
            <v>155752.85999999999</v>
          </cell>
          <cell r="D12">
            <v>0</v>
          </cell>
        </row>
        <row r="13">
          <cell r="B13" t="str">
            <v>07585452803</v>
          </cell>
          <cell r="C13">
            <v>203041.55000000005</v>
          </cell>
          <cell r="D13">
            <v>0</v>
          </cell>
        </row>
        <row r="14">
          <cell r="B14" t="str">
            <v>07585752700</v>
          </cell>
          <cell r="C14">
            <v>224199.06</v>
          </cell>
          <cell r="D14">
            <v>0</v>
          </cell>
        </row>
        <row r="15">
          <cell r="B15" t="str">
            <v>08585452804</v>
          </cell>
          <cell r="C15">
            <v>1352899.53</v>
          </cell>
          <cell r="D15">
            <v>0</v>
          </cell>
        </row>
        <row r="16">
          <cell r="B16" t="str">
            <v>08585452806</v>
          </cell>
          <cell r="C16">
            <v>293229.81000000006</v>
          </cell>
          <cell r="D16">
            <v>0</v>
          </cell>
        </row>
        <row r="17">
          <cell r="B17" t="str">
            <v>08585452808</v>
          </cell>
          <cell r="C17">
            <v>-1.8252843680954811E-11</v>
          </cell>
          <cell r="D17">
            <v>0</v>
          </cell>
        </row>
        <row r="18">
          <cell r="B18" t="str">
            <v>08585552700</v>
          </cell>
          <cell r="C18">
            <v>54970.80999999999</v>
          </cell>
          <cell r="D18">
            <v>0</v>
          </cell>
        </row>
        <row r="19">
          <cell r="B19" t="str">
            <v>08585552701</v>
          </cell>
          <cell r="C19">
            <v>549496.19000000006</v>
          </cell>
          <cell r="D19">
            <v>0</v>
          </cell>
        </row>
        <row r="20">
          <cell r="B20" t="str">
            <v>08585552703</v>
          </cell>
          <cell r="C20">
            <v>155961.65</v>
          </cell>
          <cell r="D20">
            <v>0</v>
          </cell>
        </row>
        <row r="21">
          <cell r="B21" t="str">
            <v>08585752701</v>
          </cell>
          <cell r="C21">
            <v>72372.44</v>
          </cell>
          <cell r="D21">
            <v>0</v>
          </cell>
        </row>
        <row r="22">
          <cell r="B22" t="str">
            <v>08585752702</v>
          </cell>
          <cell r="C22">
            <v>316955.17000000004</v>
          </cell>
          <cell r="D22">
            <v>0</v>
          </cell>
        </row>
        <row r="23">
          <cell r="B23" t="str">
            <v>08585752703</v>
          </cell>
          <cell r="C23">
            <v>275572.19999999995</v>
          </cell>
          <cell r="D23">
            <v>0</v>
          </cell>
        </row>
        <row r="24">
          <cell r="B24" t="str">
            <v>08585752706</v>
          </cell>
          <cell r="C24">
            <v>427994.7300000001</v>
          </cell>
          <cell r="D24">
            <v>0</v>
          </cell>
        </row>
        <row r="25">
          <cell r="B25" t="str">
            <v>08585752707</v>
          </cell>
          <cell r="C25">
            <v>856701.07999999984</v>
          </cell>
          <cell r="D25">
            <v>0</v>
          </cell>
        </row>
        <row r="26">
          <cell r="B26" t="str">
            <v>08585752708</v>
          </cell>
          <cell r="C26">
            <v>479012.87</v>
          </cell>
          <cell r="D26">
            <v>0</v>
          </cell>
        </row>
        <row r="27">
          <cell r="B27" t="str">
            <v>09585752525</v>
          </cell>
          <cell r="C27">
            <v>224091.47</v>
          </cell>
          <cell r="D27">
            <v>0</v>
          </cell>
        </row>
        <row r="28">
          <cell r="B28" t="str">
            <v>09585752526</v>
          </cell>
          <cell r="C28">
            <v>443674.67000000004</v>
          </cell>
          <cell r="D28">
            <v>0</v>
          </cell>
        </row>
        <row r="29">
          <cell r="B29" t="str">
            <v>10585501052011</v>
          </cell>
          <cell r="C29">
            <v>309815.29999999993</v>
          </cell>
          <cell r="D29">
            <v>0</v>
          </cell>
        </row>
        <row r="30">
          <cell r="B30" t="str">
            <v>09585452527</v>
          </cell>
          <cell r="C30">
            <v>640689.92000000004</v>
          </cell>
          <cell r="D30">
            <v>0</v>
          </cell>
        </row>
        <row r="31">
          <cell r="B31" t="str">
            <v>09585701052525</v>
          </cell>
          <cell r="C31">
            <v>324158.38999999996</v>
          </cell>
          <cell r="D31">
            <v>0</v>
          </cell>
        </row>
        <row r="32">
          <cell r="B32" t="str">
            <v>10585701052212</v>
          </cell>
          <cell r="C32">
            <v>3774579.82</v>
          </cell>
          <cell r="D32">
            <v>0</v>
          </cell>
        </row>
        <row r="33">
          <cell r="B33" t="str">
            <v>11585401052214</v>
          </cell>
          <cell r="C33">
            <v>334650.34999999998</v>
          </cell>
          <cell r="D33">
            <v>0</v>
          </cell>
        </row>
        <row r="34">
          <cell r="B34" t="str">
            <v>09585701052528</v>
          </cell>
          <cell r="C34">
            <v>932974.52</v>
          </cell>
          <cell r="D34">
            <v>0</v>
          </cell>
        </row>
        <row r="35">
          <cell r="B35" t="str">
            <v>11585401052210</v>
          </cell>
          <cell r="C35">
            <v>285663.16000000015</v>
          </cell>
          <cell r="D35">
            <v>0</v>
          </cell>
        </row>
        <row r="36">
          <cell r="B36" t="str">
            <v>11585401052213</v>
          </cell>
          <cell r="C36">
            <v>262356.7</v>
          </cell>
          <cell r="D36">
            <v>0</v>
          </cell>
        </row>
        <row r="37">
          <cell r="B37" t="str">
            <v>11585401052212</v>
          </cell>
          <cell r="C37">
            <v>267078.21000000002</v>
          </cell>
          <cell r="D37">
            <v>0</v>
          </cell>
        </row>
        <row r="38">
          <cell r="B38" t="str">
            <v>09585701052526</v>
          </cell>
          <cell r="C38">
            <v>139800.86000000002</v>
          </cell>
          <cell r="D38">
            <v>0</v>
          </cell>
        </row>
        <row r="39">
          <cell r="B39" t="str">
            <v>12585701052216</v>
          </cell>
          <cell r="C39">
            <v>61267.909999999996</v>
          </cell>
          <cell r="D39">
            <v>0</v>
          </cell>
        </row>
        <row r="40">
          <cell r="B40" t="str">
            <v>08585452807</v>
          </cell>
          <cell r="C40">
            <v>281803.71000000002</v>
          </cell>
          <cell r="D40">
            <v>0</v>
          </cell>
        </row>
        <row r="41">
          <cell r="B41" t="str">
            <v>11585501052210</v>
          </cell>
          <cell r="C41">
            <v>444442.57999999996</v>
          </cell>
          <cell r="D41">
            <v>0</v>
          </cell>
        </row>
        <row r="42">
          <cell r="B42" t="str">
            <v>12585701052217</v>
          </cell>
          <cell r="C42">
            <v>420204.35000000003</v>
          </cell>
          <cell r="D42">
            <v>0</v>
          </cell>
        </row>
        <row r="43">
          <cell r="B43" t="str">
            <v>12585701052215</v>
          </cell>
          <cell r="C43">
            <v>71864.589999999953</v>
          </cell>
          <cell r="D43">
            <v>0</v>
          </cell>
        </row>
        <row r="44">
          <cell r="B44" t="str">
            <v>12585701052214</v>
          </cell>
          <cell r="C44">
            <v>847009.71</v>
          </cell>
          <cell r="D44">
            <v>0</v>
          </cell>
        </row>
        <row r="45">
          <cell r="B45" t="str">
            <v>12585401052213</v>
          </cell>
          <cell r="C45">
            <v>607160.66000000015</v>
          </cell>
          <cell r="D45">
            <v>0</v>
          </cell>
        </row>
        <row r="46">
          <cell r="B46" t="str">
            <v>12585401052212</v>
          </cell>
          <cell r="C46">
            <v>389122.42000000004</v>
          </cell>
          <cell r="D46">
            <v>160.92999999999998</v>
          </cell>
        </row>
        <row r="47">
          <cell r="B47" t="str">
            <v>12585401052214</v>
          </cell>
          <cell r="C47">
            <v>188512.04000000004</v>
          </cell>
          <cell r="D47">
            <v>0</v>
          </cell>
        </row>
        <row r="48">
          <cell r="B48" t="str">
            <v>13585701052210</v>
          </cell>
          <cell r="C48">
            <v>409948.72</v>
          </cell>
          <cell r="D48">
            <v>8438.9600000000009</v>
          </cell>
        </row>
        <row r="49">
          <cell r="B49" t="str">
            <v>13585401052217</v>
          </cell>
          <cell r="C49">
            <v>64549.060000000005</v>
          </cell>
          <cell r="D49">
            <v>4756.7700000000004</v>
          </cell>
        </row>
        <row r="50">
          <cell r="B50" t="str">
            <v>12585701052212</v>
          </cell>
          <cell r="C50">
            <v>101810.97</v>
          </cell>
          <cell r="D50">
            <v>88670.150000000009</v>
          </cell>
        </row>
        <row r="51">
          <cell r="B51" t="str">
            <v>12585701052213</v>
          </cell>
          <cell r="C51">
            <v>105539.06</v>
          </cell>
          <cell r="D51">
            <v>215820.99000000002</v>
          </cell>
        </row>
        <row r="52">
          <cell r="B52" t="str">
            <v>13585401052210</v>
          </cell>
          <cell r="C52">
            <v>200499.56000000003</v>
          </cell>
          <cell r="D52">
            <v>242764.61</v>
          </cell>
        </row>
        <row r="53">
          <cell r="B53" t="str">
            <v>12585401052216</v>
          </cell>
          <cell r="C53">
            <v>482.16999999999996</v>
          </cell>
          <cell r="D53">
            <v>3.15</v>
          </cell>
        </row>
        <row r="54">
          <cell r="B54" t="str">
            <v>12585701052220</v>
          </cell>
          <cell r="C54">
            <v>7898.87</v>
          </cell>
          <cell r="D54">
            <v>51.96</v>
          </cell>
        </row>
        <row r="55">
          <cell r="B55" t="str">
            <v>12585401052215</v>
          </cell>
          <cell r="C55">
            <v>32041.91</v>
          </cell>
          <cell r="D55">
            <v>64710.14</v>
          </cell>
        </row>
        <row r="56">
          <cell r="B56" t="str">
            <v>12585701052219</v>
          </cell>
          <cell r="C56">
            <v>2341</v>
          </cell>
          <cell r="D56">
            <v>15.400000000000002</v>
          </cell>
        </row>
        <row r="57">
          <cell r="B57" t="str">
            <v>13585701052212</v>
          </cell>
          <cell r="C57">
            <v>5363.78</v>
          </cell>
          <cell r="D57">
            <v>5678.18</v>
          </cell>
        </row>
        <row r="58">
          <cell r="B58" t="str">
            <v>14585501052210</v>
          </cell>
          <cell r="C58">
            <v>0</v>
          </cell>
          <cell r="D58">
            <v>33626.049999999996</v>
          </cell>
        </row>
        <row r="59">
          <cell r="B59" t="str">
            <v>12585501052214</v>
          </cell>
          <cell r="C59">
            <v>0</v>
          </cell>
          <cell r="D59">
            <v>18998.580000000002</v>
          </cell>
        </row>
        <row r="60">
          <cell r="B60" t="str">
            <v>12585701052223</v>
          </cell>
          <cell r="C60">
            <v>0</v>
          </cell>
          <cell r="D60">
            <v>5949.48</v>
          </cell>
        </row>
        <row r="61">
          <cell r="C61">
            <v>19189427.650000002</v>
          </cell>
          <cell r="D61">
            <v>689645.35000000009</v>
          </cell>
        </row>
      </sheetData>
      <sheetData sheetId="6"/>
      <sheetData sheetId="7"/>
      <sheetData sheetId="8"/>
      <sheetData sheetId="9"/>
      <sheetData sheetId="10"/>
      <sheetData sheetId="11"/>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AGE"/>
      <sheetName val="SUMMARY CALC"/>
      <sheetName val="PIS AFUDC PIVOT"/>
      <sheetName val="Bucket"/>
      <sheetName val="PIS AFUDC"/>
      <sheetName val="CHARGE PIVOT"/>
      <sheetName val="Charges"/>
      <sheetName val="AFUDC Rates"/>
      <sheetName val="WO Select Query"/>
      <sheetName val="WO Select Pivot"/>
      <sheetName val="Press Release"/>
      <sheetName val="Procedures"/>
      <sheetName val="Summary for Projection"/>
    </sheetNames>
    <sheetDataSet>
      <sheetData sheetId="0"/>
      <sheetData sheetId="1"/>
      <sheetData sheetId="2"/>
      <sheetData sheetId="3"/>
      <sheetData sheetId="4"/>
      <sheetData sheetId="5">
        <row r="5">
          <cell r="B5" t="str">
            <v>07585751703</v>
          </cell>
          <cell r="C5">
            <v>30165.439999999995</v>
          </cell>
          <cell r="D5">
            <v>0</v>
          </cell>
        </row>
        <row r="6">
          <cell r="B6" t="str">
            <v>06585451801</v>
          </cell>
          <cell r="C6">
            <v>385764.89999999997</v>
          </cell>
          <cell r="D6">
            <v>0</v>
          </cell>
        </row>
        <row r="7">
          <cell r="B7" t="str">
            <v>06585461029</v>
          </cell>
          <cell r="C7">
            <v>204588.57</v>
          </cell>
          <cell r="D7">
            <v>0</v>
          </cell>
        </row>
        <row r="8">
          <cell r="B8" t="str">
            <v>06585551014</v>
          </cell>
          <cell r="C8">
            <v>109210.78</v>
          </cell>
          <cell r="D8">
            <v>0</v>
          </cell>
        </row>
        <row r="9">
          <cell r="B9" t="str">
            <v>06585751702</v>
          </cell>
          <cell r="C9">
            <v>263198.01</v>
          </cell>
          <cell r="D9">
            <v>0</v>
          </cell>
        </row>
        <row r="10">
          <cell r="B10" t="str">
            <v>07585452800</v>
          </cell>
          <cell r="C10">
            <v>373773.60000000009</v>
          </cell>
          <cell r="D10">
            <v>0</v>
          </cell>
        </row>
        <row r="11">
          <cell r="B11" t="str">
            <v>07585452801</v>
          </cell>
          <cell r="C11">
            <v>223169.95999999996</v>
          </cell>
          <cell r="D11">
            <v>0</v>
          </cell>
        </row>
        <row r="12">
          <cell r="B12" t="str">
            <v>07585452802</v>
          </cell>
          <cell r="C12">
            <v>155752.85999999999</v>
          </cell>
          <cell r="D12">
            <v>0</v>
          </cell>
        </row>
        <row r="13">
          <cell r="B13" t="str">
            <v>07585452803</v>
          </cell>
          <cell r="C13">
            <v>203041.55000000005</v>
          </cell>
          <cell r="D13">
            <v>0</v>
          </cell>
        </row>
        <row r="14">
          <cell r="B14" t="str">
            <v>07585752700</v>
          </cell>
          <cell r="C14">
            <v>224199.06</v>
          </cell>
          <cell r="D14">
            <v>0</v>
          </cell>
        </row>
        <row r="15">
          <cell r="B15" t="str">
            <v>08585452804</v>
          </cell>
          <cell r="C15">
            <v>1352899.53</v>
          </cell>
          <cell r="D15">
            <v>0</v>
          </cell>
        </row>
        <row r="16">
          <cell r="B16" t="str">
            <v>08585452806</v>
          </cell>
          <cell r="C16">
            <v>293229.81000000006</v>
          </cell>
          <cell r="D16">
            <v>0</v>
          </cell>
        </row>
        <row r="17">
          <cell r="B17" t="str">
            <v>08585452808</v>
          </cell>
          <cell r="C17">
            <v>-1.8252843680954811E-11</v>
          </cell>
          <cell r="D17">
            <v>0</v>
          </cell>
        </row>
        <row r="18">
          <cell r="B18" t="str">
            <v>08585552700</v>
          </cell>
          <cell r="C18">
            <v>54970.80999999999</v>
          </cell>
          <cell r="D18">
            <v>0</v>
          </cell>
        </row>
        <row r="19">
          <cell r="B19" t="str">
            <v>08585552701</v>
          </cell>
          <cell r="C19">
            <v>549496.19000000006</v>
          </cell>
          <cell r="D19">
            <v>0</v>
          </cell>
        </row>
        <row r="20">
          <cell r="B20" t="str">
            <v>08585552703</v>
          </cell>
          <cell r="C20">
            <v>155961.65</v>
          </cell>
          <cell r="D20">
            <v>0</v>
          </cell>
        </row>
        <row r="21">
          <cell r="B21" t="str">
            <v>08585752701</v>
          </cell>
          <cell r="C21">
            <v>72372.44</v>
          </cell>
          <cell r="D21">
            <v>0</v>
          </cell>
        </row>
        <row r="22">
          <cell r="B22" t="str">
            <v>08585752702</v>
          </cell>
          <cell r="C22">
            <v>316955.17000000004</v>
          </cell>
          <cell r="D22">
            <v>0</v>
          </cell>
        </row>
        <row r="23">
          <cell r="B23" t="str">
            <v>08585752703</v>
          </cell>
          <cell r="C23">
            <v>275572.19999999995</v>
          </cell>
          <cell r="D23">
            <v>0</v>
          </cell>
        </row>
        <row r="24">
          <cell r="B24" t="str">
            <v>08585752706</v>
          </cell>
          <cell r="C24">
            <v>427994.7300000001</v>
          </cell>
          <cell r="D24">
            <v>0</v>
          </cell>
        </row>
        <row r="25">
          <cell r="B25" t="str">
            <v>08585752707</v>
          </cell>
          <cell r="C25">
            <v>856701.07999999984</v>
          </cell>
          <cell r="D25">
            <v>0</v>
          </cell>
        </row>
        <row r="26">
          <cell r="B26" t="str">
            <v>08585752708</v>
          </cell>
          <cell r="C26">
            <v>479012.87</v>
          </cell>
          <cell r="D26">
            <v>0</v>
          </cell>
        </row>
        <row r="27">
          <cell r="B27" t="str">
            <v>09585752525</v>
          </cell>
          <cell r="C27">
            <v>224091.47</v>
          </cell>
          <cell r="D27">
            <v>0</v>
          </cell>
        </row>
        <row r="28">
          <cell r="B28" t="str">
            <v>09585752526</v>
          </cell>
          <cell r="C28">
            <v>443674.67000000004</v>
          </cell>
          <cell r="D28">
            <v>0</v>
          </cell>
        </row>
        <row r="29">
          <cell r="B29" t="str">
            <v>10585501052011</v>
          </cell>
          <cell r="C29">
            <v>309815.29999999993</v>
          </cell>
          <cell r="D29">
            <v>0</v>
          </cell>
        </row>
        <row r="30">
          <cell r="B30" t="str">
            <v>09585452527</v>
          </cell>
          <cell r="C30">
            <v>640689.92000000004</v>
          </cell>
          <cell r="D30">
            <v>0</v>
          </cell>
        </row>
        <row r="31">
          <cell r="B31" t="str">
            <v>09585701052525</v>
          </cell>
          <cell r="C31">
            <v>324158.38999999996</v>
          </cell>
          <cell r="D31">
            <v>0</v>
          </cell>
        </row>
        <row r="32">
          <cell r="B32" t="str">
            <v>10585701052212</v>
          </cell>
          <cell r="C32">
            <v>3774579.82</v>
          </cell>
          <cell r="D32">
            <v>0</v>
          </cell>
        </row>
        <row r="33">
          <cell r="B33" t="str">
            <v>11585401052214</v>
          </cell>
          <cell r="C33">
            <v>334650.34999999998</v>
          </cell>
          <cell r="D33">
            <v>0</v>
          </cell>
        </row>
        <row r="34">
          <cell r="B34" t="str">
            <v>09585701052528</v>
          </cell>
          <cell r="C34">
            <v>932974.52</v>
          </cell>
          <cell r="D34">
            <v>0</v>
          </cell>
        </row>
        <row r="35">
          <cell r="B35" t="str">
            <v>11585401052210</v>
          </cell>
          <cell r="C35">
            <v>285663.16000000015</v>
          </cell>
          <cell r="D35">
            <v>0</v>
          </cell>
        </row>
        <row r="36">
          <cell r="B36" t="str">
            <v>11585401052213</v>
          </cell>
          <cell r="C36">
            <v>262356.7</v>
          </cell>
          <cell r="D36">
            <v>0</v>
          </cell>
        </row>
        <row r="37">
          <cell r="B37" t="str">
            <v>11585401052212</v>
          </cell>
          <cell r="C37">
            <v>267078.21000000002</v>
          </cell>
          <cell r="D37">
            <v>0</v>
          </cell>
        </row>
        <row r="38">
          <cell r="B38" t="str">
            <v>09585701052526</v>
          </cell>
          <cell r="C38">
            <v>139800.86000000002</v>
          </cell>
          <cell r="D38">
            <v>0</v>
          </cell>
        </row>
        <row r="39">
          <cell r="B39" t="str">
            <v>12585701052216</v>
          </cell>
          <cell r="C39">
            <v>61267.909999999996</v>
          </cell>
          <cell r="D39">
            <v>0</v>
          </cell>
        </row>
        <row r="40">
          <cell r="B40" t="str">
            <v>08585452807</v>
          </cell>
          <cell r="C40">
            <v>281803.71000000002</v>
          </cell>
          <cell r="D40">
            <v>0</v>
          </cell>
        </row>
        <row r="41">
          <cell r="B41" t="str">
            <v>11585501052210</v>
          </cell>
          <cell r="C41">
            <v>444442.57999999996</v>
          </cell>
          <cell r="D41">
            <v>0</v>
          </cell>
        </row>
        <row r="42">
          <cell r="B42" t="str">
            <v>12585701052217</v>
          </cell>
          <cell r="C42">
            <v>420204.35000000003</v>
          </cell>
          <cell r="D42">
            <v>0</v>
          </cell>
        </row>
        <row r="43">
          <cell r="B43" t="str">
            <v>12585701052215</v>
          </cell>
          <cell r="C43">
            <v>71864.589999999953</v>
          </cell>
          <cell r="D43">
            <v>0</v>
          </cell>
        </row>
        <row r="44">
          <cell r="B44" t="str">
            <v>12585701052214</v>
          </cell>
          <cell r="C44">
            <v>847009.71</v>
          </cell>
          <cell r="D44">
            <v>0</v>
          </cell>
        </row>
        <row r="45">
          <cell r="B45" t="str">
            <v>12585401052213</v>
          </cell>
          <cell r="C45">
            <v>607160.66000000015</v>
          </cell>
          <cell r="D45">
            <v>0</v>
          </cell>
        </row>
        <row r="46">
          <cell r="B46" t="str">
            <v>12585401052212</v>
          </cell>
          <cell r="C46">
            <v>389122.42000000004</v>
          </cell>
          <cell r="D46">
            <v>160.92999999999998</v>
          </cell>
        </row>
        <row r="47">
          <cell r="B47" t="str">
            <v>12585401052214</v>
          </cell>
          <cell r="C47">
            <v>188512.04000000004</v>
          </cell>
          <cell r="D47">
            <v>0</v>
          </cell>
        </row>
        <row r="48">
          <cell r="B48" t="str">
            <v>13585701052210</v>
          </cell>
          <cell r="C48">
            <v>409948.72</v>
          </cell>
          <cell r="D48">
            <v>8438.9600000000009</v>
          </cell>
        </row>
        <row r="49">
          <cell r="B49" t="str">
            <v>13585401052217</v>
          </cell>
          <cell r="C49">
            <v>64549.060000000005</v>
          </cell>
          <cell r="D49">
            <v>4756.7700000000004</v>
          </cell>
        </row>
        <row r="50">
          <cell r="B50" t="str">
            <v>12585701052212</v>
          </cell>
          <cell r="C50">
            <v>101810.97</v>
          </cell>
          <cell r="D50">
            <v>88670.150000000009</v>
          </cell>
        </row>
        <row r="51">
          <cell r="B51" t="str">
            <v>12585701052213</v>
          </cell>
          <cell r="C51">
            <v>105539.06</v>
          </cell>
          <cell r="D51">
            <v>215820.99000000002</v>
          </cell>
        </row>
        <row r="52">
          <cell r="B52" t="str">
            <v>13585401052210</v>
          </cell>
          <cell r="C52">
            <v>200499.56000000003</v>
          </cell>
          <cell r="D52">
            <v>242764.61</v>
          </cell>
        </row>
        <row r="53">
          <cell r="B53" t="str">
            <v>12585401052216</v>
          </cell>
          <cell r="C53">
            <v>482.16999999999996</v>
          </cell>
          <cell r="D53">
            <v>3.15</v>
          </cell>
        </row>
        <row r="54">
          <cell r="B54" t="str">
            <v>12585701052220</v>
          </cell>
          <cell r="C54">
            <v>7898.87</v>
          </cell>
          <cell r="D54">
            <v>51.96</v>
          </cell>
        </row>
        <row r="55">
          <cell r="B55" t="str">
            <v>12585401052215</v>
          </cell>
          <cell r="C55">
            <v>32041.91</v>
          </cell>
          <cell r="D55">
            <v>64710.14</v>
          </cell>
        </row>
        <row r="56">
          <cell r="B56" t="str">
            <v>12585701052219</v>
          </cell>
          <cell r="C56">
            <v>2341</v>
          </cell>
          <cell r="D56">
            <v>15.400000000000002</v>
          </cell>
        </row>
        <row r="57">
          <cell r="B57" t="str">
            <v>13585701052212</v>
          </cell>
          <cell r="C57">
            <v>5363.78</v>
          </cell>
          <cell r="D57">
            <v>5678.18</v>
          </cell>
        </row>
        <row r="58">
          <cell r="B58" t="str">
            <v>14585501052210</v>
          </cell>
          <cell r="C58">
            <v>0</v>
          </cell>
          <cell r="D58">
            <v>33626.049999999996</v>
          </cell>
        </row>
        <row r="59">
          <cell r="B59" t="str">
            <v>12585501052214</v>
          </cell>
          <cell r="C59">
            <v>0</v>
          </cell>
          <cell r="D59">
            <v>18998.580000000002</v>
          </cell>
        </row>
        <row r="60">
          <cell r="B60" t="str">
            <v>12585701052223</v>
          </cell>
          <cell r="C60">
            <v>0</v>
          </cell>
          <cell r="D60">
            <v>5949.48</v>
          </cell>
        </row>
        <row r="61">
          <cell r="C61">
            <v>19189427.650000002</v>
          </cell>
          <cell r="D61">
            <v>689645.35000000009</v>
          </cell>
        </row>
      </sheetData>
      <sheetData sheetId="6"/>
      <sheetData sheetId="7"/>
      <sheetData sheetId="8"/>
      <sheetData sheetId="9"/>
      <sheetData sheetId="10"/>
      <sheetData sheetId="11"/>
      <sheetData sheetId="1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loadComp"/>
      <sheetName val="12mthIS"/>
      <sheetName val="12mthTax"/>
      <sheetName val="05-04rev cust stats"/>
      <sheetName val="12mthSTAT05-04"/>
      <sheetName val="DegreeDayCalc"/>
      <sheetName val="BilledSales"/>
    </sheetNames>
    <sheetDataSet>
      <sheetData sheetId="0"/>
      <sheetData sheetId="1" refreshError="1">
        <row r="6">
          <cell r="B6" t="str">
            <v>FINANCIALS</v>
          </cell>
          <cell r="C6" t="str">
            <v>FINANCIALS</v>
          </cell>
          <cell r="D6" t="str">
            <v>FINANCIALS</v>
          </cell>
        </row>
        <row r="7">
          <cell r="B7" t="str">
            <v>Period: DEC-03 currency USD</v>
          </cell>
          <cell r="C7" t="str">
            <v>Period: May-04 currency USD</v>
          </cell>
          <cell r="D7" t="str">
            <v>Period: May-03 currency USD</v>
          </cell>
        </row>
        <row r="9">
          <cell r="B9" t="str">
            <v>IGAS</v>
          </cell>
          <cell r="C9" t="str">
            <v>IGAS</v>
          </cell>
          <cell r="D9" t="str">
            <v>IGAS</v>
          </cell>
          <cell r="E9" t="str">
            <v>12 mth ended</v>
          </cell>
        </row>
        <row r="10">
          <cell r="B10" t="str">
            <v>^(02)</v>
          </cell>
          <cell r="C10" t="str">
            <v>^(02)</v>
          </cell>
          <cell r="D10" t="str">
            <v>^(02)</v>
          </cell>
          <cell r="E10">
            <v>38110</v>
          </cell>
        </row>
        <row r="12">
          <cell r="A12" t="str">
            <v>OPERATING REVENUES:</v>
          </cell>
        </row>
        <row r="13">
          <cell r="A13" t="str">
            <v xml:space="preserve">   Gas Revenue</v>
          </cell>
          <cell r="B13">
            <v>668214111.87</v>
          </cell>
          <cell r="C13">
            <v>371108117.19</v>
          </cell>
          <cell r="D13">
            <v>373821061.42000002</v>
          </cell>
          <cell r="E13">
            <v>665501167.63999987</v>
          </cell>
        </row>
        <row r="14">
          <cell r="A14" t="str">
            <v xml:space="preserve">   Electric Revenue</v>
          </cell>
          <cell r="B14">
            <v>0</v>
          </cell>
          <cell r="C14">
            <v>0</v>
          </cell>
          <cell r="D14">
            <v>0</v>
          </cell>
          <cell r="E14">
            <v>0</v>
          </cell>
        </row>
        <row r="15">
          <cell r="A15" t="str">
            <v xml:space="preserve">   Energy services revenue</v>
          </cell>
          <cell r="B15">
            <v>0</v>
          </cell>
          <cell r="C15">
            <v>0</v>
          </cell>
          <cell r="D15">
            <v>0</v>
          </cell>
          <cell r="E15">
            <v>0</v>
          </cell>
        </row>
        <row r="16">
          <cell r="A16" t="str">
            <v xml:space="preserve">   Other revenue</v>
          </cell>
          <cell r="B16">
            <v>0</v>
          </cell>
          <cell r="C16">
            <v>0</v>
          </cell>
          <cell r="D16">
            <v>0</v>
          </cell>
          <cell r="E16">
            <v>0</v>
          </cell>
        </row>
        <row r="17">
          <cell r="A17" t="str">
            <v>TOTAL REVENUES</v>
          </cell>
          <cell r="B17">
            <v>668214111.87</v>
          </cell>
          <cell r="C17">
            <v>371108117.19</v>
          </cell>
          <cell r="D17">
            <v>373821061.42000002</v>
          </cell>
          <cell r="E17">
            <v>665501167.63999987</v>
          </cell>
        </row>
        <row r="19">
          <cell r="A19" t="str">
            <v>COST OF OPERATING REVENUES:</v>
          </cell>
        </row>
        <row r="20">
          <cell r="A20" t="str">
            <v xml:space="preserve">   Cost of Gas Sold</v>
          </cell>
          <cell r="B20">
            <v>450674313.10000002</v>
          </cell>
          <cell r="C20">
            <v>261192016.22</v>
          </cell>
          <cell r="D20">
            <v>257085356.53999999</v>
          </cell>
          <cell r="E20">
            <v>454780972.78000009</v>
          </cell>
        </row>
        <row r="21">
          <cell r="A21" t="str">
            <v xml:space="preserve">   Fuel for Electric Generation</v>
          </cell>
          <cell r="B21">
            <v>0</v>
          </cell>
          <cell r="C21">
            <v>0</v>
          </cell>
          <cell r="D21">
            <v>0</v>
          </cell>
          <cell r="E21">
            <v>0</v>
          </cell>
        </row>
        <row r="22">
          <cell r="A22" t="str">
            <v xml:space="preserve">   Purchased Electric Energy</v>
          </cell>
          <cell r="B22">
            <v>0</v>
          </cell>
          <cell r="C22">
            <v>0</v>
          </cell>
          <cell r="D22">
            <v>0</v>
          </cell>
          <cell r="E22">
            <v>0</v>
          </cell>
        </row>
        <row r="23">
          <cell r="A23" t="str">
            <v xml:space="preserve">   Cost of energy services revenues</v>
          </cell>
          <cell r="B23">
            <v>0</v>
          </cell>
          <cell r="C23">
            <v>0</v>
          </cell>
          <cell r="D23">
            <v>0</v>
          </cell>
          <cell r="E23">
            <v>0</v>
          </cell>
        </row>
        <row r="24">
          <cell r="A24" t="str">
            <v xml:space="preserve">   Cost of other revenues</v>
          </cell>
          <cell r="B24">
            <v>0</v>
          </cell>
          <cell r="C24">
            <v>0</v>
          </cell>
          <cell r="D24">
            <v>0</v>
          </cell>
          <cell r="E24">
            <v>0</v>
          </cell>
        </row>
        <row r="25">
          <cell r="A25" t="str">
            <v>TOTAL COST OF OPERATING REVENUES</v>
          </cell>
          <cell r="B25">
            <v>450674313.10000002</v>
          </cell>
          <cell r="C25">
            <v>261192016.22</v>
          </cell>
          <cell r="D25">
            <v>257085356.53999999</v>
          </cell>
          <cell r="E25">
            <v>454780972.78000009</v>
          </cell>
        </row>
        <row r="27">
          <cell r="A27" t="str">
            <v>OPERATING EXPENSES:</v>
          </cell>
        </row>
        <row r="28">
          <cell r="A28" t="str">
            <v xml:space="preserve">   Operations</v>
          </cell>
          <cell r="B28">
            <v>77491017.739999995</v>
          </cell>
          <cell r="C28">
            <v>35698303.219999999</v>
          </cell>
          <cell r="D28">
            <v>30820571.370000001</v>
          </cell>
          <cell r="E28">
            <v>82368749.589999989</v>
          </cell>
        </row>
        <row r="29">
          <cell r="A29" t="str">
            <v xml:space="preserve">   Maintenance</v>
          </cell>
          <cell r="B29">
            <v>8323807.6399999997</v>
          </cell>
          <cell r="C29">
            <v>3602488.74</v>
          </cell>
          <cell r="D29">
            <v>3859486.14</v>
          </cell>
          <cell r="E29">
            <v>8066810.2399999984</v>
          </cell>
        </row>
        <row r="30">
          <cell r="A30" t="str">
            <v xml:space="preserve">      Total Operations &amp; Maintenance</v>
          </cell>
          <cell r="B30">
            <v>85814825.379999995</v>
          </cell>
          <cell r="C30">
            <v>39300791.960000001</v>
          </cell>
          <cell r="D30">
            <v>34680057.509999998</v>
          </cell>
          <cell r="E30">
            <v>90435559.830000013</v>
          </cell>
        </row>
        <row r="31">
          <cell r="A31" t="str">
            <v xml:space="preserve">   Merger Costs</v>
          </cell>
          <cell r="B31">
            <v>0</v>
          </cell>
          <cell r="C31">
            <v>0</v>
          </cell>
          <cell r="D31">
            <v>0</v>
          </cell>
          <cell r="E31">
            <v>0</v>
          </cell>
        </row>
        <row r="32">
          <cell r="A32" t="str">
            <v xml:space="preserve">   Restructuring Costs</v>
          </cell>
          <cell r="B32">
            <v>0</v>
          </cell>
          <cell r="C32">
            <v>0</v>
          </cell>
          <cell r="D32">
            <v>0</v>
          </cell>
          <cell r="E32">
            <v>0</v>
          </cell>
        </row>
        <row r="33">
          <cell r="A33" t="str">
            <v xml:space="preserve">   Depreciation and amortization</v>
          </cell>
          <cell r="B33">
            <v>43250363.390000001</v>
          </cell>
          <cell r="C33">
            <v>18534357.329999998</v>
          </cell>
          <cell r="D33">
            <v>17699101.219999999</v>
          </cell>
          <cell r="E33">
            <v>44085619.5</v>
          </cell>
        </row>
        <row r="34">
          <cell r="A34" t="str">
            <v xml:space="preserve">   Property &amp; other taxes</v>
          </cell>
          <cell r="B34">
            <v>16899208.800000001</v>
          </cell>
          <cell r="C34">
            <v>8828523.9299999997</v>
          </cell>
          <cell r="D34">
            <v>8779240</v>
          </cell>
          <cell r="E34">
            <v>16948492.73</v>
          </cell>
        </row>
        <row r="35">
          <cell r="A35" t="str">
            <v>TOTAL OPERATING EXPENSES</v>
          </cell>
          <cell r="B35">
            <v>145964397.56999999</v>
          </cell>
          <cell r="C35">
            <v>66663673.219999999</v>
          </cell>
          <cell r="D35">
            <v>61158398.729999997</v>
          </cell>
          <cell r="E35">
            <v>151469672.06</v>
          </cell>
        </row>
        <row r="37">
          <cell r="A37" t="str">
            <v>OTHER (INCOME) AND DEDUCTIONS</v>
          </cell>
        </row>
        <row r="38">
          <cell r="A38" t="str">
            <v xml:space="preserve">   Equity in unconsolidated affiliates</v>
          </cell>
          <cell r="B38">
            <v>0</v>
          </cell>
          <cell r="C38">
            <v>0</v>
          </cell>
          <cell r="D38">
            <v>0</v>
          </cell>
          <cell r="E38">
            <v>0</v>
          </cell>
        </row>
        <row r="39">
          <cell r="A39" t="str">
            <v xml:space="preserve">   Equity in consolidated affiliates</v>
          </cell>
          <cell r="B39">
            <v>-5816725.8499999996</v>
          </cell>
          <cell r="C39">
            <v>-6208952.6900000004</v>
          </cell>
          <cell r="D39">
            <v>-5206187.24</v>
          </cell>
          <cell r="E39">
            <v>-6819491.2999999989</v>
          </cell>
        </row>
        <row r="40">
          <cell r="A40" t="str">
            <v xml:space="preserve">   Interest Income</v>
          </cell>
          <cell r="B40">
            <v>-7.15</v>
          </cell>
          <cell r="C40">
            <v>-634.05999999999995</v>
          </cell>
          <cell r="D40">
            <v>-7.15</v>
          </cell>
          <cell r="E40">
            <v>-634.05999999999995</v>
          </cell>
        </row>
        <row r="41">
          <cell r="A41" t="str">
            <v xml:space="preserve">   Interest Income on Interco Debt</v>
          </cell>
          <cell r="B41">
            <v>0</v>
          </cell>
          <cell r="C41">
            <v>-107241.46</v>
          </cell>
          <cell r="D41">
            <v>0</v>
          </cell>
          <cell r="E41">
            <v>-107241.46</v>
          </cell>
        </row>
        <row r="42">
          <cell r="A42" t="str">
            <v xml:space="preserve">         Total interest income</v>
          </cell>
          <cell r="B42">
            <v>-7.15</v>
          </cell>
          <cell r="C42">
            <v>-107875.52</v>
          </cell>
          <cell r="D42">
            <v>-7.15</v>
          </cell>
          <cell r="E42">
            <v>-107875.52</v>
          </cell>
        </row>
        <row r="43">
          <cell r="A43" t="str">
            <v xml:space="preserve">   AFUDC - Borrowed</v>
          </cell>
          <cell r="B43">
            <v>-105620.87</v>
          </cell>
          <cell r="C43">
            <v>-61476.97</v>
          </cell>
          <cell r="D43">
            <v>-123506.34</v>
          </cell>
          <cell r="E43">
            <v>-43591.5</v>
          </cell>
        </row>
        <row r="44">
          <cell r="A44" t="str">
            <v xml:space="preserve">   AFUDC - Other</v>
          </cell>
          <cell r="B44">
            <v>-19329.009999999998</v>
          </cell>
          <cell r="C44">
            <v>-25740.71</v>
          </cell>
          <cell r="D44">
            <v>-108.88</v>
          </cell>
          <cell r="E44">
            <v>-44960.840000000004</v>
          </cell>
        </row>
        <row r="45">
          <cell r="A45" t="str">
            <v xml:space="preserve">   Other Income</v>
          </cell>
          <cell r="B45">
            <v>-691578</v>
          </cell>
          <cell r="C45">
            <v>-219789.55</v>
          </cell>
          <cell r="D45">
            <v>-157941.67000000001</v>
          </cell>
          <cell r="E45">
            <v>-753425.88</v>
          </cell>
        </row>
        <row r="46">
          <cell r="A46" t="str">
            <v xml:space="preserve">   Other Income Deductions</v>
          </cell>
          <cell r="B46">
            <v>1544235.43</v>
          </cell>
          <cell r="C46">
            <v>1619851.92</v>
          </cell>
          <cell r="D46">
            <v>1481769.35</v>
          </cell>
          <cell r="E46">
            <v>1682317.9999999995</v>
          </cell>
        </row>
        <row r="47">
          <cell r="A47" t="str">
            <v xml:space="preserve">         Total other income</v>
          </cell>
          <cell r="B47">
            <v>852657.43</v>
          </cell>
          <cell r="C47">
            <v>1400062.37</v>
          </cell>
          <cell r="D47">
            <v>1323827.68</v>
          </cell>
          <cell r="E47">
            <v>928892.12000000034</v>
          </cell>
        </row>
        <row r="48">
          <cell r="A48" t="str">
            <v xml:space="preserve">      Total Other-Net</v>
          </cell>
          <cell r="B48">
            <v>727700.4</v>
          </cell>
          <cell r="C48">
            <v>1204969.17</v>
          </cell>
          <cell r="D48">
            <v>1200205.31</v>
          </cell>
          <cell r="E48">
            <v>732464.25999999978</v>
          </cell>
        </row>
        <row r="49">
          <cell r="A49" t="str">
            <v>TOTAL OTHER INCOME</v>
          </cell>
          <cell r="B49">
            <v>-5089025.45</v>
          </cell>
          <cell r="C49">
            <v>-5003983.5199999996</v>
          </cell>
          <cell r="D49">
            <v>-4005981.93</v>
          </cell>
          <cell r="E49">
            <v>-6087027.0399999991</v>
          </cell>
        </row>
        <row r="51">
          <cell r="A51" t="str">
            <v>INTEREST EXPENSE:</v>
          </cell>
        </row>
        <row r="52">
          <cell r="A52" t="str">
            <v xml:space="preserve">   Interest on Long-Term Debt</v>
          </cell>
          <cell r="B52">
            <v>15526523.279999999</v>
          </cell>
          <cell r="C52">
            <v>6153840.2999999998</v>
          </cell>
          <cell r="D52">
            <v>6659428.6600000001</v>
          </cell>
          <cell r="E52">
            <v>15020934.919999998</v>
          </cell>
        </row>
        <row r="53">
          <cell r="A53" t="str">
            <v xml:space="preserve">   Interest on Short-Term Debt</v>
          </cell>
          <cell r="B53">
            <v>0</v>
          </cell>
          <cell r="C53">
            <v>0</v>
          </cell>
          <cell r="D53">
            <v>0</v>
          </cell>
          <cell r="E53">
            <v>0</v>
          </cell>
        </row>
      </sheetData>
      <sheetData sheetId="2"/>
      <sheetData sheetId="3"/>
      <sheetData sheetId="4"/>
      <sheetData sheetId="5"/>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State"/>
      <sheetName val="Pgs1&amp;5-6"/>
      <sheetName val="Pg2"/>
      <sheetName val="Pg3"/>
      <sheetName val="Pg4"/>
      <sheetName val="Pgs7&amp;8"/>
    </sheetNames>
    <sheetDataSet>
      <sheetData sheetId="0"/>
      <sheetData sheetId="1"/>
      <sheetData sheetId="2"/>
      <sheetData sheetId="3"/>
      <sheetData sheetId="4"/>
      <sheetData sheetId="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sheetName val="PURCHASES"/>
      <sheetName val="OVEC &amp; MISO"/>
      <sheetName val="SCH. 7"/>
      <sheetName val="MISO Charges by Charge Type"/>
      <sheetName val="Fuel Factor"/>
      <sheetName val="FUEL COST"/>
      <sheetName val="VEDS SYST"/>
      <sheetName val="Fuel Delivered"/>
      <sheetName val="Municipals"/>
      <sheetName val="Jasper"/>
      <sheetName val="INPUT SALES"/>
      <sheetName val="Energy Report Rec"/>
      <sheetName val="Sales-Line Loss"/>
      <sheetName val="MACROS"/>
    </sheetNames>
    <sheetDataSet>
      <sheetData sheetId="0"/>
      <sheetData sheetId="1" refreshError="1">
        <row r="4">
          <cell r="B4" t="str">
            <v>April 2007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Bills-All Cust."/>
      <sheetName val="Annual Bills - Rate B"/>
      <sheetName val="Annual Bills - Rate C"/>
      <sheetName val="Annual Bills - Rate D"/>
      <sheetName val="Annual Bills - Rate OPT"/>
      <sheetName val="Rate B-Bills"/>
      <sheetName val="Rate C-Bills"/>
      <sheetName val="Rate D-Bills"/>
      <sheetName val="Rate OPT-Bills"/>
      <sheetName val="Customer List"/>
      <sheetName val="Annual Bills"/>
      <sheetName val="Annual Usage Graph"/>
      <sheetName val="Annual Usage Graph (Proposed)"/>
      <sheetName val="Bill Frequency Analysis"/>
      <sheetName val="RevenueReport"/>
      <sheetName val="Rate B Bill Comparison"/>
      <sheetName val="Rate C Bill Comparison"/>
      <sheetName val="Rate D Bill Comparison"/>
      <sheetName val="Rate OPT Bill Comparison"/>
      <sheetName val="Bill Comparison Exhibit"/>
      <sheetName val="Cover"/>
      <sheetName val="2012 FTE's"/>
      <sheetName val="2013 FTE's"/>
      <sheetName val="2012 Payroll"/>
      <sheetName val="Miller Payroll"/>
      <sheetName val="Payroll ESG"/>
      <sheetName val="Capital Budget-Old"/>
      <sheetName val="Payroll Query"/>
      <sheetName val="VVC Products &amp; Svcs"/>
      <sheetName val="Retail Salaries"/>
      <sheetName val="2013 Payroll"/>
      <sheetName val="2012 Capital"/>
      <sheetName val="2013 Capital"/>
      <sheetName val="2012 Utility Marg Budget A"/>
      <sheetName val="2013 Utility Marg Budget A"/>
      <sheetName val="Net Plant Assets"/>
      <sheetName val="2012 Nonutility Margin"/>
      <sheetName val="2013 Nonutility Margin"/>
      <sheetName val="2012 Nonutility Capex"/>
      <sheetName val="2013 Nonutility Capex"/>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4" t="str">
            <v>CustName</v>
          </cell>
          <cell r="B4" t="str">
            <v>BillMonth</v>
          </cell>
          <cell r="C4" t="str">
            <v>(Item 110)</v>
          </cell>
          <cell r="D4" t="str">
            <v>Block 1</v>
          </cell>
          <cell r="E4" t="str">
            <v>Block 2</v>
          </cell>
          <cell r="F4" t="str">
            <v>Block 3</v>
          </cell>
          <cell r="G4" t="str">
            <v>(Item 120)</v>
          </cell>
          <cell r="H4" t="str">
            <v>Block 1</v>
          </cell>
          <cell r="I4" t="str">
            <v>Block 2</v>
          </cell>
          <cell r="J4" t="str">
            <v>Block 3</v>
          </cell>
          <cell r="K4" t="str">
            <v>CityGate</v>
          </cell>
          <cell r="L4" t="str">
            <v>Backup</v>
          </cell>
          <cell r="M4" t="str">
            <v>Transport</v>
          </cell>
          <cell r="N4" t="str">
            <v>Therm</v>
          </cell>
          <cell r="O4" t="str">
            <v>TGTC</v>
          </cell>
          <cell r="P4" t="str">
            <v>Dth</v>
          </cell>
          <cell r="Q4" t="str">
            <v>Commodity</v>
          </cell>
          <cell r="R4" t="str">
            <v>TOP</v>
          </cell>
          <cell r="S4" t="str">
            <v>Dth</v>
          </cell>
          <cell r="T4" t="str">
            <v>Trans</v>
          </cell>
          <cell r="U4" t="str">
            <v>Storage</v>
          </cell>
          <cell r="V4" t="str">
            <v>Service</v>
          </cell>
          <cell r="W4" t="str">
            <v>Tax</v>
          </cell>
          <cell r="X4" t="str">
            <v>Other</v>
          </cell>
          <cell r="Y4" t="str">
            <v>Dth</v>
          </cell>
          <cell r="Z4" t="str">
            <v>Tariff</v>
          </cell>
          <cell r="AA4" t="str">
            <v>Total</v>
          </cell>
        </row>
        <row r="6">
          <cell r="A6" t="str">
            <v>Rate B</v>
          </cell>
        </row>
        <row r="7">
          <cell r="A7" t="str">
            <v>Ara-Mark Services</v>
          </cell>
          <cell r="B7">
            <v>37104</v>
          </cell>
          <cell r="C7">
            <v>1802</v>
          </cell>
          <cell r="D7">
            <v>50</v>
          </cell>
          <cell r="E7">
            <v>1752</v>
          </cell>
          <cell r="F7" t="str">
            <v>N/A</v>
          </cell>
          <cell r="G7">
            <v>2012</v>
          </cell>
          <cell r="H7">
            <v>50</v>
          </cell>
          <cell r="I7">
            <v>1962</v>
          </cell>
          <cell r="J7" t="str">
            <v>N/A</v>
          </cell>
          <cell r="K7">
            <v>1225.74</v>
          </cell>
          <cell r="L7">
            <v>0</v>
          </cell>
          <cell r="M7">
            <v>75</v>
          </cell>
          <cell r="N7">
            <v>0</v>
          </cell>
          <cell r="O7">
            <v>0</v>
          </cell>
          <cell r="P7">
            <v>0</v>
          </cell>
          <cell r="Q7">
            <v>0</v>
          </cell>
          <cell r="R7">
            <v>0</v>
          </cell>
          <cell r="S7">
            <v>2012</v>
          </cell>
          <cell r="T7">
            <v>6.04</v>
          </cell>
          <cell r="U7">
            <v>0</v>
          </cell>
          <cell r="V7">
            <v>19</v>
          </cell>
          <cell r="W7">
            <v>0.95</v>
          </cell>
          <cell r="X7">
            <v>0</v>
          </cell>
          <cell r="Y7">
            <v>0</v>
          </cell>
          <cell r="Z7">
            <v>0</v>
          </cell>
          <cell r="AA7">
            <v>1326.73</v>
          </cell>
        </row>
        <row r="8">
          <cell r="A8" t="str">
            <v>Ara-Mark Services</v>
          </cell>
          <cell r="B8">
            <v>37135</v>
          </cell>
          <cell r="C8">
            <v>1515</v>
          </cell>
          <cell r="D8">
            <v>50</v>
          </cell>
          <cell r="E8">
            <v>1465</v>
          </cell>
          <cell r="F8" t="str">
            <v>N/A</v>
          </cell>
          <cell r="G8">
            <v>1796</v>
          </cell>
          <cell r="H8">
            <v>50</v>
          </cell>
          <cell r="I8">
            <v>1746</v>
          </cell>
          <cell r="J8" t="str">
            <v>N/A</v>
          </cell>
          <cell r="K8">
            <v>1095.49</v>
          </cell>
          <cell r="L8">
            <v>0</v>
          </cell>
          <cell r="M8">
            <v>75</v>
          </cell>
          <cell r="N8">
            <v>0</v>
          </cell>
          <cell r="O8">
            <v>0</v>
          </cell>
          <cell r="P8">
            <v>0</v>
          </cell>
          <cell r="Q8">
            <v>0</v>
          </cell>
          <cell r="R8">
            <v>0</v>
          </cell>
          <cell r="S8">
            <v>1796</v>
          </cell>
          <cell r="T8">
            <v>5.39</v>
          </cell>
          <cell r="U8">
            <v>0</v>
          </cell>
          <cell r="V8">
            <v>19</v>
          </cell>
          <cell r="W8">
            <v>0.95</v>
          </cell>
          <cell r="X8">
            <v>0</v>
          </cell>
          <cell r="Y8">
            <v>0</v>
          </cell>
          <cell r="Z8">
            <v>0</v>
          </cell>
          <cell r="AA8">
            <v>1195.83</v>
          </cell>
        </row>
        <row r="9">
          <cell r="A9" t="str">
            <v>Ara-Mark Services</v>
          </cell>
          <cell r="B9">
            <v>37165</v>
          </cell>
          <cell r="C9">
            <v>2035</v>
          </cell>
          <cell r="D9">
            <v>50</v>
          </cell>
          <cell r="E9">
            <v>1985</v>
          </cell>
          <cell r="F9" t="str">
            <v>N/A</v>
          </cell>
          <cell r="G9">
            <v>1958</v>
          </cell>
          <cell r="H9">
            <v>50</v>
          </cell>
          <cell r="I9">
            <v>1908</v>
          </cell>
          <cell r="J9" t="str">
            <v>N/A</v>
          </cell>
          <cell r="K9">
            <v>1193.17</v>
          </cell>
          <cell r="L9">
            <v>0</v>
          </cell>
          <cell r="M9">
            <v>75</v>
          </cell>
          <cell r="N9">
            <v>0</v>
          </cell>
          <cell r="O9">
            <v>0</v>
          </cell>
          <cell r="P9">
            <v>0</v>
          </cell>
          <cell r="Q9">
            <v>0</v>
          </cell>
          <cell r="R9">
            <v>0</v>
          </cell>
          <cell r="S9">
            <v>1958</v>
          </cell>
          <cell r="T9">
            <v>5.87</v>
          </cell>
          <cell r="U9">
            <v>0</v>
          </cell>
          <cell r="V9">
            <v>19</v>
          </cell>
          <cell r="W9">
            <v>0.95</v>
          </cell>
          <cell r="X9">
            <v>0</v>
          </cell>
          <cell r="Y9">
            <v>0</v>
          </cell>
          <cell r="Z9">
            <v>0</v>
          </cell>
          <cell r="AA9">
            <v>1293.99</v>
          </cell>
        </row>
        <row r="10">
          <cell r="A10" t="str">
            <v>Ara-Mark Services</v>
          </cell>
          <cell r="B10">
            <v>37196</v>
          </cell>
          <cell r="C10">
            <v>2141</v>
          </cell>
          <cell r="D10">
            <v>50</v>
          </cell>
          <cell r="E10">
            <v>2091</v>
          </cell>
          <cell r="F10" t="str">
            <v>N/A</v>
          </cell>
          <cell r="G10">
            <v>546</v>
          </cell>
          <cell r="H10">
            <v>50</v>
          </cell>
          <cell r="I10">
            <v>496</v>
          </cell>
          <cell r="J10" t="str">
            <v>N/A</v>
          </cell>
          <cell r="K10">
            <v>341.74</v>
          </cell>
          <cell r="L10">
            <v>0</v>
          </cell>
          <cell r="M10">
            <v>75</v>
          </cell>
          <cell r="N10">
            <v>0</v>
          </cell>
          <cell r="O10">
            <v>0</v>
          </cell>
          <cell r="P10">
            <v>0</v>
          </cell>
          <cell r="Q10">
            <v>0</v>
          </cell>
          <cell r="R10">
            <v>0</v>
          </cell>
          <cell r="S10">
            <v>546</v>
          </cell>
          <cell r="T10">
            <v>1.64</v>
          </cell>
          <cell r="U10">
            <v>0</v>
          </cell>
          <cell r="V10">
            <v>19</v>
          </cell>
          <cell r="W10">
            <v>0.95</v>
          </cell>
          <cell r="X10">
            <v>0</v>
          </cell>
          <cell r="Y10">
            <v>0</v>
          </cell>
          <cell r="Z10">
            <v>0</v>
          </cell>
          <cell r="AA10">
            <v>438.33</v>
          </cell>
        </row>
        <row r="11">
          <cell r="A11" t="str">
            <v>Ara-Mark Services</v>
          </cell>
          <cell r="B11">
            <v>37226</v>
          </cell>
          <cell r="C11">
            <v>1980</v>
          </cell>
          <cell r="D11">
            <v>50</v>
          </cell>
          <cell r="E11">
            <v>1930</v>
          </cell>
          <cell r="F11" t="str">
            <v>N/A</v>
          </cell>
          <cell r="G11">
            <v>2400</v>
          </cell>
          <cell r="H11">
            <v>50</v>
          </cell>
          <cell r="I11">
            <v>2350</v>
          </cell>
          <cell r="J11" t="str">
            <v>N/A</v>
          </cell>
          <cell r="K11">
            <v>1459.7</v>
          </cell>
          <cell r="L11">
            <v>0</v>
          </cell>
          <cell r="M11">
            <v>75</v>
          </cell>
          <cell r="N11">
            <v>0</v>
          </cell>
          <cell r="O11">
            <v>0</v>
          </cell>
          <cell r="P11">
            <v>0</v>
          </cell>
          <cell r="Q11">
            <v>0</v>
          </cell>
          <cell r="R11">
            <v>0</v>
          </cell>
          <cell r="S11">
            <v>2400</v>
          </cell>
          <cell r="T11">
            <v>7.2</v>
          </cell>
          <cell r="U11">
            <v>0</v>
          </cell>
          <cell r="V11">
            <v>19</v>
          </cell>
          <cell r="W11">
            <v>0.95</v>
          </cell>
          <cell r="X11">
            <v>0</v>
          </cell>
          <cell r="Y11">
            <v>0</v>
          </cell>
          <cell r="Z11">
            <v>0</v>
          </cell>
          <cell r="AA11">
            <v>1561.85</v>
          </cell>
        </row>
        <row r="12">
          <cell r="A12" t="str">
            <v>Ara-Mark Services</v>
          </cell>
          <cell r="B12">
            <v>37257</v>
          </cell>
          <cell r="C12">
            <v>2613</v>
          </cell>
          <cell r="D12">
            <v>50</v>
          </cell>
          <cell r="E12">
            <v>2563</v>
          </cell>
          <cell r="F12" t="str">
            <v>N/A</v>
          </cell>
          <cell r="G12">
            <v>2400</v>
          </cell>
          <cell r="H12">
            <v>50</v>
          </cell>
          <cell r="I12">
            <v>2350</v>
          </cell>
          <cell r="J12" t="str">
            <v>N/A</v>
          </cell>
          <cell r="K12">
            <v>1459.7</v>
          </cell>
          <cell r="L12">
            <v>0</v>
          </cell>
          <cell r="M12">
            <v>75</v>
          </cell>
          <cell r="N12">
            <v>0</v>
          </cell>
          <cell r="O12">
            <v>0</v>
          </cell>
          <cell r="P12">
            <v>0</v>
          </cell>
          <cell r="Q12">
            <v>0</v>
          </cell>
          <cell r="R12">
            <v>0</v>
          </cell>
          <cell r="S12">
            <v>2400</v>
          </cell>
          <cell r="T12">
            <v>7.2</v>
          </cell>
          <cell r="U12">
            <v>0</v>
          </cell>
          <cell r="V12">
            <v>19</v>
          </cell>
          <cell r="W12">
            <v>0.95</v>
          </cell>
          <cell r="X12">
            <v>0</v>
          </cell>
          <cell r="Y12">
            <v>0</v>
          </cell>
          <cell r="Z12">
            <v>0</v>
          </cell>
          <cell r="AA12">
            <v>1561.85</v>
          </cell>
        </row>
        <row r="13">
          <cell r="A13" t="str">
            <v>Ara-Mark Services</v>
          </cell>
          <cell r="B13">
            <v>37288</v>
          </cell>
          <cell r="C13">
            <v>2240</v>
          </cell>
          <cell r="D13">
            <v>50</v>
          </cell>
          <cell r="E13">
            <v>2190</v>
          </cell>
          <cell r="F13" t="str">
            <v>N/A</v>
          </cell>
          <cell r="G13">
            <v>2212</v>
          </cell>
          <cell r="H13">
            <v>50</v>
          </cell>
          <cell r="I13">
            <v>2162</v>
          </cell>
          <cell r="J13" t="str">
            <v>N/A</v>
          </cell>
          <cell r="K13">
            <v>1346.34</v>
          </cell>
          <cell r="L13">
            <v>0</v>
          </cell>
          <cell r="M13">
            <v>75</v>
          </cell>
          <cell r="N13">
            <v>0</v>
          </cell>
          <cell r="O13">
            <v>0</v>
          </cell>
          <cell r="P13">
            <v>0</v>
          </cell>
          <cell r="Q13">
            <v>0</v>
          </cell>
          <cell r="R13">
            <v>0</v>
          </cell>
          <cell r="S13">
            <v>2212</v>
          </cell>
          <cell r="T13">
            <v>-2.21</v>
          </cell>
          <cell r="U13">
            <v>0</v>
          </cell>
          <cell r="V13">
            <v>19</v>
          </cell>
          <cell r="W13">
            <v>0.95</v>
          </cell>
          <cell r="X13">
            <v>0</v>
          </cell>
          <cell r="Y13">
            <v>0</v>
          </cell>
          <cell r="Z13">
            <v>0</v>
          </cell>
          <cell r="AA13">
            <v>1439.08</v>
          </cell>
        </row>
        <row r="14">
          <cell r="A14" t="str">
            <v>Ara-Mark Services</v>
          </cell>
          <cell r="B14">
            <v>37316</v>
          </cell>
          <cell r="C14">
            <v>2237</v>
          </cell>
          <cell r="D14">
            <v>50</v>
          </cell>
          <cell r="E14">
            <v>2187</v>
          </cell>
          <cell r="F14" t="str">
            <v>N/A</v>
          </cell>
          <cell r="G14">
            <v>2201</v>
          </cell>
          <cell r="H14">
            <v>50</v>
          </cell>
          <cell r="I14">
            <v>2151</v>
          </cell>
          <cell r="J14" t="str">
            <v>N/A</v>
          </cell>
          <cell r="K14">
            <v>1339.7</v>
          </cell>
          <cell r="L14">
            <v>0</v>
          </cell>
          <cell r="M14">
            <v>75</v>
          </cell>
          <cell r="N14">
            <v>0</v>
          </cell>
          <cell r="O14">
            <v>0</v>
          </cell>
          <cell r="P14">
            <v>0</v>
          </cell>
          <cell r="Q14">
            <v>0</v>
          </cell>
          <cell r="R14">
            <v>0</v>
          </cell>
          <cell r="S14">
            <v>2201</v>
          </cell>
          <cell r="T14">
            <v>-2.2000000000000002</v>
          </cell>
          <cell r="U14">
            <v>0</v>
          </cell>
          <cell r="V14">
            <v>19</v>
          </cell>
          <cell r="W14">
            <v>0.95</v>
          </cell>
          <cell r="X14">
            <v>0</v>
          </cell>
          <cell r="Y14">
            <v>0</v>
          </cell>
          <cell r="Z14">
            <v>0</v>
          </cell>
          <cell r="AA14">
            <v>1432.45</v>
          </cell>
        </row>
        <row r="15">
          <cell r="A15" t="str">
            <v>Ara-Mark Services</v>
          </cell>
          <cell r="B15">
            <v>37347</v>
          </cell>
          <cell r="C15">
            <v>2058</v>
          </cell>
          <cell r="D15">
            <v>50</v>
          </cell>
          <cell r="E15">
            <v>2008</v>
          </cell>
          <cell r="F15" t="str">
            <v>N/A</v>
          </cell>
          <cell r="G15">
            <v>2100</v>
          </cell>
          <cell r="H15">
            <v>50</v>
          </cell>
          <cell r="I15">
            <v>2050</v>
          </cell>
          <cell r="J15" t="str">
            <v>N/A</v>
          </cell>
          <cell r="K15">
            <v>1278.8</v>
          </cell>
          <cell r="L15">
            <v>0</v>
          </cell>
          <cell r="M15">
            <v>75</v>
          </cell>
          <cell r="N15">
            <v>0</v>
          </cell>
          <cell r="O15">
            <v>0</v>
          </cell>
          <cell r="P15">
            <v>0</v>
          </cell>
          <cell r="Q15">
            <v>0</v>
          </cell>
          <cell r="R15">
            <v>0</v>
          </cell>
          <cell r="S15">
            <v>2100</v>
          </cell>
          <cell r="T15">
            <v>-2.1</v>
          </cell>
          <cell r="U15">
            <v>0</v>
          </cell>
          <cell r="V15">
            <v>19</v>
          </cell>
          <cell r="W15">
            <v>0.95</v>
          </cell>
          <cell r="X15">
            <v>0</v>
          </cell>
          <cell r="Y15">
            <v>0</v>
          </cell>
          <cell r="Z15">
            <v>0</v>
          </cell>
          <cell r="AA15">
            <v>1371.65</v>
          </cell>
        </row>
        <row r="16">
          <cell r="A16" t="str">
            <v>Ara-Mark Services</v>
          </cell>
          <cell r="B16">
            <v>37377</v>
          </cell>
          <cell r="C16">
            <v>2029</v>
          </cell>
          <cell r="D16">
            <v>50</v>
          </cell>
          <cell r="E16">
            <v>1979</v>
          </cell>
          <cell r="F16" t="str">
            <v>N/A</v>
          </cell>
          <cell r="G16">
            <v>2130</v>
          </cell>
          <cell r="H16">
            <v>50</v>
          </cell>
          <cell r="I16">
            <v>2080</v>
          </cell>
          <cell r="J16" t="str">
            <v>N/A</v>
          </cell>
          <cell r="K16">
            <v>1296.8900000000001</v>
          </cell>
          <cell r="L16">
            <v>0</v>
          </cell>
          <cell r="M16">
            <v>75</v>
          </cell>
          <cell r="N16">
            <v>0</v>
          </cell>
          <cell r="O16">
            <v>0</v>
          </cell>
          <cell r="P16">
            <v>0</v>
          </cell>
          <cell r="Q16">
            <v>0</v>
          </cell>
          <cell r="R16">
            <v>0</v>
          </cell>
          <cell r="S16">
            <v>0</v>
          </cell>
          <cell r="T16">
            <v>0</v>
          </cell>
          <cell r="U16">
            <v>0</v>
          </cell>
          <cell r="V16">
            <v>19</v>
          </cell>
          <cell r="W16">
            <v>0.95</v>
          </cell>
          <cell r="X16">
            <v>0</v>
          </cell>
          <cell r="Y16">
            <v>0</v>
          </cell>
          <cell r="Z16">
            <v>0</v>
          </cell>
          <cell r="AA16">
            <v>1391.84</v>
          </cell>
        </row>
        <row r="17">
          <cell r="A17" t="str">
            <v>Ara-Mark Services</v>
          </cell>
          <cell r="B17">
            <v>37408</v>
          </cell>
          <cell r="C17">
            <v>1842</v>
          </cell>
          <cell r="D17">
            <v>50</v>
          </cell>
          <cell r="E17">
            <v>1792</v>
          </cell>
          <cell r="F17" t="str">
            <v>N/A</v>
          </cell>
          <cell r="G17">
            <v>1800</v>
          </cell>
          <cell r="H17">
            <v>50</v>
          </cell>
          <cell r="I17">
            <v>1750</v>
          </cell>
          <cell r="J17" t="str">
            <v>N/A</v>
          </cell>
          <cell r="K17">
            <v>1097.9000000000001</v>
          </cell>
          <cell r="L17">
            <v>0</v>
          </cell>
          <cell r="M17">
            <v>75</v>
          </cell>
          <cell r="N17">
            <v>0</v>
          </cell>
          <cell r="O17">
            <v>0</v>
          </cell>
          <cell r="P17">
            <v>0</v>
          </cell>
          <cell r="Q17">
            <v>0</v>
          </cell>
          <cell r="R17">
            <v>0</v>
          </cell>
          <cell r="S17">
            <v>0</v>
          </cell>
          <cell r="T17">
            <v>0</v>
          </cell>
          <cell r="U17">
            <v>0</v>
          </cell>
          <cell r="V17">
            <v>19</v>
          </cell>
          <cell r="W17">
            <v>0.95</v>
          </cell>
          <cell r="X17">
            <v>0</v>
          </cell>
          <cell r="Y17">
            <v>0</v>
          </cell>
          <cell r="Z17">
            <v>0</v>
          </cell>
          <cell r="AA17">
            <v>1192.8499999999999</v>
          </cell>
        </row>
        <row r="18">
          <cell r="A18" t="str">
            <v>Ara-Mark Services</v>
          </cell>
          <cell r="B18">
            <v>37438</v>
          </cell>
          <cell r="C18">
            <v>1739</v>
          </cell>
          <cell r="D18">
            <v>50</v>
          </cell>
          <cell r="E18">
            <v>1689</v>
          </cell>
          <cell r="F18" t="str">
            <v>N/A</v>
          </cell>
          <cell r="G18">
            <v>1800</v>
          </cell>
          <cell r="H18">
            <v>50</v>
          </cell>
          <cell r="I18">
            <v>1750</v>
          </cell>
          <cell r="J18" t="str">
            <v>N/A</v>
          </cell>
          <cell r="K18">
            <v>1097.9000000000001</v>
          </cell>
          <cell r="L18">
            <v>0</v>
          </cell>
          <cell r="M18">
            <v>75</v>
          </cell>
          <cell r="N18">
            <v>0</v>
          </cell>
          <cell r="O18">
            <v>0</v>
          </cell>
          <cell r="P18">
            <v>0</v>
          </cell>
          <cell r="Q18">
            <v>0</v>
          </cell>
          <cell r="R18">
            <v>0</v>
          </cell>
          <cell r="S18">
            <v>0</v>
          </cell>
          <cell r="T18">
            <v>0</v>
          </cell>
          <cell r="U18">
            <v>0</v>
          </cell>
          <cell r="V18">
            <v>19</v>
          </cell>
          <cell r="W18">
            <v>0.95</v>
          </cell>
          <cell r="X18">
            <v>0</v>
          </cell>
          <cell r="Y18">
            <v>0</v>
          </cell>
          <cell r="Z18">
            <v>0</v>
          </cell>
          <cell r="AA18">
            <v>1192.8499999999999</v>
          </cell>
        </row>
        <row r="19">
          <cell r="A19" t="str">
            <v>Collis, Inc.</v>
          </cell>
          <cell r="B19">
            <v>37104</v>
          </cell>
          <cell r="C19">
            <v>3576</v>
          </cell>
          <cell r="D19">
            <v>50</v>
          </cell>
          <cell r="E19">
            <v>3526</v>
          </cell>
          <cell r="F19" t="str">
            <v>N/A</v>
          </cell>
          <cell r="G19">
            <v>3634</v>
          </cell>
          <cell r="H19">
            <v>50</v>
          </cell>
          <cell r="I19">
            <v>3584</v>
          </cell>
          <cell r="J19" t="str">
            <v>N/A</v>
          </cell>
          <cell r="K19">
            <v>2203.8000000000002</v>
          </cell>
          <cell r="L19">
            <v>0</v>
          </cell>
          <cell r="M19">
            <v>75</v>
          </cell>
          <cell r="N19">
            <v>0</v>
          </cell>
          <cell r="O19">
            <v>0</v>
          </cell>
          <cell r="P19">
            <v>0</v>
          </cell>
          <cell r="Q19">
            <v>0</v>
          </cell>
          <cell r="R19">
            <v>0</v>
          </cell>
          <cell r="S19">
            <v>3634</v>
          </cell>
          <cell r="T19">
            <v>10.9</v>
          </cell>
          <cell r="U19">
            <v>0</v>
          </cell>
          <cell r="V19">
            <v>19</v>
          </cell>
          <cell r="W19">
            <v>0</v>
          </cell>
          <cell r="X19">
            <v>0</v>
          </cell>
          <cell r="Y19">
            <v>0</v>
          </cell>
          <cell r="Z19">
            <v>0</v>
          </cell>
          <cell r="AA19">
            <v>2308.6999999999998</v>
          </cell>
        </row>
        <row r="20">
          <cell r="A20" t="str">
            <v>Collis, Inc.</v>
          </cell>
          <cell r="B20">
            <v>37135</v>
          </cell>
          <cell r="C20">
            <v>3390</v>
          </cell>
          <cell r="D20">
            <v>50</v>
          </cell>
          <cell r="E20">
            <v>3340</v>
          </cell>
          <cell r="F20" t="str">
            <v>N/A</v>
          </cell>
          <cell r="G20">
            <v>3445</v>
          </cell>
          <cell r="H20">
            <v>50</v>
          </cell>
          <cell r="I20">
            <v>3395</v>
          </cell>
          <cell r="J20" t="str">
            <v>N/A</v>
          </cell>
          <cell r="K20">
            <v>2089.83</v>
          </cell>
          <cell r="L20">
            <v>0</v>
          </cell>
          <cell r="M20">
            <v>75</v>
          </cell>
          <cell r="N20">
            <v>0</v>
          </cell>
          <cell r="O20">
            <v>0</v>
          </cell>
          <cell r="P20">
            <v>0</v>
          </cell>
          <cell r="Q20">
            <v>0</v>
          </cell>
          <cell r="R20">
            <v>0</v>
          </cell>
          <cell r="S20">
            <v>3445</v>
          </cell>
          <cell r="T20">
            <v>10.34</v>
          </cell>
          <cell r="U20">
            <v>0</v>
          </cell>
          <cell r="V20">
            <v>19</v>
          </cell>
          <cell r="W20">
            <v>0</v>
          </cell>
          <cell r="X20">
            <v>0</v>
          </cell>
          <cell r="Y20">
            <v>0</v>
          </cell>
          <cell r="Z20">
            <v>0</v>
          </cell>
          <cell r="AA20">
            <v>2194.17</v>
          </cell>
        </row>
        <row r="21">
          <cell r="A21" t="str">
            <v>Collis, Inc.</v>
          </cell>
          <cell r="B21">
            <v>37165</v>
          </cell>
          <cell r="C21">
            <v>3894</v>
          </cell>
          <cell r="D21">
            <v>50</v>
          </cell>
          <cell r="E21">
            <v>3844</v>
          </cell>
          <cell r="F21" t="str">
            <v>N/A</v>
          </cell>
          <cell r="G21">
            <v>3957</v>
          </cell>
          <cell r="H21">
            <v>50</v>
          </cell>
          <cell r="I21">
            <v>3907</v>
          </cell>
          <cell r="J21" t="str">
            <v>N/A</v>
          </cell>
          <cell r="K21">
            <v>2398.5700000000002</v>
          </cell>
          <cell r="L21">
            <v>0</v>
          </cell>
          <cell r="M21">
            <v>75</v>
          </cell>
          <cell r="N21">
            <v>0</v>
          </cell>
          <cell r="O21">
            <v>0</v>
          </cell>
          <cell r="P21">
            <v>0</v>
          </cell>
          <cell r="Q21">
            <v>0</v>
          </cell>
          <cell r="R21">
            <v>0</v>
          </cell>
          <cell r="S21">
            <v>3957</v>
          </cell>
          <cell r="T21">
            <v>11.87</v>
          </cell>
          <cell r="U21">
            <v>0</v>
          </cell>
          <cell r="V21">
            <v>19</v>
          </cell>
          <cell r="W21">
            <v>0</v>
          </cell>
          <cell r="X21">
            <v>0</v>
          </cell>
          <cell r="Y21">
            <v>0</v>
          </cell>
          <cell r="Z21">
            <v>0</v>
          </cell>
          <cell r="AA21">
            <v>2504.44</v>
          </cell>
        </row>
        <row r="22">
          <cell r="A22" t="str">
            <v>Collis, Inc.</v>
          </cell>
          <cell r="B22">
            <v>37196</v>
          </cell>
          <cell r="C22">
            <v>3606</v>
          </cell>
          <cell r="D22">
            <v>50</v>
          </cell>
          <cell r="E22">
            <v>3556</v>
          </cell>
          <cell r="F22" t="str">
            <v>N/A</v>
          </cell>
          <cell r="G22">
            <v>4400</v>
          </cell>
          <cell r="H22">
            <v>50</v>
          </cell>
          <cell r="I22">
            <v>4350</v>
          </cell>
          <cell r="J22" t="str">
            <v>N/A</v>
          </cell>
          <cell r="K22">
            <v>2665.7</v>
          </cell>
          <cell r="L22">
            <v>0</v>
          </cell>
          <cell r="M22">
            <v>75</v>
          </cell>
          <cell r="N22">
            <v>0</v>
          </cell>
          <cell r="O22">
            <v>0</v>
          </cell>
          <cell r="P22">
            <v>0</v>
          </cell>
          <cell r="Q22">
            <v>0</v>
          </cell>
          <cell r="R22">
            <v>0</v>
          </cell>
          <cell r="S22">
            <v>4400</v>
          </cell>
          <cell r="T22">
            <v>13.2</v>
          </cell>
          <cell r="U22">
            <v>0</v>
          </cell>
          <cell r="V22">
            <v>19</v>
          </cell>
          <cell r="W22">
            <v>0</v>
          </cell>
          <cell r="X22">
            <v>0</v>
          </cell>
          <cell r="Y22">
            <v>0</v>
          </cell>
          <cell r="Z22">
            <v>0</v>
          </cell>
          <cell r="AA22">
            <v>2772.9</v>
          </cell>
        </row>
        <row r="23">
          <cell r="A23" t="str">
            <v>Collis, Inc.</v>
          </cell>
          <cell r="B23">
            <v>37226</v>
          </cell>
          <cell r="C23">
            <v>3315</v>
          </cell>
          <cell r="D23">
            <v>50</v>
          </cell>
          <cell r="E23">
            <v>3265</v>
          </cell>
          <cell r="F23" t="str">
            <v>N/A</v>
          </cell>
          <cell r="G23">
            <v>4700</v>
          </cell>
          <cell r="H23">
            <v>50</v>
          </cell>
          <cell r="I23">
            <v>4650</v>
          </cell>
          <cell r="J23" t="str">
            <v>N/A</v>
          </cell>
          <cell r="K23">
            <v>2846.6</v>
          </cell>
          <cell r="L23">
            <v>0</v>
          </cell>
          <cell r="M23">
            <v>75</v>
          </cell>
          <cell r="N23">
            <v>0</v>
          </cell>
          <cell r="O23">
            <v>0</v>
          </cell>
          <cell r="P23">
            <v>0</v>
          </cell>
          <cell r="Q23">
            <v>0</v>
          </cell>
          <cell r="R23">
            <v>0</v>
          </cell>
          <cell r="S23">
            <v>4700</v>
          </cell>
          <cell r="T23">
            <v>14.1</v>
          </cell>
          <cell r="U23">
            <v>0</v>
          </cell>
          <cell r="V23">
            <v>19</v>
          </cell>
          <cell r="W23">
            <v>0</v>
          </cell>
          <cell r="X23">
            <v>0</v>
          </cell>
          <cell r="Y23">
            <v>0</v>
          </cell>
          <cell r="Z23">
            <v>0</v>
          </cell>
          <cell r="AA23">
            <v>2954.7</v>
          </cell>
        </row>
        <row r="24">
          <cell r="A24" t="str">
            <v>Collis, Inc.</v>
          </cell>
          <cell r="B24">
            <v>37257</v>
          </cell>
          <cell r="C24">
            <v>4303</v>
          </cell>
          <cell r="D24">
            <v>50</v>
          </cell>
          <cell r="E24">
            <v>4253</v>
          </cell>
          <cell r="F24" t="str">
            <v>N/A</v>
          </cell>
          <cell r="G24">
            <v>5600</v>
          </cell>
          <cell r="H24">
            <v>50</v>
          </cell>
          <cell r="I24">
            <v>5550</v>
          </cell>
          <cell r="J24" t="str">
            <v>N/A</v>
          </cell>
          <cell r="K24">
            <v>3389.3</v>
          </cell>
          <cell r="L24">
            <v>0</v>
          </cell>
          <cell r="M24">
            <v>75</v>
          </cell>
          <cell r="N24">
            <v>0</v>
          </cell>
          <cell r="O24">
            <v>0</v>
          </cell>
          <cell r="P24">
            <v>0</v>
          </cell>
          <cell r="Q24">
            <v>0</v>
          </cell>
          <cell r="R24">
            <v>0</v>
          </cell>
          <cell r="S24">
            <v>5600</v>
          </cell>
          <cell r="T24">
            <v>16.8</v>
          </cell>
          <cell r="U24">
            <v>0</v>
          </cell>
          <cell r="V24">
            <v>19</v>
          </cell>
          <cell r="W24">
            <v>0</v>
          </cell>
          <cell r="X24">
            <v>0</v>
          </cell>
          <cell r="Y24">
            <v>0</v>
          </cell>
          <cell r="Z24">
            <v>0</v>
          </cell>
          <cell r="AA24">
            <v>3500.1</v>
          </cell>
        </row>
        <row r="25">
          <cell r="A25" t="str">
            <v>Collis, Inc.</v>
          </cell>
          <cell r="B25">
            <v>37288</v>
          </cell>
          <cell r="C25">
            <v>3967</v>
          </cell>
          <cell r="D25">
            <v>50</v>
          </cell>
          <cell r="E25">
            <v>3917</v>
          </cell>
          <cell r="F25" t="str">
            <v>N/A</v>
          </cell>
          <cell r="G25">
            <v>4200</v>
          </cell>
          <cell r="H25">
            <v>50</v>
          </cell>
          <cell r="I25">
            <v>4150</v>
          </cell>
          <cell r="J25" t="str">
            <v>N/A</v>
          </cell>
          <cell r="K25">
            <v>2545.1</v>
          </cell>
          <cell r="L25">
            <v>0</v>
          </cell>
          <cell r="M25">
            <v>75</v>
          </cell>
          <cell r="N25">
            <v>0</v>
          </cell>
          <cell r="O25">
            <v>0</v>
          </cell>
          <cell r="P25">
            <v>0</v>
          </cell>
          <cell r="Q25">
            <v>0</v>
          </cell>
          <cell r="R25">
            <v>0</v>
          </cell>
          <cell r="S25">
            <v>4200</v>
          </cell>
          <cell r="T25">
            <v>-4.2</v>
          </cell>
          <cell r="U25">
            <v>0</v>
          </cell>
          <cell r="V25">
            <v>19</v>
          </cell>
          <cell r="W25">
            <v>0</v>
          </cell>
          <cell r="X25">
            <v>0</v>
          </cell>
          <cell r="Y25">
            <v>0</v>
          </cell>
          <cell r="Z25">
            <v>0</v>
          </cell>
          <cell r="AA25">
            <v>2634.9</v>
          </cell>
        </row>
        <row r="26">
          <cell r="A26" t="str">
            <v>Collis, Inc.</v>
          </cell>
          <cell r="B26">
            <v>37316</v>
          </cell>
          <cell r="C26">
            <v>3853</v>
          </cell>
          <cell r="D26">
            <v>50</v>
          </cell>
          <cell r="E26">
            <v>3803</v>
          </cell>
          <cell r="F26" t="str">
            <v>N/A</v>
          </cell>
          <cell r="G26">
            <v>4712</v>
          </cell>
          <cell r="H26">
            <v>50</v>
          </cell>
          <cell r="I26">
            <v>4662</v>
          </cell>
          <cell r="J26" t="str">
            <v>N/A</v>
          </cell>
          <cell r="K26">
            <v>2853.84</v>
          </cell>
          <cell r="L26">
            <v>0</v>
          </cell>
          <cell r="M26">
            <v>75</v>
          </cell>
          <cell r="N26">
            <v>0</v>
          </cell>
          <cell r="O26">
            <v>0</v>
          </cell>
          <cell r="P26">
            <v>0</v>
          </cell>
          <cell r="Q26">
            <v>0</v>
          </cell>
          <cell r="R26">
            <v>0</v>
          </cell>
          <cell r="S26">
            <v>4712</v>
          </cell>
          <cell r="T26">
            <v>-4.71</v>
          </cell>
          <cell r="U26">
            <v>0</v>
          </cell>
          <cell r="V26">
            <v>19</v>
          </cell>
          <cell r="W26">
            <v>0</v>
          </cell>
          <cell r="X26">
            <v>0</v>
          </cell>
          <cell r="Y26">
            <v>0</v>
          </cell>
          <cell r="Z26">
            <v>0</v>
          </cell>
          <cell r="AA26">
            <v>2943.13</v>
          </cell>
        </row>
        <row r="27">
          <cell r="A27" t="str">
            <v>Collis, Inc.</v>
          </cell>
          <cell r="B27">
            <v>37347</v>
          </cell>
          <cell r="C27">
            <v>3507</v>
          </cell>
          <cell r="D27">
            <v>50</v>
          </cell>
          <cell r="E27">
            <v>3457</v>
          </cell>
          <cell r="F27" t="str">
            <v>N/A</v>
          </cell>
          <cell r="G27">
            <v>3600</v>
          </cell>
          <cell r="H27">
            <v>50</v>
          </cell>
          <cell r="I27">
            <v>3550</v>
          </cell>
          <cell r="J27" t="str">
            <v>N/A</v>
          </cell>
          <cell r="K27">
            <v>2183.3000000000002</v>
          </cell>
          <cell r="L27">
            <v>0</v>
          </cell>
          <cell r="M27">
            <v>75</v>
          </cell>
          <cell r="N27">
            <v>0</v>
          </cell>
          <cell r="O27">
            <v>0</v>
          </cell>
          <cell r="P27">
            <v>0</v>
          </cell>
          <cell r="Q27">
            <v>0</v>
          </cell>
          <cell r="R27">
            <v>0</v>
          </cell>
          <cell r="S27">
            <v>3600</v>
          </cell>
          <cell r="T27">
            <v>-3.6</v>
          </cell>
          <cell r="U27">
            <v>0</v>
          </cell>
          <cell r="V27">
            <v>19</v>
          </cell>
          <cell r="W27">
            <v>0</v>
          </cell>
          <cell r="X27">
            <v>0</v>
          </cell>
          <cell r="Y27">
            <v>0</v>
          </cell>
          <cell r="Z27">
            <v>0</v>
          </cell>
          <cell r="AA27">
            <v>2273.6999999999998</v>
          </cell>
        </row>
        <row r="28">
          <cell r="A28" t="str">
            <v>Collis, Inc.</v>
          </cell>
          <cell r="B28">
            <v>37377</v>
          </cell>
          <cell r="C28">
            <v>3405</v>
          </cell>
          <cell r="D28">
            <v>50</v>
          </cell>
          <cell r="E28">
            <v>3355</v>
          </cell>
          <cell r="F28" t="str">
            <v>N/A</v>
          </cell>
          <cell r="G28">
            <v>3500</v>
          </cell>
          <cell r="H28">
            <v>50</v>
          </cell>
          <cell r="I28">
            <v>3450</v>
          </cell>
          <cell r="J28" t="str">
            <v>N/A</v>
          </cell>
          <cell r="K28">
            <v>2123</v>
          </cell>
          <cell r="L28">
            <v>0</v>
          </cell>
          <cell r="M28">
            <v>75</v>
          </cell>
          <cell r="N28">
            <v>0</v>
          </cell>
          <cell r="O28">
            <v>0</v>
          </cell>
          <cell r="P28">
            <v>0</v>
          </cell>
          <cell r="Q28">
            <v>0</v>
          </cell>
          <cell r="R28">
            <v>0</v>
          </cell>
          <cell r="S28">
            <v>0</v>
          </cell>
          <cell r="T28">
            <v>0</v>
          </cell>
          <cell r="U28">
            <v>0</v>
          </cell>
          <cell r="V28">
            <v>19</v>
          </cell>
          <cell r="W28">
            <v>0</v>
          </cell>
          <cell r="X28">
            <v>0</v>
          </cell>
          <cell r="Y28">
            <v>0</v>
          </cell>
          <cell r="Z28">
            <v>0</v>
          </cell>
          <cell r="AA28">
            <v>2217</v>
          </cell>
        </row>
        <row r="29">
          <cell r="A29" t="str">
            <v>Collis, Inc.</v>
          </cell>
          <cell r="B29">
            <v>37408</v>
          </cell>
          <cell r="C29">
            <v>3183</v>
          </cell>
          <cell r="D29">
            <v>50</v>
          </cell>
          <cell r="E29">
            <v>3133</v>
          </cell>
          <cell r="F29" t="str">
            <v>N/A</v>
          </cell>
          <cell r="G29">
            <v>3000</v>
          </cell>
          <cell r="H29">
            <v>50</v>
          </cell>
          <cell r="I29">
            <v>2950</v>
          </cell>
          <cell r="J29" t="str">
            <v>N/A</v>
          </cell>
          <cell r="K29">
            <v>1821.5</v>
          </cell>
          <cell r="L29">
            <v>0</v>
          </cell>
          <cell r="M29">
            <v>75</v>
          </cell>
          <cell r="N29">
            <v>0</v>
          </cell>
          <cell r="O29">
            <v>0</v>
          </cell>
          <cell r="P29">
            <v>0</v>
          </cell>
          <cell r="Q29">
            <v>0</v>
          </cell>
          <cell r="R29">
            <v>0</v>
          </cell>
          <cell r="S29">
            <v>0</v>
          </cell>
          <cell r="T29">
            <v>0</v>
          </cell>
          <cell r="U29">
            <v>0</v>
          </cell>
          <cell r="V29">
            <v>19</v>
          </cell>
          <cell r="W29">
            <v>0</v>
          </cell>
          <cell r="X29">
            <v>0</v>
          </cell>
          <cell r="Y29">
            <v>0</v>
          </cell>
          <cell r="Z29">
            <v>0</v>
          </cell>
          <cell r="AA29">
            <v>1915.5</v>
          </cell>
        </row>
        <row r="30">
          <cell r="A30" t="str">
            <v>Collis, Inc.</v>
          </cell>
          <cell r="B30">
            <v>37438</v>
          </cell>
          <cell r="C30">
            <v>3410</v>
          </cell>
          <cell r="D30">
            <v>50</v>
          </cell>
          <cell r="E30">
            <v>3360</v>
          </cell>
          <cell r="F30" t="str">
            <v>N/A</v>
          </cell>
          <cell r="G30">
            <v>3200</v>
          </cell>
          <cell r="H30">
            <v>50</v>
          </cell>
          <cell r="I30">
            <v>3150</v>
          </cell>
          <cell r="J30" t="str">
            <v>N/A</v>
          </cell>
          <cell r="K30">
            <v>1942.1</v>
          </cell>
          <cell r="L30">
            <v>0</v>
          </cell>
          <cell r="M30">
            <v>75</v>
          </cell>
          <cell r="N30">
            <v>0</v>
          </cell>
          <cell r="O30">
            <v>0</v>
          </cell>
          <cell r="P30">
            <v>0</v>
          </cell>
          <cell r="Q30">
            <v>0</v>
          </cell>
          <cell r="R30">
            <v>0</v>
          </cell>
          <cell r="S30">
            <v>0</v>
          </cell>
          <cell r="T30">
            <v>0</v>
          </cell>
          <cell r="U30">
            <v>0</v>
          </cell>
          <cell r="V30">
            <v>19</v>
          </cell>
          <cell r="W30">
            <v>0</v>
          </cell>
          <cell r="X30">
            <v>0</v>
          </cell>
          <cell r="Y30">
            <v>0</v>
          </cell>
          <cell r="Z30">
            <v>0</v>
          </cell>
          <cell r="AA30">
            <v>2036.1</v>
          </cell>
        </row>
        <row r="31">
          <cell r="A31" t="str">
            <v>Consolidated Grain &amp; Barge - Dryer</v>
          </cell>
          <cell r="B31">
            <v>37104</v>
          </cell>
          <cell r="C31">
            <v>189</v>
          </cell>
          <cell r="D31">
            <v>50</v>
          </cell>
          <cell r="E31">
            <v>139</v>
          </cell>
          <cell r="F31" t="str">
            <v>N/A</v>
          </cell>
          <cell r="G31">
            <v>192</v>
          </cell>
          <cell r="H31">
            <v>50</v>
          </cell>
          <cell r="I31">
            <v>142</v>
          </cell>
          <cell r="J31" t="str">
            <v>N/A</v>
          </cell>
          <cell r="K31">
            <v>128.28</v>
          </cell>
          <cell r="L31">
            <v>1675.4</v>
          </cell>
          <cell r="M31">
            <v>75</v>
          </cell>
          <cell r="N31">
            <v>192</v>
          </cell>
          <cell r="O31">
            <v>46.04</v>
          </cell>
          <cell r="P31">
            <v>197</v>
          </cell>
          <cell r="Q31">
            <v>622.52</v>
          </cell>
          <cell r="R31">
            <v>0</v>
          </cell>
          <cell r="S31">
            <v>192</v>
          </cell>
          <cell r="T31">
            <v>0.57999999999999996</v>
          </cell>
          <cell r="U31">
            <v>0</v>
          </cell>
          <cell r="V31">
            <v>19</v>
          </cell>
          <cell r="W31">
            <v>0</v>
          </cell>
          <cell r="X31">
            <v>0</v>
          </cell>
          <cell r="Y31">
            <v>0</v>
          </cell>
          <cell r="Z31">
            <v>0</v>
          </cell>
          <cell r="AA31">
            <v>2566.8200000000002</v>
          </cell>
        </row>
        <row r="32">
          <cell r="A32" t="str">
            <v>Consolidated Grain &amp; Barge - Dryer</v>
          </cell>
          <cell r="B32">
            <v>37135</v>
          </cell>
          <cell r="C32">
            <v>6091</v>
          </cell>
          <cell r="D32">
            <v>50</v>
          </cell>
          <cell r="E32">
            <v>6041</v>
          </cell>
          <cell r="F32" t="str">
            <v>N/A</v>
          </cell>
          <cell r="G32">
            <v>6190</v>
          </cell>
          <cell r="H32">
            <v>50</v>
          </cell>
          <cell r="I32">
            <v>6140</v>
          </cell>
          <cell r="J32" t="str">
            <v>N/A</v>
          </cell>
          <cell r="K32">
            <v>3745.07</v>
          </cell>
          <cell r="L32">
            <v>1621.35</v>
          </cell>
          <cell r="M32">
            <v>75</v>
          </cell>
          <cell r="N32">
            <v>6190</v>
          </cell>
          <cell r="O32">
            <v>1484.36</v>
          </cell>
          <cell r="P32">
            <v>6349</v>
          </cell>
          <cell r="Q32">
            <v>14570.95</v>
          </cell>
          <cell r="R32">
            <v>0</v>
          </cell>
          <cell r="S32">
            <v>6190</v>
          </cell>
          <cell r="T32">
            <v>18.57</v>
          </cell>
          <cell r="U32">
            <v>0</v>
          </cell>
          <cell r="V32">
            <v>19</v>
          </cell>
          <cell r="W32">
            <v>0</v>
          </cell>
          <cell r="X32">
            <v>0</v>
          </cell>
          <cell r="Y32">
            <v>0</v>
          </cell>
          <cell r="Z32">
            <v>0</v>
          </cell>
          <cell r="AA32">
            <v>21534.3</v>
          </cell>
        </row>
        <row r="33">
          <cell r="A33" t="str">
            <v>Consolidated Grain &amp; Barge - Dryer</v>
          </cell>
          <cell r="B33">
            <v>37165</v>
          </cell>
          <cell r="C33">
            <v>761</v>
          </cell>
          <cell r="D33">
            <v>50</v>
          </cell>
          <cell r="E33">
            <v>711</v>
          </cell>
          <cell r="F33" t="str">
            <v>N/A</v>
          </cell>
          <cell r="G33">
            <v>773</v>
          </cell>
          <cell r="H33">
            <v>50</v>
          </cell>
          <cell r="I33">
            <v>723</v>
          </cell>
          <cell r="J33" t="str">
            <v>N/A</v>
          </cell>
          <cell r="K33">
            <v>478.62</v>
          </cell>
          <cell r="L33">
            <v>1675.4</v>
          </cell>
          <cell r="M33">
            <v>75</v>
          </cell>
          <cell r="N33">
            <v>773</v>
          </cell>
          <cell r="O33">
            <v>185.37</v>
          </cell>
          <cell r="P33">
            <v>793</v>
          </cell>
          <cell r="Q33">
            <v>1451.19</v>
          </cell>
          <cell r="R33">
            <v>0</v>
          </cell>
          <cell r="S33">
            <v>773</v>
          </cell>
          <cell r="T33">
            <v>2.3199999999999998</v>
          </cell>
          <cell r="U33">
            <v>0</v>
          </cell>
          <cell r="V33">
            <v>19</v>
          </cell>
          <cell r="W33">
            <v>0</v>
          </cell>
          <cell r="X33">
            <v>0</v>
          </cell>
          <cell r="Y33">
            <v>0</v>
          </cell>
          <cell r="Z33">
            <v>0</v>
          </cell>
          <cell r="AA33">
            <v>3886.9</v>
          </cell>
        </row>
        <row r="34">
          <cell r="A34" t="str">
            <v>Consolidated Grain &amp; Barge - Dryer</v>
          </cell>
          <cell r="B34">
            <v>37196</v>
          </cell>
          <cell r="C34">
            <v>32</v>
          </cell>
          <cell r="D34">
            <v>32</v>
          </cell>
          <cell r="E34">
            <v>0</v>
          </cell>
          <cell r="F34" t="str">
            <v>N/A</v>
          </cell>
          <cell r="G34">
            <v>33</v>
          </cell>
          <cell r="H34">
            <v>33</v>
          </cell>
          <cell r="I34">
            <v>0</v>
          </cell>
          <cell r="J34" t="str">
            <v>N/A</v>
          </cell>
          <cell r="K34">
            <v>28.15</v>
          </cell>
          <cell r="L34">
            <v>1621.35</v>
          </cell>
          <cell r="M34">
            <v>75</v>
          </cell>
          <cell r="N34">
            <v>33</v>
          </cell>
          <cell r="O34">
            <v>7.91</v>
          </cell>
          <cell r="P34">
            <v>33</v>
          </cell>
          <cell r="Q34">
            <v>105.67</v>
          </cell>
          <cell r="R34">
            <v>0</v>
          </cell>
          <cell r="S34">
            <v>33</v>
          </cell>
          <cell r="T34">
            <v>0.1</v>
          </cell>
          <cell r="U34">
            <v>0</v>
          </cell>
          <cell r="V34">
            <v>19</v>
          </cell>
          <cell r="W34">
            <v>0</v>
          </cell>
          <cell r="X34">
            <v>0</v>
          </cell>
          <cell r="Y34">
            <v>0</v>
          </cell>
          <cell r="Z34">
            <v>0</v>
          </cell>
          <cell r="AA34">
            <v>1857.18</v>
          </cell>
        </row>
        <row r="35">
          <cell r="A35" t="str">
            <v>Consolidated Grain &amp; Barge - Dryer</v>
          </cell>
          <cell r="B35">
            <v>37226</v>
          </cell>
          <cell r="C35">
            <v>1616</v>
          </cell>
          <cell r="D35">
            <v>50</v>
          </cell>
          <cell r="E35">
            <v>1566</v>
          </cell>
          <cell r="F35" t="str">
            <v>N/A</v>
          </cell>
          <cell r="G35">
            <v>1642</v>
          </cell>
          <cell r="H35">
            <v>50</v>
          </cell>
          <cell r="I35">
            <v>1592</v>
          </cell>
          <cell r="J35" t="str">
            <v>N/A</v>
          </cell>
          <cell r="K35">
            <v>1002.63</v>
          </cell>
          <cell r="L35">
            <v>1675.4</v>
          </cell>
          <cell r="M35">
            <v>75</v>
          </cell>
          <cell r="N35">
            <v>1642</v>
          </cell>
          <cell r="O35">
            <v>511.48</v>
          </cell>
          <cell r="P35">
            <v>1684</v>
          </cell>
          <cell r="Q35">
            <v>3900.14</v>
          </cell>
          <cell r="R35">
            <v>0</v>
          </cell>
          <cell r="S35">
            <v>1642</v>
          </cell>
          <cell r="T35">
            <v>4.93</v>
          </cell>
          <cell r="U35">
            <v>0</v>
          </cell>
          <cell r="V35">
            <v>19</v>
          </cell>
          <cell r="W35">
            <v>0</v>
          </cell>
          <cell r="X35">
            <v>1912.9</v>
          </cell>
          <cell r="Y35">
            <v>0</v>
          </cell>
          <cell r="Z35">
            <v>0</v>
          </cell>
          <cell r="AA35">
            <v>9101.48</v>
          </cell>
        </row>
        <row r="36">
          <cell r="A36" t="str">
            <v>Consolidated Grain &amp; Barge - Dryer</v>
          </cell>
          <cell r="B36">
            <v>37257</v>
          </cell>
          <cell r="C36">
            <v>2124</v>
          </cell>
          <cell r="D36">
            <v>50</v>
          </cell>
          <cell r="E36">
            <v>2074</v>
          </cell>
          <cell r="F36" t="str">
            <v>N/A</v>
          </cell>
          <cell r="G36">
            <v>2159</v>
          </cell>
          <cell r="H36">
            <v>50</v>
          </cell>
          <cell r="I36">
            <v>2109</v>
          </cell>
          <cell r="J36" t="str">
            <v>N/A</v>
          </cell>
          <cell r="K36">
            <v>1314.38</v>
          </cell>
          <cell r="L36">
            <v>1675.4</v>
          </cell>
          <cell r="M36">
            <v>75</v>
          </cell>
          <cell r="N36">
            <v>2159</v>
          </cell>
          <cell r="O36">
            <v>672.53</v>
          </cell>
          <cell r="P36">
            <v>2214</v>
          </cell>
          <cell r="Q36">
            <v>5656.77</v>
          </cell>
          <cell r="R36">
            <v>0</v>
          </cell>
          <cell r="S36">
            <v>2159</v>
          </cell>
          <cell r="T36">
            <v>6.48</v>
          </cell>
          <cell r="U36">
            <v>0</v>
          </cell>
          <cell r="V36">
            <v>19</v>
          </cell>
          <cell r="W36">
            <v>0</v>
          </cell>
          <cell r="X36">
            <v>-1912.9</v>
          </cell>
          <cell r="Y36">
            <v>0</v>
          </cell>
          <cell r="Z36">
            <v>0</v>
          </cell>
          <cell r="AA36">
            <v>7506.66</v>
          </cell>
        </row>
        <row r="37">
          <cell r="A37" t="str">
            <v>Consolidated Grain &amp; Barge - Dryer</v>
          </cell>
          <cell r="B37">
            <v>37288</v>
          </cell>
          <cell r="C37">
            <v>4228</v>
          </cell>
          <cell r="D37">
            <v>50</v>
          </cell>
          <cell r="E37">
            <v>4178</v>
          </cell>
          <cell r="F37" t="str">
            <v>N/A</v>
          </cell>
          <cell r="G37">
            <v>4297</v>
          </cell>
          <cell r="H37">
            <v>50</v>
          </cell>
          <cell r="I37">
            <v>4247</v>
          </cell>
          <cell r="J37" t="str">
            <v>N/A</v>
          </cell>
          <cell r="K37">
            <v>2603.59</v>
          </cell>
          <cell r="L37">
            <v>1513.26</v>
          </cell>
          <cell r="M37">
            <v>75</v>
          </cell>
          <cell r="N37">
            <v>4297</v>
          </cell>
          <cell r="O37">
            <v>1338.52</v>
          </cell>
          <cell r="P37">
            <v>4407</v>
          </cell>
          <cell r="Q37">
            <v>11259.88</v>
          </cell>
          <cell r="R37">
            <v>0</v>
          </cell>
          <cell r="S37">
            <v>4297</v>
          </cell>
          <cell r="T37">
            <v>-4.3</v>
          </cell>
          <cell r="U37">
            <v>0</v>
          </cell>
          <cell r="V37">
            <v>19</v>
          </cell>
          <cell r="W37">
            <v>0</v>
          </cell>
          <cell r="X37">
            <v>0</v>
          </cell>
          <cell r="Y37">
            <v>0</v>
          </cell>
          <cell r="Z37">
            <v>0</v>
          </cell>
          <cell r="AA37">
            <v>16804.95</v>
          </cell>
        </row>
        <row r="38">
          <cell r="A38" t="str">
            <v>Consolidated Grain &amp; Barge - Dryer</v>
          </cell>
          <cell r="B38">
            <v>37316</v>
          </cell>
          <cell r="C38">
            <v>0</v>
          </cell>
          <cell r="D38">
            <v>0</v>
          </cell>
          <cell r="E38">
            <v>0</v>
          </cell>
          <cell r="F38" t="str">
            <v>N/A</v>
          </cell>
          <cell r="G38">
            <v>0</v>
          </cell>
          <cell r="H38">
            <v>0</v>
          </cell>
          <cell r="I38">
            <v>0</v>
          </cell>
          <cell r="J38" t="str">
            <v>N/A</v>
          </cell>
          <cell r="K38">
            <v>0</v>
          </cell>
          <cell r="L38">
            <v>1675.4</v>
          </cell>
          <cell r="M38">
            <v>75</v>
          </cell>
          <cell r="N38">
            <v>0</v>
          </cell>
          <cell r="O38">
            <v>0</v>
          </cell>
          <cell r="P38">
            <v>0</v>
          </cell>
          <cell r="Q38">
            <v>0</v>
          </cell>
          <cell r="R38">
            <v>0</v>
          </cell>
          <cell r="S38">
            <v>0</v>
          </cell>
          <cell r="T38">
            <v>0</v>
          </cell>
          <cell r="U38">
            <v>0</v>
          </cell>
          <cell r="V38">
            <v>19</v>
          </cell>
          <cell r="W38">
            <v>0</v>
          </cell>
          <cell r="X38">
            <v>0</v>
          </cell>
          <cell r="Y38">
            <v>0</v>
          </cell>
          <cell r="Z38">
            <v>0</v>
          </cell>
          <cell r="AA38">
            <v>1769.4</v>
          </cell>
        </row>
        <row r="39">
          <cell r="A39" t="str">
            <v>Consolidated Grain &amp; Barge - Dryer</v>
          </cell>
          <cell r="B39">
            <v>37347</v>
          </cell>
          <cell r="C39">
            <v>0</v>
          </cell>
          <cell r="D39">
            <v>0</v>
          </cell>
          <cell r="E39">
            <v>0</v>
          </cell>
          <cell r="F39" t="str">
            <v>N/A</v>
          </cell>
          <cell r="G39">
            <v>0</v>
          </cell>
          <cell r="H39">
            <v>0</v>
          </cell>
          <cell r="I39">
            <v>0</v>
          </cell>
          <cell r="J39" t="str">
            <v>N/A</v>
          </cell>
          <cell r="K39">
            <v>0</v>
          </cell>
          <cell r="L39">
            <v>1621.35</v>
          </cell>
          <cell r="M39">
            <v>75</v>
          </cell>
          <cell r="N39">
            <v>0</v>
          </cell>
          <cell r="O39">
            <v>0</v>
          </cell>
          <cell r="P39">
            <v>0</v>
          </cell>
          <cell r="Q39">
            <v>0</v>
          </cell>
          <cell r="R39">
            <v>0</v>
          </cell>
          <cell r="S39">
            <v>0</v>
          </cell>
          <cell r="T39">
            <v>0</v>
          </cell>
          <cell r="U39">
            <v>0</v>
          </cell>
          <cell r="V39">
            <v>19</v>
          </cell>
          <cell r="W39">
            <v>0</v>
          </cell>
          <cell r="X39">
            <v>0</v>
          </cell>
          <cell r="Y39">
            <v>0</v>
          </cell>
          <cell r="Z39">
            <v>0</v>
          </cell>
          <cell r="AA39">
            <v>1715.35</v>
          </cell>
        </row>
        <row r="40">
          <cell r="A40" t="str">
            <v>Consolidated Grain &amp; Barge - Dryer</v>
          </cell>
          <cell r="B40">
            <v>37377</v>
          </cell>
          <cell r="C40">
            <v>650</v>
          </cell>
          <cell r="D40">
            <v>50</v>
          </cell>
          <cell r="E40">
            <v>600</v>
          </cell>
          <cell r="F40" t="str">
            <v>N/A</v>
          </cell>
          <cell r="G40">
            <v>661</v>
          </cell>
          <cell r="H40">
            <v>50</v>
          </cell>
          <cell r="I40">
            <v>611</v>
          </cell>
          <cell r="J40" t="str">
            <v>N/A</v>
          </cell>
          <cell r="K40">
            <v>411.08</v>
          </cell>
          <cell r="L40">
            <v>1675.4</v>
          </cell>
          <cell r="M40">
            <v>75</v>
          </cell>
          <cell r="N40">
            <v>661</v>
          </cell>
          <cell r="O40">
            <v>205.9</v>
          </cell>
          <cell r="P40">
            <v>679</v>
          </cell>
          <cell r="Q40">
            <v>2253.6</v>
          </cell>
          <cell r="R40">
            <v>0</v>
          </cell>
          <cell r="S40">
            <v>0</v>
          </cell>
          <cell r="T40">
            <v>0</v>
          </cell>
          <cell r="U40">
            <v>0</v>
          </cell>
          <cell r="V40">
            <v>19</v>
          </cell>
          <cell r="W40">
            <v>0</v>
          </cell>
          <cell r="X40">
            <v>0</v>
          </cell>
          <cell r="Y40">
            <v>0</v>
          </cell>
          <cell r="Z40">
            <v>0</v>
          </cell>
          <cell r="AA40">
            <v>4639.9799999999996</v>
          </cell>
        </row>
        <row r="41">
          <cell r="A41" t="str">
            <v>Consolidated Grain &amp; Barge - Dryer</v>
          </cell>
          <cell r="B41">
            <v>37408</v>
          </cell>
          <cell r="C41">
            <v>1</v>
          </cell>
          <cell r="D41">
            <v>1</v>
          </cell>
          <cell r="E41">
            <v>0</v>
          </cell>
          <cell r="F41" t="str">
            <v>N/A</v>
          </cell>
          <cell r="G41">
            <v>1</v>
          </cell>
          <cell r="H41">
            <v>1</v>
          </cell>
          <cell r="I41">
            <v>0</v>
          </cell>
          <cell r="J41" t="str">
            <v>N/A</v>
          </cell>
          <cell r="K41">
            <v>0.85</v>
          </cell>
          <cell r="L41">
            <v>1621.35</v>
          </cell>
          <cell r="M41">
            <v>75</v>
          </cell>
          <cell r="N41">
            <v>1</v>
          </cell>
          <cell r="O41">
            <v>0.31</v>
          </cell>
          <cell r="P41">
            <v>1</v>
          </cell>
          <cell r="Q41">
            <v>3.42</v>
          </cell>
          <cell r="R41">
            <v>0</v>
          </cell>
          <cell r="S41">
            <v>0</v>
          </cell>
          <cell r="T41">
            <v>0</v>
          </cell>
          <cell r="U41">
            <v>0</v>
          </cell>
          <cell r="V41">
            <v>19</v>
          </cell>
          <cell r="W41">
            <v>0</v>
          </cell>
          <cell r="X41">
            <v>4639.9799999999996</v>
          </cell>
          <cell r="Y41">
            <v>0</v>
          </cell>
          <cell r="Z41">
            <v>0</v>
          </cell>
          <cell r="AA41">
            <v>6359.91</v>
          </cell>
        </row>
        <row r="42">
          <cell r="A42" t="str">
            <v>Consolidated Grain &amp; Barge - Dryer</v>
          </cell>
          <cell r="B42">
            <v>37438</v>
          </cell>
          <cell r="C42">
            <v>23</v>
          </cell>
          <cell r="D42">
            <v>23</v>
          </cell>
          <cell r="E42">
            <v>0</v>
          </cell>
          <cell r="F42" t="str">
            <v>N/A</v>
          </cell>
          <cell r="G42">
            <v>23</v>
          </cell>
          <cell r="H42">
            <v>23</v>
          </cell>
          <cell r="I42">
            <v>0</v>
          </cell>
          <cell r="J42" t="str">
            <v>N/A</v>
          </cell>
          <cell r="K42">
            <v>19.62</v>
          </cell>
          <cell r="L42">
            <v>1675.4</v>
          </cell>
          <cell r="M42">
            <v>75</v>
          </cell>
          <cell r="N42">
            <v>23</v>
          </cell>
          <cell r="O42">
            <v>7.16</v>
          </cell>
          <cell r="P42">
            <v>24</v>
          </cell>
          <cell r="Q42">
            <v>78.67</v>
          </cell>
          <cell r="R42">
            <v>0</v>
          </cell>
          <cell r="S42">
            <v>0</v>
          </cell>
          <cell r="T42">
            <v>0</v>
          </cell>
          <cell r="U42">
            <v>0</v>
          </cell>
          <cell r="V42">
            <v>19</v>
          </cell>
          <cell r="W42">
            <v>0</v>
          </cell>
          <cell r="X42">
            <v>0</v>
          </cell>
          <cell r="Y42">
            <v>0</v>
          </cell>
          <cell r="Z42">
            <v>0</v>
          </cell>
          <cell r="AA42">
            <v>1874.85</v>
          </cell>
        </row>
        <row r="43">
          <cell r="A43" t="str">
            <v>DSM Engineering Plastics</v>
          </cell>
          <cell r="B43">
            <v>37104</v>
          </cell>
          <cell r="C43">
            <v>424</v>
          </cell>
          <cell r="D43">
            <v>50</v>
          </cell>
          <cell r="E43">
            <v>374</v>
          </cell>
          <cell r="F43" t="str">
            <v>N/A</v>
          </cell>
          <cell r="G43">
            <v>431</v>
          </cell>
          <cell r="H43">
            <v>50</v>
          </cell>
          <cell r="I43">
            <v>381</v>
          </cell>
          <cell r="J43" t="str">
            <v>N/A</v>
          </cell>
          <cell r="K43">
            <v>272.39</v>
          </cell>
          <cell r="L43">
            <v>0</v>
          </cell>
          <cell r="M43">
            <v>75</v>
          </cell>
          <cell r="N43">
            <v>0</v>
          </cell>
          <cell r="O43">
            <v>0</v>
          </cell>
          <cell r="P43">
            <v>0</v>
          </cell>
          <cell r="Q43">
            <v>0</v>
          </cell>
          <cell r="R43">
            <v>0</v>
          </cell>
          <cell r="S43">
            <v>431</v>
          </cell>
          <cell r="T43">
            <v>1.29</v>
          </cell>
          <cell r="U43">
            <v>0</v>
          </cell>
          <cell r="V43">
            <v>19</v>
          </cell>
          <cell r="W43">
            <v>0.95</v>
          </cell>
          <cell r="X43">
            <v>0</v>
          </cell>
          <cell r="Y43">
            <v>0</v>
          </cell>
          <cell r="Z43">
            <v>0</v>
          </cell>
          <cell r="AA43">
            <v>368.63</v>
          </cell>
        </row>
        <row r="44">
          <cell r="A44" t="str">
            <v>DSM Engineering Plastics</v>
          </cell>
          <cell r="B44">
            <v>37135</v>
          </cell>
          <cell r="C44">
            <v>482</v>
          </cell>
          <cell r="D44">
            <v>50</v>
          </cell>
          <cell r="E44">
            <v>432</v>
          </cell>
          <cell r="F44" t="str">
            <v>N/A</v>
          </cell>
          <cell r="G44">
            <v>489</v>
          </cell>
          <cell r="H44">
            <v>50</v>
          </cell>
          <cell r="I44">
            <v>439</v>
          </cell>
          <cell r="J44" t="str">
            <v>N/A</v>
          </cell>
          <cell r="K44">
            <v>307.37</v>
          </cell>
          <cell r="L44">
            <v>0</v>
          </cell>
          <cell r="M44">
            <v>75</v>
          </cell>
          <cell r="N44">
            <v>0</v>
          </cell>
          <cell r="O44">
            <v>0</v>
          </cell>
          <cell r="P44">
            <v>0</v>
          </cell>
          <cell r="Q44">
            <v>0</v>
          </cell>
          <cell r="R44">
            <v>0</v>
          </cell>
          <cell r="S44">
            <v>489</v>
          </cell>
          <cell r="T44">
            <v>1.47</v>
          </cell>
          <cell r="U44">
            <v>0</v>
          </cell>
          <cell r="V44">
            <v>19</v>
          </cell>
          <cell r="W44">
            <v>0.95</v>
          </cell>
          <cell r="X44">
            <v>0</v>
          </cell>
          <cell r="Y44">
            <v>0</v>
          </cell>
          <cell r="Z44">
            <v>0</v>
          </cell>
          <cell r="AA44">
            <v>403.79</v>
          </cell>
        </row>
        <row r="45">
          <cell r="A45" t="str">
            <v>DSM Engineering Plastics</v>
          </cell>
          <cell r="B45">
            <v>37165</v>
          </cell>
          <cell r="C45">
            <v>1460</v>
          </cell>
          <cell r="D45">
            <v>50</v>
          </cell>
          <cell r="E45">
            <v>1410</v>
          </cell>
          <cell r="F45" t="str">
            <v>N/A</v>
          </cell>
          <cell r="G45">
            <v>1500</v>
          </cell>
          <cell r="H45">
            <v>50</v>
          </cell>
          <cell r="I45">
            <v>1450</v>
          </cell>
          <cell r="J45" t="str">
            <v>N/A</v>
          </cell>
          <cell r="K45">
            <v>917</v>
          </cell>
          <cell r="L45">
            <v>0</v>
          </cell>
          <cell r="M45">
            <v>75</v>
          </cell>
          <cell r="N45">
            <v>0</v>
          </cell>
          <cell r="O45">
            <v>0</v>
          </cell>
          <cell r="P45">
            <v>0</v>
          </cell>
          <cell r="Q45">
            <v>0</v>
          </cell>
          <cell r="R45">
            <v>0</v>
          </cell>
          <cell r="S45">
            <v>1500</v>
          </cell>
          <cell r="T45">
            <v>4.5</v>
          </cell>
          <cell r="U45">
            <v>0</v>
          </cell>
          <cell r="V45">
            <v>19</v>
          </cell>
          <cell r="W45">
            <v>0.95</v>
          </cell>
          <cell r="X45">
            <v>0</v>
          </cell>
          <cell r="Y45">
            <v>0</v>
          </cell>
          <cell r="Z45">
            <v>0</v>
          </cell>
          <cell r="AA45">
            <v>1016.45</v>
          </cell>
        </row>
        <row r="46">
          <cell r="A46" t="str">
            <v>DSM Engineering Plastics</v>
          </cell>
          <cell r="B46">
            <v>37196</v>
          </cell>
          <cell r="C46">
            <v>3075</v>
          </cell>
          <cell r="D46">
            <v>50</v>
          </cell>
          <cell r="E46">
            <v>3025</v>
          </cell>
          <cell r="F46" t="str">
            <v>N/A</v>
          </cell>
          <cell r="G46">
            <v>3750</v>
          </cell>
          <cell r="H46">
            <v>50</v>
          </cell>
          <cell r="I46">
            <v>3700</v>
          </cell>
          <cell r="J46" t="str">
            <v>N/A</v>
          </cell>
          <cell r="K46">
            <v>2273.75</v>
          </cell>
          <cell r="L46">
            <v>0</v>
          </cell>
          <cell r="M46">
            <v>75</v>
          </cell>
          <cell r="N46">
            <v>0</v>
          </cell>
          <cell r="O46">
            <v>0</v>
          </cell>
          <cell r="P46">
            <v>0</v>
          </cell>
          <cell r="Q46">
            <v>0</v>
          </cell>
          <cell r="R46">
            <v>0</v>
          </cell>
          <cell r="S46">
            <v>3750</v>
          </cell>
          <cell r="T46">
            <v>11.25</v>
          </cell>
          <cell r="U46">
            <v>0</v>
          </cell>
          <cell r="V46">
            <v>19</v>
          </cell>
          <cell r="W46">
            <v>0.95</v>
          </cell>
          <cell r="X46">
            <v>0</v>
          </cell>
          <cell r="Y46">
            <v>0</v>
          </cell>
          <cell r="Z46">
            <v>0</v>
          </cell>
          <cell r="AA46">
            <v>2379.9499999999998</v>
          </cell>
        </row>
        <row r="47">
          <cell r="A47" t="str">
            <v>DSM Engineering Plastics</v>
          </cell>
          <cell r="B47">
            <v>37226</v>
          </cell>
          <cell r="C47">
            <v>4146</v>
          </cell>
          <cell r="D47">
            <v>50</v>
          </cell>
          <cell r="E47">
            <v>4096</v>
          </cell>
          <cell r="F47" t="str">
            <v>N/A</v>
          </cell>
          <cell r="G47">
            <v>7000</v>
          </cell>
          <cell r="H47">
            <v>50</v>
          </cell>
          <cell r="I47">
            <v>6950</v>
          </cell>
          <cell r="J47" t="str">
            <v>N/A</v>
          </cell>
          <cell r="K47">
            <v>4233.5</v>
          </cell>
          <cell r="L47">
            <v>0</v>
          </cell>
          <cell r="M47">
            <v>75</v>
          </cell>
          <cell r="N47">
            <v>0</v>
          </cell>
          <cell r="O47">
            <v>0</v>
          </cell>
          <cell r="P47">
            <v>0</v>
          </cell>
          <cell r="Q47">
            <v>0</v>
          </cell>
          <cell r="R47">
            <v>0</v>
          </cell>
          <cell r="S47">
            <v>7000</v>
          </cell>
          <cell r="T47">
            <v>21</v>
          </cell>
          <cell r="U47">
            <v>0</v>
          </cell>
          <cell r="V47">
            <v>19</v>
          </cell>
          <cell r="W47">
            <v>0.95</v>
          </cell>
          <cell r="X47">
            <v>0</v>
          </cell>
          <cell r="Y47">
            <v>0</v>
          </cell>
          <cell r="Z47">
            <v>0</v>
          </cell>
          <cell r="AA47">
            <v>4349.45</v>
          </cell>
        </row>
        <row r="48">
          <cell r="A48" t="str">
            <v>DSM Engineering Plastics</v>
          </cell>
          <cell r="B48">
            <v>37257</v>
          </cell>
          <cell r="C48">
            <v>6172</v>
          </cell>
          <cell r="D48">
            <v>50</v>
          </cell>
          <cell r="E48">
            <v>6122</v>
          </cell>
          <cell r="F48" t="str">
            <v>N/A</v>
          </cell>
          <cell r="G48">
            <v>7000</v>
          </cell>
          <cell r="H48">
            <v>50</v>
          </cell>
          <cell r="I48">
            <v>6950</v>
          </cell>
          <cell r="J48" t="str">
            <v>N/A</v>
          </cell>
          <cell r="K48">
            <v>4233.5</v>
          </cell>
          <cell r="L48">
            <v>0</v>
          </cell>
          <cell r="M48">
            <v>75</v>
          </cell>
          <cell r="N48">
            <v>0</v>
          </cell>
          <cell r="O48">
            <v>0</v>
          </cell>
          <cell r="P48">
            <v>0</v>
          </cell>
          <cell r="Q48">
            <v>0</v>
          </cell>
          <cell r="R48">
            <v>0</v>
          </cell>
          <cell r="S48">
            <v>7000</v>
          </cell>
          <cell r="T48">
            <v>21</v>
          </cell>
          <cell r="U48">
            <v>0</v>
          </cell>
          <cell r="V48">
            <v>19</v>
          </cell>
          <cell r="W48">
            <v>0.95</v>
          </cell>
          <cell r="X48">
            <v>0</v>
          </cell>
          <cell r="Y48">
            <v>0</v>
          </cell>
          <cell r="Z48">
            <v>0</v>
          </cell>
          <cell r="AA48">
            <v>4349.45</v>
          </cell>
        </row>
        <row r="49">
          <cell r="A49" t="str">
            <v>DSM Engineering Plastics</v>
          </cell>
          <cell r="B49">
            <v>37288</v>
          </cell>
          <cell r="C49">
            <v>4990</v>
          </cell>
          <cell r="D49">
            <v>50</v>
          </cell>
          <cell r="E49">
            <v>4940</v>
          </cell>
          <cell r="F49" t="str">
            <v>N/A</v>
          </cell>
          <cell r="G49">
            <v>4000</v>
          </cell>
          <cell r="H49">
            <v>50</v>
          </cell>
          <cell r="I49">
            <v>3950</v>
          </cell>
          <cell r="J49" t="str">
            <v>N/A</v>
          </cell>
          <cell r="K49">
            <v>2424.5</v>
          </cell>
          <cell r="L49">
            <v>0</v>
          </cell>
          <cell r="M49">
            <v>75</v>
          </cell>
          <cell r="N49">
            <v>0</v>
          </cell>
          <cell r="O49">
            <v>0</v>
          </cell>
          <cell r="P49">
            <v>0</v>
          </cell>
          <cell r="Q49">
            <v>0</v>
          </cell>
          <cell r="R49">
            <v>0</v>
          </cell>
          <cell r="S49">
            <v>4000</v>
          </cell>
          <cell r="T49">
            <v>-4</v>
          </cell>
          <cell r="U49">
            <v>0</v>
          </cell>
          <cell r="V49">
            <v>19</v>
          </cell>
          <cell r="W49">
            <v>0.95</v>
          </cell>
          <cell r="X49">
            <v>0</v>
          </cell>
          <cell r="Y49">
            <v>0</v>
          </cell>
          <cell r="Z49">
            <v>0</v>
          </cell>
          <cell r="AA49">
            <v>2515.4499999999998</v>
          </cell>
        </row>
        <row r="50">
          <cell r="A50" t="str">
            <v>DSM Engineering Plastics</v>
          </cell>
          <cell r="B50">
            <v>37316</v>
          </cell>
          <cell r="C50">
            <v>3289</v>
          </cell>
          <cell r="D50">
            <v>50</v>
          </cell>
          <cell r="E50">
            <v>3239</v>
          </cell>
          <cell r="F50" t="str">
            <v>N/A</v>
          </cell>
          <cell r="G50">
            <v>3329</v>
          </cell>
          <cell r="H50">
            <v>50</v>
          </cell>
          <cell r="I50">
            <v>3279</v>
          </cell>
          <cell r="J50" t="str">
            <v>N/A</v>
          </cell>
          <cell r="K50">
            <v>2019.89</v>
          </cell>
          <cell r="L50">
            <v>0</v>
          </cell>
          <cell r="M50">
            <v>75</v>
          </cell>
          <cell r="N50">
            <v>0</v>
          </cell>
          <cell r="O50">
            <v>0</v>
          </cell>
          <cell r="P50">
            <v>0</v>
          </cell>
          <cell r="Q50">
            <v>0</v>
          </cell>
          <cell r="R50">
            <v>0</v>
          </cell>
          <cell r="S50">
            <v>3329</v>
          </cell>
          <cell r="T50">
            <v>-3.33</v>
          </cell>
          <cell r="U50">
            <v>0</v>
          </cell>
          <cell r="V50">
            <v>19</v>
          </cell>
          <cell r="W50">
            <v>0.95</v>
          </cell>
          <cell r="X50">
            <v>0</v>
          </cell>
          <cell r="Y50">
            <v>0</v>
          </cell>
          <cell r="Z50">
            <v>0</v>
          </cell>
          <cell r="AA50">
            <v>2111.5100000000002</v>
          </cell>
        </row>
        <row r="51">
          <cell r="A51" t="str">
            <v>DSM Engineering Plastics</v>
          </cell>
          <cell r="B51">
            <v>37347</v>
          </cell>
          <cell r="C51">
            <v>1456</v>
          </cell>
          <cell r="D51">
            <v>50</v>
          </cell>
          <cell r="E51">
            <v>1406</v>
          </cell>
          <cell r="F51" t="str">
            <v>N/A</v>
          </cell>
          <cell r="G51">
            <v>1500</v>
          </cell>
          <cell r="H51">
            <v>50</v>
          </cell>
          <cell r="I51">
            <v>1450</v>
          </cell>
          <cell r="J51" t="str">
            <v>N/A</v>
          </cell>
          <cell r="K51">
            <v>917</v>
          </cell>
          <cell r="L51">
            <v>0</v>
          </cell>
          <cell r="M51">
            <v>75</v>
          </cell>
          <cell r="N51">
            <v>0</v>
          </cell>
          <cell r="O51">
            <v>0</v>
          </cell>
          <cell r="P51">
            <v>0</v>
          </cell>
          <cell r="Q51">
            <v>0</v>
          </cell>
          <cell r="R51">
            <v>0</v>
          </cell>
          <cell r="S51">
            <v>1500</v>
          </cell>
          <cell r="T51">
            <v>-1.5</v>
          </cell>
          <cell r="U51">
            <v>0</v>
          </cell>
          <cell r="V51">
            <v>19</v>
          </cell>
          <cell r="W51">
            <v>0.95</v>
          </cell>
          <cell r="X51">
            <v>0</v>
          </cell>
          <cell r="Y51">
            <v>0</v>
          </cell>
          <cell r="Z51">
            <v>0</v>
          </cell>
          <cell r="AA51">
            <v>1010.45</v>
          </cell>
        </row>
        <row r="52">
          <cell r="A52" t="str">
            <v>DSM Engineering Plastics</v>
          </cell>
          <cell r="B52">
            <v>37377</v>
          </cell>
          <cell r="C52">
            <v>976</v>
          </cell>
          <cell r="D52">
            <v>50</v>
          </cell>
          <cell r="E52">
            <v>926</v>
          </cell>
          <cell r="F52" t="str">
            <v>N/A</v>
          </cell>
          <cell r="G52">
            <v>350</v>
          </cell>
          <cell r="H52">
            <v>50</v>
          </cell>
          <cell r="I52">
            <v>300</v>
          </cell>
          <cell r="J52" t="str">
            <v>N/A</v>
          </cell>
          <cell r="K52">
            <v>223.55</v>
          </cell>
          <cell r="L52">
            <v>0</v>
          </cell>
          <cell r="M52">
            <v>75</v>
          </cell>
          <cell r="N52">
            <v>0</v>
          </cell>
          <cell r="O52">
            <v>0</v>
          </cell>
          <cell r="P52">
            <v>0</v>
          </cell>
          <cell r="Q52">
            <v>0</v>
          </cell>
          <cell r="R52">
            <v>0</v>
          </cell>
          <cell r="S52">
            <v>0</v>
          </cell>
          <cell r="T52">
            <v>0</v>
          </cell>
          <cell r="U52">
            <v>0</v>
          </cell>
          <cell r="V52">
            <v>19</v>
          </cell>
          <cell r="W52">
            <v>0.95</v>
          </cell>
          <cell r="X52">
            <v>0</v>
          </cell>
          <cell r="Y52">
            <v>0</v>
          </cell>
          <cell r="Z52">
            <v>0</v>
          </cell>
          <cell r="AA52">
            <v>318.5</v>
          </cell>
        </row>
        <row r="53">
          <cell r="A53" t="str">
            <v>DSM Engineering Plastics</v>
          </cell>
          <cell r="B53">
            <v>37408</v>
          </cell>
          <cell r="C53">
            <v>359</v>
          </cell>
          <cell r="D53">
            <v>50</v>
          </cell>
          <cell r="E53">
            <v>309</v>
          </cell>
          <cell r="F53" t="str">
            <v>N/A</v>
          </cell>
          <cell r="G53">
            <v>250</v>
          </cell>
          <cell r="H53">
            <v>50</v>
          </cell>
          <cell r="I53">
            <v>200</v>
          </cell>
          <cell r="J53" t="str">
            <v>N/A</v>
          </cell>
          <cell r="K53">
            <v>163.25</v>
          </cell>
          <cell r="L53">
            <v>0</v>
          </cell>
          <cell r="M53">
            <v>75</v>
          </cell>
          <cell r="N53">
            <v>0</v>
          </cell>
          <cell r="O53">
            <v>0</v>
          </cell>
          <cell r="P53">
            <v>0</v>
          </cell>
          <cell r="Q53">
            <v>0</v>
          </cell>
          <cell r="R53">
            <v>0</v>
          </cell>
          <cell r="S53">
            <v>0</v>
          </cell>
          <cell r="T53">
            <v>0</v>
          </cell>
          <cell r="U53">
            <v>0</v>
          </cell>
          <cell r="V53">
            <v>19</v>
          </cell>
          <cell r="W53">
            <v>0.95</v>
          </cell>
          <cell r="X53">
            <v>0</v>
          </cell>
          <cell r="Y53">
            <v>0</v>
          </cell>
          <cell r="Z53">
            <v>0</v>
          </cell>
          <cell r="AA53">
            <v>258.2</v>
          </cell>
        </row>
        <row r="54">
          <cell r="A54" t="str">
            <v>DSM Engineering Plastics</v>
          </cell>
          <cell r="B54">
            <v>37438</v>
          </cell>
          <cell r="C54">
            <v>220</v>
          </cell>
          <cell r="D54">
            <v>50</v>
          </cell>
          <cell r="E54">
            <v>170</v>
          </cell>
          <cell r="F54" t="str">
            <v>N/A</v>
          </cell>
          <cell r="G54">
            <v>300</v>
          </cell>
          <cell r="H54">
            <v>50</v>
          </cell>
          <cell r="I54">
            <v>250</v>
          </cell>
          <cell r="J54" t="str">
            <v>N/A</v>
          </cell>
          <cell r="K54">
            <v>193.4</v>
          </cell>
          <cell r="L54">
            <v>0</v>
          </cell>
          <cell r="M54">
            <v>75</v>
          </cell>
          <cell r="N54">
            <v>0</v>
          </cell>
          <cell r="O54">
            <v>0</v>
          </cell>
          <cell r="P54">
            <v>0</v>
          </cell>
          <cell r="Q54">
            <v>0</v>
          </cell>
          <cell r="R54">
            <v>0</v>
          </cell>
          <cell r="S54">
            <v>0</v>
          </cell>
          <cell r="T54">
            <v>0</v>
          </cell>
          <cell r="U54">
            <v>0</v>
          </cell>
          <cell r="V54">
            <v>19</v>
          </cell>
          <cell r="W54">
            <v>0.95</v>
          </cell>
          <cell r="X54">
            <v>0</v>
          </cell>
          <cell r="Y54">
            <v>0</v>
          </cell>
          <cell r="Z54">
            <v>0</v>
          </cell>
          <cell r="AA54">
            <v>288.35000000000002</v>
          </cell>
        </row>
        <row r="55">
          <cell r="A55" t="str">
            <v>Evansville-Vanderburgh Building Authority</v>
          </cell>
          <cell r="B55">
            <v>37104</v>
          </cell>
          <cell r="C55">
            <v>174</v>
          </cell>
          <cell r="D55">
            <v>50</v>
          </cell>
          <cell r="E55">
            <v>124</v>
          </cell>
          <cell r="F55" t="str">
            <v>N/A</v>
          </cell>
          <cell r="G55">
            <v>900</v>
          </cell>
          <cell r="H55">
            <v>50</v>
          </cell>
          <cell r="I55">
            <v>850</v>
          </cell>
          <cell r="J55" t="str">
            <v>N/A</v>
          </cell>
          <cell r="K55">
            <v>555.20000000000005</v>
          </cell>
          <cell r="L55">
            <v>0</v>
          </cell>
          <cell r="M55">
            <v>75</v>
          </cell>
          <cell r="N55">
            <v>0</v>
          </cell>
          <cell r="O55">
            <v>0</v>
          </cell>
          <cell r="P55">
            <v>0</v>
          </cell>
          <cell r="Q55">
            <v>0</v>
          </cell>
          <cell r="R55">
            <v>0</v>
          </cell>
          <cell r="S55">
            <v>900</v>
          </cell>
          <cell r="T55">
            <v>2.7</v>
          </cell>
          <cell r="U55">
            <v>0</v>
          </cell>
          <cell r="V55">
            <v>19</v>
          </cell>
          <cell r="W55">
            <v>0</v>
          </cell>
          <cell r="X55">
            <v>0</v>
          </cell>
          <cell r="Y55">
            <v>0</v>
          </cell>
          <cell r="Z55">
            <v>0</v>
          </cell>
          <cell r="AA55">
            <v>651.9</v>
          </cell>
        </row>
        <row r="56">
          <cell r="A56" t="str">
            <v>Evansville-Vanderburgh Building Authority</v>
          </cell>
          <cell r="B56">
            <v>37135</v>
          </cell>
          <cell r="C56">
            <v>334</v>
          </cell>
          <cell r="D56">
            <v>50</v>
          </cell>
          <cell r="E56">
            <v>284</v>
          </cell>
          <cell r="F56" t="str">
            <v>N/A</v>
          </cell>
          <cell r="G56">
            <v>900</v>
          </cell>
          <cell r="H56">
            <v>50</v>
          </cell>
          <cell r="I56">
            <v>850</v>
          </cell>
          <cell r="J56" t="str">
            <v>N/A</v>
          </cell>
          <cell r="K56">
            <v>555.20000000000005</v>
          </cell>
          <cell r="L56">
            <v>0</v>
          </cell>
          <cell r="M56">
            <v>75</v>
          </cell>
          <cell r="N56">
            <v>0</v>
          </cell>
          <cell r="O56">
            <v>0</v>
          </cell>
          <cell r="P56">
            <v>0</v>
          </cell>
          <cell r="Q56">
            <v>0</v>
          </cell>
          <cell r="R56">
            <v>0</v>
          </cell>
          <cell r="S56">
            <v>900</v>
          </cell>
          <cell r="T56">
            <v>2.7</v>
          </cell>
          <cell r="U56">
            <v>0</v>
          </cell>
          <cell r="V56">
            <v>19</v>
          </cell>
          <cell r="W56">
            <v>0</v>
          </cell>
          <cell r="X56">
            <v>0</v>
          </cell>
          <cell r="Y56">
            <v>0</v>
          </cell>
          <cell r="Z56">
            <v>0</v>
          </cell>
          <cell r="AA56">
            <v>651.9</v>
          </cell>
        </row>
        <row r="57">
          <cell r="A57" t="str">
            <v>Evansville-Vanderburgh Building Authority</v>
          </cell>
          <cell r="B57">
            <v>37165</v>
          </cell>
          <cell r="C57">
            <v>2162</v>
          </cell>
          <cell r="D57">
            <v>50</v>
          </cell>
          <cell r="E57">
            <v>2112</v>
          </cell>
          <cell r="F57" t="str">
            <v>N/A</v>
          </cell>
          <cell r="G57">
            <v>2400</v>
          </cell>
          <cell r="H57">
            <v>50</v>
          </cell>
          <cell r="I57">
            <v>2350</v>
          </cell>
          <cell r="J57" t="str">
            <v>N/A</v>
          </cell>
          <cell r="K57">
            <v>1459.7</v>
          </cell>
          <cell r="L57">
            <v>0</v>
          </cell>
          <cell r="M57">
            <v>75</v>
          </cell>
          <cell r="N57">
            <v>0</v>
          </cell>
          <cell r="O57">
            <v>0</v>
          </cell>
          <cell r="P57">
            <v>0</v>
          </cell>
          <cell r="Q57">
            <v>0</v>
          </cell>
          <cell r="R57">
            <v>0</v>
          </cell>
          <cell r="S57">
            <v>2400</v>
          </cell>
          <cell r="T57">
            <v>7.2</v>
          </cell>
          <cell r="U57">
            <v>0</v>
          </cell>
          <cell r="V57">
            <v>19</v>
          </cell>
          <cell r="W57">
            <v>0</v>
          </cell>
          <cell r="X57">
            <v>0</v>
          </cell>
          <cell r="Y57">
            <v>0</v>
          </cell>
          <cell r="Z57">
            <v>0</v>
          </cell>
          <cell r="AA57">
            <v>1560.9</v>
          </cell>
        </row>
        <row r="58">
          <cell r="A58" t="str">
            <v>Evansville-Vanderburgh Building Authority</v>
          </cell>
          <cell r="B58">
            <v>37196</v>
          </cell>
          <cell r="C58">
            <v>2084</v>
          </cell>
          <cell r="D58">
            <v>50</v>
          </cell>
          <cell r="E58">
            <v>2034</v>
          </cell>
          <cell r="F58" t="str">
            <v>N/A</v>
          </cell>
          <cell r="G58">
            <v>3400</v>
          </cell>
          <cell r="H58">
            <v>50</v>
          </cell>
          <cell r="I58">
            <v>3350</v>
          </cell>
          <cell r="J58" t="str">
            <v>N/A</v>
          </cell>
          <cell r="K58">
            <v>2062.6999999999998</v>
          </cell>
          <cell r="L58">
            <v>0</v>
          </cell>
          <cell r="M58">
            <v>75</v>
          </cell>
          <cell r="N58">
            <v>0</v>
          </cell>
          <cell r="O58">
            <v>0</v>
          </cell>
          <cell r="P58">
            <v>0</v>
          </cell>
          <cell r="Q58">
            <v>0</v>
          </cell>
          <cell r="R58">
            <v>0</v>
          </cell>
          <cell r="S58">
            <v>3400</v>
          </cell>
          <cell r="T58">
            <v>10.199999999999999</v>
          </cell>
          <cell r="U58">
            <v>0</v>
          </cell>
          <cell r="V58">
            <v>19</v>
          </cell>
          <cell r="W58">
            <v>0</v>
          </cell>
          <cell r="X58">
            <v>0</v>
          </cell>
          <cell r="Y58">
            <v>0</v>
          </cell>
          <cell r="Z58">
            <v>0</v>
          </cell>
          <cell r="AA58">
            <v>2166.9</v>
          </cell>
        </row>
        <row r="59">
          <cell r="A59" t="str">
            <v>Evansville-Vanderburgh Building Authority</v>
          </cell>
          <cell r="B59">
            <v>37226</v>
          </cell>
          <cell r="C59">
            <v>2931</v>
          </cell>
          <cell r="D59">
            <v>50</v>
          </cell>
          <cell r="E59">
            <v>2881</v>
          </cell>
          <cell r="F59" t="str">
            <v>N/A</v>
          </cell>
          <cell r="G59">
            <v>5100</v>
          </cell>
          <cell r="H59">
            <v>50</v>
          </cell>
          <cell r="I59">
            <v>5050</v>
          </cell>
          <cell r="J59" t="str">
            <v>N/A</v>
          </cell>
          <cell r="K59">
            <v>3087.8</v>
          </cell>
          <cell r="L59">
            <v>0</v>
          </cell>
          <cell r="M59">
            <v>75</v>
          </cell>
          <cell r="N59">
            <v>0</v>
          </cell>
          <cell r="O59">
            <v>0</v>
          </cell>
          <cell r="P59">
            <v>0</v>
          </cell>
          <cell r="Q59">
            <v>0</v>
          </cell>
          <cell r="R59">
            <v>0</v>
          </cell>
          <cell r="S59">
            <v>5100</v>
          </cell>
          <cell r="T59">
            <v>15.3</v>
          </cell>
          <cell r="U59">
            <v>0</v>
          </cell>
          <cell r="V59">
            <v>19</v>
          </cell>
          <cell r="W59">
            <v>0</v>
          </cell>
          <cell r="X59">
            <v>0</v>
          </cell>
          <cell r="Y59">
            <v>0</v>
          </cell>
          <cell r="Z59">
            <v>0</v>
          </cell>
          <cell r="AA59">
            <v>3197.1</v>
          </cell>
        </row>
        <row r="60">
          <cell r="A60" t="str">
            <v>Evansville-Vanderburgh Building Authority</v>
          </cell>
          <cell r="B60">
            <v>37257</v>
          </cell>
          <cell r="C60">
            <v>3763</v>
          </cell>
          <cell r="D60">
            <v>50</v>
          </cell>
          <cell r="E60">
            <v>3713</v>
          </cell>
          <cell r="F60" t="str">
            <v>N/A</v>
          </cell>
          <cell r="G60">
            <v>4300</v>
          </cell>
          <cell r="H60">
            <v>50</v>
          </cell>
          <cell r="I60">
            <v>4250</v>
          </cell>
          <cell r="J60" t="str">
            <v>N/A</v>
          </cell>
          <cell r="K60">
            <v>2605.4</v>
          </cell>
          <cell r="L60">
            <v>0</v>
          </cell>
          <cell r="M60">
            <v>75</v>
          </cell>
          <cell r="N60">
            <v>0</v>
          </cell>
          <cell r="O60">
            <v>0</v>
          </cell>
          <cell r="P60">
            <v>0</v>
          </cell>
          <cell r="Q60">
            <v>0</v>
          </cell>
          <cell r="R60">
            <v>0</v>
          </cell>
          <cell r="S60">
            <v>4300</v>
          </cell>
          <cell r="T60">
            <v>12.9</v>
          </cell>
          <cell r="U60">
            <v>0</v>
          </cell>
          <cell r="V60">
            <v>19</v>
          </cell>
          <cell r="W60">
            <v>0</v>
          </cell>
          <cell r="X60">
            <v>0</v>
          </cell>
          <cell r="Y60">
            <v>0</v>
          </cell>
          <cell r="Z60">
            <v>0</v>
          </cell>
          <cell r="AA60">
            <v>2712.3</v>
          </cell>
        </row>
        <row r="61">
          <cell r="A61" t="str">
            <v>Evansville-Vanderburgh Building Authority</v>
          </cell>
          <cell r="B61">
            <v>37288</v>
          </cell>
          <cell r="C61">
            <v>3213</v>
          </cell>
          <cell r="D61">
            <v>50</v>
          </cell>
          <cell r="E61">
            <v>3163</v>
          </cell>
          <cell r="F61" t="str">
            <v>N/A</v>
          </cell>
          <cell r="G61">
            <v>3400</v>
          </cell>
          <cell r="H61">
            <v>50</v>
          </cell>
          <cell r="I61">
            <v>3350</v>
          </cell>
          <cell r="J61" t="str">
            <v>N/A</v>
          </cell>
          <cell r="K61">
            <v>2062.6999999999998</v>
          </cell>
          <cell r="L61">
            <v>0</v>
          </cell>
          <cell r="M61">
            <v>75</v>
          </cell>
          <cell r="N61">
            <v>0</v>
          </cell>
          <cell r="O61">
            <v>0</v>
          </cell>
          <cell r="P61">
            <v>0</v>
          </cell>
          <cell r="Q61">
            <v>0</v>
          </cell>
          <cell r="R61">
            <v>0</v>
          </cell>
          <cell r="S61">
            <v>3400</v>
          </cell>
          <cell r="T61">
            <v>-3.4</v>
          </cell>
          <cell r="U61">
            <v>0</v>
          </cell>
          <cell r="V61">
            <v>19</v>
          </cell>
          <cell r="W61">
            <v>0</v>
          </cell>
          <cell r="X61">
            <v>0</v>
          </cell>
          <cell r="Y61">
            <v>0</v>
          </cell>
          <cell r="Z61">
            <v>0</v>
          </cell>
          <cell r="AA61">
            <v>2153.3000000000002</v>
          </cell>
        </row>
        <row r="62">
          <cell r="A62" t="str">
            <v>Evansville-Vanderburgh Building Authority</v>
          </cell>
          <cell r="B62">
            <v>37316</v>
          </cell>
          <cell r="C62">
            <v>2729</v>
          </cell>
          <cell r="D62">
            <v>50</v>
          </cell>
          <cell r="E62">
            <v>2679</v>
          </cell>
          <cell r="F62" t="str">
            <v>N/A</v>
          </cell>
          <cell r="G62">
            <v>3286</v>
          </cell>
          <cell r="H62">
            <v>50</v>
          </cell>
          <cell r="I62">
            <v>3236</v>
          </cell>
          <cell r="J62" t="str">
            <v>N/A</v>
          </cell>
          <cell r="K62">
            <v>1993.96</v>
          </cell>
          <cell r="L62">
            <v>0</v>
          </cell>
          <cell r="M62">
            <v>75</v>
          </cell>
          <cell r="N62">
            <v>0</v>
          </cell>
          <cell r="O62">
            <v>0</v>
          </cell>
          <cell r="P62">
            <v>0</v>
          </cell>
          <cell r="Q62">
            <v>0</v>
          </cell>
          <cell r="R62">
            <v>0</v>
          </cell>
          <cell r="S62">
            <v>3286</v>
          </cell>
          <cell r="T62">
            <v>-3.29</v>
          </cell>
          <cell r="U62">
            <v>0</v>
          </cell>
          <cell r="V62">
            <v>19</v>
          </cell>
          <cell r="W62">
            <v>0</v>
          </cell>
          <cell r="X62">
            <v>0</v>
          </cell>
          <cell r="Y62">
            <v>0</v>
          </cell>
          <cell r="Z62">
            <v>0</v>
          </cell>
          <cell r="AA62">
            <v>2084.67</v>
          </cell>
        </row>
        <row r="63">
          <cell r="A63" t="str">
            <v>Evansville-Vanderburgh Building Authority</v>
          </cell>
          <cell r="B63">
            <v>37347</v>
          </cell>
          <cell r="C63">
            <v>1679</v>
          </cell>
          <cell r="D63">
            <v>50</v>
          </cell>
          <cell r="E63">
            <v>1629</v>
          </cell>
          <cell r="F63" t="str">
            <v>N/A</v>
          </cell>
          <cell r="G63">
            <v>2600</v>
          </cell>
          <cell r="H63">
            <v>50</v>
          </cell>
          <cell r="I63">
            <v>2550</v>
          </cell>
          <cell r="J63" t="str">
            <v>N/A</v>
          </cell>
          <cell r="K63">
            <v>1580.3</v>
          </cell>
          <cell r="L63">
            <v>0</v>
          </cell>
          <cell r="M63">
            <v>75</v>
          </cell>
          <cell r="N63">
            <v>0</v>
          </cell>
          <cell r="O63">
            <v>0</v>
          </cell>
          <cell r="P63">
            <v>0</v>
          </cell>
          <cell r="Q63">
            <v>0</v>
          </cell>
          <cell r="R63">
            <v>0</v>
          </cell>
          <cell r="S63">
            <v>2600</v>
          </cell>
          <cell r="T63">
            <v>-2.6</v>
          </cell>
          <cell r="U63">
            <v>0</v>
          </cell>
          <cell r="V63">
            <v>19</v>
          </cell>
          <cell r="W63">
            <v>0</v>
          </cell>
          <cell r="X63">
            <v>0</v>
          </cell>
          <cell r="Y63">
            <v>0</v>
          </cell>
          <cell r="Z63">
            <v>0</v>
          </cell>
          <cell r="AA63">
            <v>1671.7</v>
          </cell>
        </row>
        <row r="64">
          <cell r="A64" t="str">
            <v>Evansville-Vanderburgh Building Authority</v>
          </cell>
          <cell r="B64">
            <v>37377</v>
          </cell>
          <cell r="C64">
            <v>1395</v>
          </cell>
          <cell r="D64">
            <v>50</v>
          </cell>
          <cell r="E64">
            <v>1345</v>
          </cell>
          <cell r="F64" t="str">
            <v>N/A</v>
          </cell>
          <cell r="G64">
            <v>2000</v>
          </cell>
          <cell r="H64">
            <v>50</v>
          </cell>
          <cell r="I64">
            <v>1950</v>
          </cell>
          <cell r="J64" t="str">
            <v>N/A</v>
          </cell>
          <cell r="K64">
            <v>1218.5</v>
          </cell>
          <cell r="L64">
            <v>0</v>
          </cell>
          <cell r="M64">
            <v>75</v>
          </cell>
          <cell r="N64">
            <v>0</v>
          </cell>
          <cell r="O64">
            <v>0</v>
          </cell>
          <cell r="P64">
            <v>0</v>
          </cell>
          <cell r="Q64">
            <v>0</v>
          </cell>
          <cell r="R64">
            <v>0</v>
          </cell>
          <cell r="S64">
            <v>0</v>
          </cell>
          <cell r="T64">
            <v>0</v>
          </cell>
          <cell r="U64">
            <v>0</v>
          </cell>
          <cell r="V64">
            <v>19</v>
          </cell>
          <cell r="W64">
            <v>0</v>
          </cell>
          <cell r="X64">
            <v>0</v>
          </cell>
          <cell r="Y64">
            <v>0</v>
          </cell>
          <cell r="Z64">
            <v>0</v>
          </cell>
          <cell r="AA64">
            <v>1312.5</v>
          </cell>
        </row>
        <row r="65">
          <cell r="A65" t="str">
            <v>Evansville-Vanderburgh Building Authority</v>
          </cell>
          <cell r="B65">
            <v>37408</v>
          </cell>
          <cell r="C65">
            <v>1192</v>
          </cell>
          <cell r="D65">
            <v>50</v>
          </cell>
          <cell r="E65">
            <v>1142</v>
          </cell>
          <cell r="F65" t="str">
            <v>N/A</v>
          </cell>
          <cell r="G65">
            <v>1800</v>
          </cell>
          <cell r="H65">
            <v>50</v>
          </cell>
          <cell r="I65">
            <v>1750</v>
          </cell>
          <cell r="J65" t="str">
            <v>N/A</v>
          </cell>
          <cell r="K65">
            <v>1097.9000000000001</v>
          </cell>
          <cell r="L65">
            <v>0</v>
          </cell>
          <cell r="M65">
            <v>75</v>
          </cell>
          <cell r="N65">
            <v>0</v>
          </cell>
          <cell r="O65">
            <v>0</v>
          </cell>
          <cell r="P65">
            <v>0</v>
          </cell>
          <cell r="Q65">
            <v>0</v>
          </cell>
          <cell r="R65">
            <v>0</v>
          </cell>
          <cell r="S65">
            <v>0</v>
          </cell>
          <cell r="T65">
            <v>0</v>
          </cell>
          <cell r="U65">
            <v>0</v>
          </cell>
          <cell r="V65">
            <v>19</v>
          </cell>
          <cell r="W65">
            <v>0</v>
          </cell>
          <cell r="X65">
            <v>0</v>
          </cell>
          <cell r="Y65">
            <v>0</v>
          </cell>
          <cell r="Z65">
            <v>0</v>
          </cell>
          <cell r="AA65">
            <v>1191.9000000000001</v>
          </cell>
        </row>
        <row r="66">
          <cell r="A66" t="str">
            <v>Evansville-Vanderburgh Building Authority</v>
          </cell>
          <cell r="B66">
            <v>37438</v>
          </cell>
          <cell r="C66">
            <v>1529</v>
          </cell>
          <cell r="D66">
            <v>50</v>
          </cell>
          <cell r="E66">
            <v>1479</v>
          </cell>
          <cell r="F66" t="str">
            <v>N/A</v>
          </cell>
          <cell r="G66">
            <v>1700</v>
          </cell>
          <cell r="H66">
            <v>50</v>
          </cell>
          <cell r="I66">
            <v>1650</v>
          </cell>
          <cell r="J66" t="str">
            <v>N/A</v>
          </cell>
          <cell r="K66">
            <v>1037.5999999999999</v>
          </cell>
          <cell r="L66">
            <v>0</v>
          </cell>
          <cell r="M66">
            <v>75</v>
          </cell>
          <cell r="N66">
            <v>0</v>
          </cell>
          <cell r="O66">
            <v>0</v>
          </cell>
          <cell r="P66">
            <v>0</v>
          </cell>
          <cell r="Q66">
            <v>0</v>
          </cell>
          <cell r="R66">
            <v>0</v>
          </cell>
          <cell r="S66">
            <v>0</v>
          </cell>
          <cell r="T66">
            <v>0</v>
          </cell>
          <cell r="U66">
            <v>0</v>
          </cell>
          <cell r="V66">
            <v>19</v>
          </cell>
          <cell r="W66">
            <v>0</v>
          </cell>
          <cell r="X66">
            <v>0</v>
          </cell>
          <cell r="Y66">
            <v>0</v>
          </cell>
          <cell r="Z66">
            <v>0</v>
          </cell>
          <cell r="AA66">
            <v>1131.5999999999999</v>
          </cell>
        </row>
        <row r="67">
          <cell r="A67" t="str">
            <v>Evansville-Vanderburgh School Corp., Bus CNG</v>
          </cell>
          <cell r="B67">
            <v>37104</v>
          </cell>
          <cell r="C67">
            <v>735</v>
          </cell>
          <cell r="D67">
            <v>50</v>
          </cell>
          <cell r="E67">
            <v>685</v>
          </cell>
          <cell r="F67" t="str">
            <v>N/A</v>
          </cell>
          <cell r="G67">
            <v>1000</v>
          </cell>
          <cell r="H67">
            <v>50</v>
          </cell>
          <cell r="I67">
            <v>950</v>
          </cell>
          <cell r="J67" t="str">
            <v>N/A</v>
          </cell>
          <cell r="K67">
            <v>615.5</v>
          </cell>
          <cell r="L67">
            <v>0</v>
          </cell>
          <cell r="M67">
            <v>75</v>
          </cell>
          <cell r="N67">
            <v>0</v>
          </cell>
          <cell r="O67">
            <v>0</v>
          </cell>
          <cell r="P67">
            <v>0</v>
          </cell>
          <cell r="Q67">
            <v>0</v>
          </cell>
          <cell r="R67">
            <v>0</v>
          </cell>
          <cell r="S67">
            <v>1000</v>
          </cell>
          <cell r="T67">
            <v>3</v>
          </cell>
          <cell r="U67">
            <v>0</v>
          </cell>
          <cell r="V67">
            <v>19</v>
          </cell>
          <cell r="W67">
            <v>0</v>
          </cell>
          <cell r="X67">
            <v>0</v>
          </cell>
          <cell r="Y67">
            <v>0</v>
          </cell>
          <cell r="Z67">
            <v>0</v>
          </cell>
          <cell r="AA67">
            <v>712.5</v>
          </cell>
        </row>
        <row r="68">
          <cell r="A68" t="str">
            <v>Evansville-Vanderburgh School Corp., Bus CNG</v>
          </cell>
          <cell r="B68">
            <v>37135</v>
          </cell>
          <cell r="C68">
            <v>945</v>
          </cell>
          <cell r="D68">
            <v>50</v>
          </cell>
          <cell r="E68">
            <v>895</v>
          </cell>
          <cell r="F68" t="str">
            <v>N/A</v>
          </cell>
          <cell r="G68">
            <v>1400</v>
          </cell>
          <cell r="H68">
            <v>50</v>
          </cell>
          <cell r="I68">
            <v>1350</v>
          </cell>
          <cell r="J68" t="str">
            <v>N/A</v>
          </cell>
          <cell r="K68">
            <v>856.7</v>
          </cell>
          <cell r="L68">
            <v>0</v>
          </cell>
          <cell r="M68">
            <v>75</v>
          </cell>
          <cell r="N68">
            <v>0</v>
          </cell>
          <cell r="O68">
            <v>0</v>
          </cell>
          <cell r="P68">
            <v>0</v>
          </cell>
          <cell r="Q68">
            <v>0</v>
          </cell>
          <cell r="R68">
            <v>0</v>
          </cell>
          <cell r="S68">
            <v>1400</v>
          </cell>
          <cell r="T68">
            <v>4.2</v>
          </cell>
          <cell r="U68">
            <v>0</v>
          </cell>
          <cell r="V68">
            <v>19</v>
          </cell>
          <cell r="W68">
            <v>0</v>
          </cell>
          <cell r="X68">
            <v>0</v>
          </cell>
          <cell r="Y68">
            <v>0</v>
          </cell>
          <cell r="Z68">
            <v>0</v>
          </cell>
          <cell r="AA68">
            <v>954.9</v>
          </cell>
        </row>
        <row r="69">
          <cell r="A69" t="str">
            <v>Evansville-Vanderburgh School Corp., Bus CNG</v>
          </cell>
          <cell r="B69">
            <v>37165</v>
          </cell>
          <cell r="C69">
            <v>1178</v>
          </cell>
          <cell r="D69">
            <v>50</v>
          </cell>
          <cell r="E69">
            <v>1128</v>
          </cell>
          <cell r="F69" t="str">
            <v>N/A</v>
          </cell>
          <cell r="G69">
            <v>1400</v>
          </cell>
          <cell r="H69">
            <v>50</v>
          </cell>
          <cell r="I69">
            <v>1350</v>
          </cell>
          <cell r="J69" t="str">
            <v>N/A</v>
          </cell>
          <cell r="K69">
            <v>856.7</v>
          </cell>
          <cell r="L69">
            <v>0</v>
          </cell>
          <cell r="M69">
            <v>75</v>
          </cell>
          <cell r="N69">
            <v>0</v>
          </cell>
          <cell r="O69">
            <v>0</v>
          </cell>
          <cell r="P69">
            <v>0</v>
          </cell>
          <cell r="Q69">
            <v>0</v>
          </cell>
          <cell r="R69">
            <v>0</v>
          </cell>
          <cell r="S69">
            <v>1400</v>
          </cell>
          <cell r="T69">
            <v>4.2</v>
          </cell>
          <cell r="U69">
            <v>0</v>
          </cell>
          <cell r="V69">
            <v>19</v>
          </cell>
          <cell r="W69">
            <v>0</v>
          </cell>
          <cell r="X69">
            <v>0</v>
          </cell>
          <cell r="Y69">
            <v>0</v>
          </cell>
          <cell r="Z69">
            <v>0</v>
          </cell>
          <cell r="AA69">
            <v>954.9</v>
          </cell>
        </row>
        <row r="70">
          <cell r="A70" t="str">
            <v>Evansville-Vanderburgh School Corp., Bus CNG</v>
          </cell>
          <cell r="B70">
            <v>37196</v>
          </cell>
          <cell r="C70">
            <v>1140</v>
          </cell>
          <cell r="D70">
            <v>50</v>
          </cell>
          <cell r="E70">
            <v>1090</v>
          </cell>
          <cell r="F70" t="str">
            <v>N/A</v>
          </cell>
          <cell r="G70">
            <v>1420</v>
          </cell>
          <cell r="H70">
            <v>50</v>
          </cell>
          <cell r="I70">
            <v>1370</v>
          </cell>
          <cell r="J70" t="str">
            <v>N/A</v>
          </cell>
          <cell r="K70">
            <v>868.76</v>
          </cell>
          <cell r="L70">
            <v>0</v>
          </cell>
          <cell r="M70">
            <v>75</v>
          </cell>
          <cell r="N70">
            <v>0</v>
          </cell>
          <cell r="O70">
            <v>0</v>
          </cell>
          <cell r="P70">
            <v>0</v>
          </cell>
          <cell r="Q70">
            <v>0</v>
          </cell>
          <cell r="R70">
            <v>0</v>
          </cell>
          <cell r="S70">
            <v>1420</v>
          </cell>
          <cell r="T70">
            <v>4.26</v>
          </cell>
          <cell r="U70">
            <v>0</v>
          </cell>
          <cell r="V70">
            <v>19</v>
          </cell>
          <cell r="W70">
            <v>0</v>
          </cell>
          <cell r="X70">
            <v>0</v>
          </cell>
          <cell r="Y70">
            <v>0</v>
          </cell>
          <cell r="Z70">
            <v>0</v>
          </cell>
          <cell r="AA70">
            <v>967.02</v>
          </cell>
        </row>
        <row r="71">
          <cell r="A71" t="str">
            <v>Evansville-Vanderburgh School Corp., Bus CNG</v>
          </cell>
          <cell r="B71">
            <v>37226</v>
          </cell>
          <cell r="C71">
            <v>849</v>
          </cell>
          <cell r="D71">
            <v>50</v>
          </cell>
          <cell r="E71">
            <v>799</v>
          </cell>
          <cell r="F71" t="str">
            <v>N/A</v>
          </cell>
          <cell r="G71">
            <v>5100</v>
          </cell>
          <cell r="H71">
            <v>50</v>
          </cell>
          <cell r="I71">
            <v>5050</v>
          </cell>
          <cell r="J71" t="str">
            <v>N/A</v>
          </cell>
          <cell r="K71">
            <v>3087.8</v>
          </cell>
          <cell r="L71">
            <v>0</v>
          </cell>
          <cell r="M71">
            <v>75</v>
          </cell>
          <cell r="N71">
            <v>0</v>
          </cell>
          <cell r="O71">
            <v>0</v>
          </cell>
          <cell r="P71">
            <v>0</v>
          </cell>
          <cell r="Q71">
            <v>0</v>
          </cell>
          <cell r="R71">
            <v>0</v>
          </cell>
          <cell r="S71">
            <v>5100</v>
          </cell>
          <cell r="T71">
            <v>15.3</v>
          </cell>
          <cell r="U71">
            <v>0</v>
          </cell>
          <cell r="V71">
            <v>19</v>
          </cell>
          <cell r="W71">
            <v>0</v>
          </cell>
          <cell r="X71">
            <v>0</v>
          </cell>
          <cell r="Y71">
            <v>0</v>
          </cell>
          <cell r="Z71">
            <v>0</v>
          </cell>
          <cell r="AA71">
            <v>3197.1</v>
          </cell>
        </row>
        <row r="72">
          <cell r="A72" t="str">
            <v>Evansville-Vanderburgh School Corp., Bus CNG</v>
          </cell>
          <cell r="B72">
            <v>37257</v>
          </cell>
          <cell r="C72">
            <v>1188</v>
          </cell>
          <cell r="D72">
            <v>50</v>
          </cell>
          <cell r="E72">
            <v>1138</v>
          </cell>
          <cell r="F72" t="str">
            <v>N/A</v>
          </cell>
          <cell r="G72">
            <v>1200</v>
          </cell>
          <cell r="H72">
            <v>50</v>
          </cell>
          <cell r="I72">
            <v>1150</v>
          </cell>
          <cell r="J72" t="str">
            <v>N/A</v>
          </cell>
          <cell r="K72">
            <v>736.1</v>
          </cell>
          <cell r="L72">
            <v>0</v>
          </cell>
          <cell r="M72">
            <v>75</v>
          </cell>
          <cell r="N72">
            <v>0</v>
          </cell>
          <cell r="O72">
            <v>0</v>
          </cell>
          <cell r="P72">
            <v>0</v>
          </cell>
          <cell r="Q72">
            <v>0</v>
          </cell>
          <cell r="R72">
            <v>0</v>
          </cell>
          <cell r="S72">
            <v>1200</v>
          </cell>
          <cell r="T72">
            <v>3.6</v>
          </cell>
          <cell r="U72">
            <v>0</v>
          </cell>
          <cell r="V72">
            <v>19</v>
          </cell>
          <cell r="W72">
            <v>0</v>
          </cell>
          <cell r="X72">
            <v>0</v>
          </cell>
          <cell r="Y72">
            <v>0</v>
          </cell>
          <cell r="Z72">
            <v>0</v>
          </cell>
          <cell r="AA72">
            <v>833.7</v>
          </cell>
        </row>
        <row r="73">
          <cell r="A73" t="str">
            <v>Evansville-Vanderburgh School Corp., Bus CNG</v>
          </cell>
          <cell r="B73">
            <v>37288</v>
          </cell>
          <cell r="C73">
            <v>1110</v>
          </cell>
          <cell r="D73">
            <v>50</v>
          </cell>
          <cell r="E73">
            <v>1060</v>
          </cell>
          <cell r="F73" t="str">
            <v>N/A</v>
          </cell>
          <cell r="G73">
            <v>1350</v>
          </cell>
          <cell r="H73">
            <v>50</v>
          </cell>
          <cell r="I73">
            <v>1300</v>
          </cell>
          <cell r="J73" t="str">
            <v>N/A</v>
          </cell>
          <cell r="K73">
            <v>826.55</v>
          </cell>
          <cell r="L73">
            <v>0</v>
          </cell>
          <cell r="M73">
            <v>75</v>
          </cell>
          <cell r="N73">
            <v>0</v>
          </cell>
          <cell r="O73">
            <v>0</v>
          </cell>
          <cell r="P73">
            <v>0</v>
          </cell>
          <cell r="Q73">
            <v>0</v>
          </cell>
          <cell r="R73">
            <v>0</v>
          </cell>
          <cell r="S73">
            <v>1350</v>
          </cell>
          <cell r="T73">
            <v>-1.35</v>
          </cell>
          <cell r="U73">
            <v>0</v>
          </cell>
          <cell r="V73">
            <v>19</v>
          </cell>
          <cell r="W73">
            <v>0</v>
          </cell>
          <cell r="X73">
            <v>0</v>
          </cell>
          <cell r="Y73">
            <v>0</v>
          </cell>
          <cell r="Z73">
            <v>0</v>
          </cell>
          <cell r="AA73">
            <v>919.2</v>
          </cell>
        </row>
        <row r="74">
          <cell r="A74" t="str">
            <v>Evansville-Vanderburgh School Corp., Bus CNG</v>
          </cell>
          <cell r="B74">
            <v>37316</v>
          </cell>
          <cell r="C74">
            <v>838</v>
          </cell>
          <cell r="D74">
            <v>50</v>
          </cell>
          <cell r="E74">
            <v>788</v>
          </cell>
          <cell r="F74" t="str">
            <v>N/A</v>
          </cell>
          <cell r="G74">
            <v>1240</v>
          </cell>
          <cell r="H74">
            <v>50</v>
          </cell>
          <cell r="I74">
            <v>1190</v>
          </cell>
          <cell r="J74" t="str">
            <v>N/A</v>
          </cell>
          <cell r="K74">
            <v>760.22</v>
          </cell>
          <cell r="L74">
            <v>0</v>
          </cell>
          <cell r="M74">
            <v>75</v>
          </cell>
          <cell r="N74">
            <v>0</v>
          </cell>
          <cell r="O74">
            <v>0</v>
          </cell>
          <cell r="P74">
            <v>0</v>
          </cell>
          <cell r="Q74">
            <v>0</v>
          </cell>
          <cell r="R74">
            <v>0</v>
          </cell>
          <cell r="S74">
            <v>1240</v>
          </cell>
          <cell r="T74">
            <v>-1.24</v>
          </cell>
          <cell r="U74">
            <v>0</v>
          </cell>
          <cell r="V74">
            <v>19</v>
          </cell>
          <cell r="W74">
            <v>0</v>
          </cell>
          <cell r="X74">
            <v>0</v>
          </cell>
          <cell r="Y74">
            <v>0</v>
          </cell>
          <cell r="Z74">
            <v>0</v>
          </cell>
          <cell r="AA74">
            <v>852.98</v>
          </cell>
        </row>
        <row r="75">
          <cell r="A75" t="str">
            <v>Evansville-Vanderburgh School Corp., Bus CNG</v>
          </cell>
          <cell r="B75">
            <v>37347</v>
          </cell>
          <cell r="C75">
            <v>1109</v>
          </cell>
          <cell r="D75">
            <v>50</v>
          </cell>
          <cell r="E75">
            <v>1059</v>
          </cell>
          <cell r="F75" t="str">
            <v>N/A</v>
          </cell>
          <cell r="G75">
            <v>1300</v>
          </cell>
          <cell r="H75">
            <v>50</v>
          </cell>
          <cell r="I75">
            <v>1250</v>
          </cell>
          <cell r="J75" t="str">
            <v>N/A</v>
          </cell>
          <cell r="K75">
            <v>796.4</v>
          </cell>
          <cell r="L75">
            <v>0</v>
          </cell>
          <cell r="M75">
            <v>75</v>
          </cell>
          <cell r="N75">
            <v>0</v>
          </cell>
          <cell r="O75">
            <v>0</v>
          </cell>
          <cell r="P75">
            <v>0</v>
          </cell>
          <cell r="Q75">
            <v>0</v>
          </cell>
          <cell r="R75">
            <v>0</v>
          </cell>
          <cell r="S75">
            <v>1300</v>
          </cell>
          <cell r="T75">
            <v>-1.3</v>
          </cell>
          <cell r="U75">
            <v>0</v>
          </cell>
          <cell r="V75">
            <v>19</v>
          </cell>
          <cell r="W75">
            <v>0</v>
          </cell>
          <cell r="X75">
            <v>0</v>
          </cell>
          <cell r="Y75">
            <v>0</v>
          </cell>
          <cell r="Z75">
            <v>0</v>
          </cell>
          <cell r="AA75">
            <v>889.1</v>
          </cell>
        </row>
        <row r="76">
          <cell r="A76" t="str">
            <v>Evansville-Vanderburgh School Corp., Bus CNG</v>
          </cell>
          <cell r="B76">
            <v>37377</v>
          </cell>
          <cell r="C76">
            <v>860</v>
          </cell>
          <cell r="D76">
            <v>50</v>
          </cell>
          <cell r="E76">
            <v>810</v>
          </cell>
          <cell r="F76" t="str">
            <v>N/A</v>
          </cell>
          <cell r="G76">
            <v>1100</v>
          </cell>
          <cell r="H76">
            <v>50</v>
          </cell>
          <cell r="I76">
            <v>1050</v>
          </cell>
          <cell r="J76" t="str">
            <v>N/A</v>
          </cell>
          <cell r="K76">
            <v>675.8</v>
          </cell>
          <cell r="L76">
            <v>0</v>
          </cell>
          <cell r="M76">
            <v>75</v>
          </cell>
          <cell r="N76">
            <v>0</v>
          </cell>
          <cell r="O76">
            <v>0</v>
          </cell>
          <cell r="P76">
            <v>0</v>
          </cell>
          <cell r="Q76">
            <v>0</v>
          </cell>
          <cell r="R76">
            <v>0</v>
          </cell>
          <cell r="S76">
            <v>0</v>
          </cell>
          <cell r="T76">
            <v>0</v>
          </cell>
          <cell r="U76">
            <v>0</v>
          </cell>
          <cell r="V76">
            <v>19</v>
          </cell>
          <cell r="W76">
            <v>0</v>
          </cell>
          <cell r="X76">
            <v>0</v>
          </cell>
          <cell r="Y76">
            <v>0</v>
          </cell>
          <cell r="Z76">
            <v>0</v>
          </cell>
          <cell r="AA76">
            <v>769.8</v>
          </cell>
        </row>
        <row r="77">
          <cell r="A77" t="str">
            <v>Evansville-Vanderburgh School Corp., Bus CNG</v>
          </cell>
          <cell r="B77">
            <v>37408</v>
          </cell>
          <cell r="C77">
            <v>54</v>
          </cell>
          <cell r="D77">
            <v>50</v>
          </cell>
          <cell r="E77">
            <v>4</v>
          </cell>
          <cell r="F77" t="str">
            <v>N/A</v>
          </cell>
          <cell r="G77">
            <v>300</v>
          </cell>
          <cell r="H77">
            <v>50</v>
          </cell>
          <cell r="I77">
            <v>250</v>
          </cell>
          <cell r="J77" t="str">
            <v>N/A</v>
          </cell>
          <cell r="K77">
            <v>193.4</v>
          </cell>
          <cell r="L77">
            <v>0</v>
          </cell>
          <cell r="M77">
            <v>75</v>
          </cell>
          <cell r="N77">
            <v>0</v>
          </cell>
          <cell r="O77">
            <v>0</v>
          </cell>
          <cell r="P77">
            <v>0</v>
          </cell>
          <cell r="Q77">
            <v>0</v>
          </cell>
          <cell r="R77">
            <v>0</v>
          </cell>
          <cell r="S77">
            <v>0</v>
          </cell>
          <cell r="T77">
            <v>0</v>
          </cell>
          <cell r="U77">
            <v>0</v>
          </cell>
          <cell r="V77">
            <v>19</v>
          </cell>
          <cell r="W77">
            <v>0</v>
          </cell>
          <cell r="X77">
            <v>0</v>
          </cell>
          <cell r="Y77">
            <v>0</v>
          </cell>
          <cell r="Z77">
            <v>0</v>
          </cell>
          <cell r="AA77">
            <v>287.39999999999998</v>
          </cell>
        </row>
        <row r="78">
          <cell r="A78" t="str">
            <v>Evansville-Vanderburgh School Corp., Bus CNG</v>
          </cell>
          <cell r="B78">
            <v>37438</v>
          </cell>
          <cell r="C78">
            <v>0</v>
          </cell>
          <cell r="D78">
            <v>0</v>
          </cell>
          <cell r="E78">
            <v>0</v>
          </cell>
          <cell r="F78" t="str">
            <v>N/A</v>
          </cell>
          <cell r="G78">
            <v>100</v>
          </cell>
          <cell r="H78">
            <v>50</v>
          </cell>
          <cell r="I78">
            <v>50</v>
          </cell>
          <cell r="J78" t="str">
            <v>N/A</v>
          </cell>
          <cell r="K78">
            <v>72.8</v>
          </cell>
          <cell r="L78">
            <v>0</v>
          </cell>
          <cell r="M78">
            <v>75</v>
          </cell>
          <cell r="N78">
            <v>0</v>
          </cell>
          <cell r="O78">
            <v>0</v>
          </cell>
          <cell r="P78">
            <v>0</v>
          </cell>
          <cell r="Q78">
            <v>0</v>
          </cell>
          <cell r="R78">
            <v>0</v>
          </cell>
          <cell r="S78">
            <v>0</v>
          </cell>
          <cell r="T78">
            <v>0</v>
          </cell>
          <cell r="U78">
            <v>0</v>
          </cell>
          <cell r="V78">
            <v>19</v>
          </cell>
          <cell r="W78">
            <v>0</v>
          </cell>
          <cell r="X78">
            <v>0</v>
          </cell>
          <cell r="Y78">
            <v>0</v>
          </cell>
          <cell r="Z78">
            <v>0</v>
          </cell>
          <cell r="AA78">
            <v>166.8</v>
          </cell>
        </row>
        <row r="79">
          <cell r="A79" t="str">
            <v>Joe W Morgan, INC.</v>
          </cell>
          <cell r="B79">
            <v>37104</v>
          </cell>
          <cell r="C79">
            <v>166</v>
          </cell>
          <cell r="D79">
            <v>50</v>
          </cell>
          <cell r="E79">
            <v>116</v>
          </cell>
          <cell r="F79" t="str">
            <v>N/A</v>
          </cell>
          <cell r="G79">
            <v>166</v>
          </cell>
          <cell r="H79">
            <v>50</v>
          </cell>
          <cell r="I79">
            <v>116</v>
          </cell>
          <cell r="J79" t="str">
            <v>N/A</v>
          </cell>
          <cell r="K79">
            <v>112.6</v>
          </cell>
          <cell r="L79">
            <v>0</v>
          </cell>
          <cell r="M79">
            <v>75</v>
          </cell>
          <cell r="N79">
            <v>0</v>
          </cell>
          <cell r="O79">
            <v>0</v>
          </cell>
          <cell r="P79">
            <v>0</v>
          </cell>
          <cell r="Q79">
            <v>0</v>
          </cell>
          <cell r="R79">
            <v>0</v>
          </cell>
          <cell r="S79">
            <v>0</v>
          </cell>
          <cell r="T79">
            <v>0</v>
          </cell>
          <cell r="U79">
            <v>0</v>
          </cell>
          <cell r="V79">
            <v>19</v>
          </cell>
          <cell r="W79">
            <v>22.4</v>
          </cell>
          <cell r="X79">
            <v>2095.58</v>
          </cell>
          <cell r="Y79">
            <v>166</v>
          </cell>
          <cell r="Z79">
            <v>2095.58</v>
          </cell>
          <cell r="AA79">
            <v>2324.58</v>
          </cell>
        </row>
        <row r="80">
          <cell r="A80" t="str">
            <v>Joe W Morgan, INC.</v>
          </cell>
          <cell r="B80">
            <v>37135</v>
          </cell>
          <cell r="C80">
            <v>681</v>
          </cell>
          <cell r="D80">
            <v>50</v>
          </cell>
          <cell r="E80">
            <v>631</v>
          </cell>
          <cell r="F80" t="str">
            <v>N/A</v>
          </cell>
          <cell r="G80">
            <v>681</v>
          </cell>
          <cell r="H80">
            <v>50</v>
          </cell>
          <cell r="I80">
            <v>631</v>
          </cell>
          <cell r="J80" t="str">
            <v>N/A</v>
          </cell>
          <cell r="K80">
            <v>423.14</v>
          </cell>
          <cell r="L80">
            <v>0</v>
          </cell>
          <cell r="M80">
            <v>75</v>
          </cell>
          <cell r="N80">
            <v>0</v>
          </cell>
          <cell r="O80">
            <v>0</v>
          </cell>
          <cell r="P80">
            <v>0</v>
          </cell>
          <cell r="Q80">
            <v>0</v>
          </cell>
          <cell r="R80">
            <v>0</v>
          </cell>
          <cell r="S80">
            <v>0</v>
          </cell>
          <cell r="T80">
            <v>0</v>
          </cell>
          <cell r="U80">
            <v>0</v>
          </cell>
          <cell r="V80">
            <v>19</v>
          </cell>
          <cell r="W80">
            <v>91.9</v>
          </cell>
          <cell r="X80">
            <v>8596.9500000000007</v>
          </cell>
          <cell r="Y80">
            <v>681</v>
          </cell>
          <cell r="Z80">
            <v>8596.9500000000007</v>
          </cell>
          <cell r="AA80">
            <v>9205.99</v>
          </cell>
        </row>
        <row r="81">
          <cell r="A81" t="str">
            <v>Land of Lakes</v>
          </cell>
          <cell r="B81">
            <v>37288</v>
          </cell>
          <cell r="C81">
            <v>0</v>
          </cell>
          <cell r="D81">
            <v>0</v>
          </cell>
          <cell r="E81">
            <v>0</v>
          </cell>
          <cell r="F81" t="str">
            <v>N/A</v>
          </cell>
          <cell r="G81">
            <v>0</v>
          </cell>
          <cell r="H81">
            <v>0</v>
          </cell>
          <cell r="I81">
            <v>0</v>
          </cell>
          <cell r="J81" t="str">
            <v>N/A</v>
          </cell>
          <cell r="K81">
            <v>0</v>
          </cell>
          <cell r="L81">
            <v>0</v>
          </cell>
          <cell r="M81">
            <v>75</v>
          </cell>
          <cell r="N81">
            <v>0</v>
          </cell>
          <cell r="O81">
            <v>0</v>
          </cell>
          <cell r="P81">
            <v>0</v>
          </cell>
          <cell r="Q81">
            <v>0</v>
          </cell>
          <cell r="R81">
            <v>0</v>
          </cell>
          <cell r="S81">
            <v>0</v>
          </cell>
          <cell r="T81">
            <v>0</v>
          </cell>
          <cell r="U81">
            <v>0</v>
          </cell>
          <cell r="V81">
            <v>19</v>
          </cell>
          <cell r="W81">
            <v>0</v>
          </cell>
          <cell r="X81">
            <v>0</v>
          </cell>
          <cell r="Y81">
            <v>0</v>
          </cell>
          <cell r="Z81">
            <v>0</v>
          </cell>
          <cell r="AA81">
            <v>94</v>
          </cell>
        </row>
        <row r="82">
          <cell r="A82" t="str">
            <v>Land of Lakes</v>
          </cell>
          <cell r="B82">
            <v>37316</v>
          </cell>
          <cell r="C82">
            <v>3645</v>
          </cell>
          <cell r="D82">
            <v>50</v>
          </cell>
          <cell r="E82">
            <v>3595</v>
          </cell>
          <cell r="F82" t="str">
            <v>N/A</v>
          </cell>
          <cell r="G82">
            <v>3763</v>
          </cell>
          <cell r="H82">
            <v>50</v>
          </cell>
          <cell r="I82">
            <v>3713</v>
          </cell>
          <cell r="J82" t="str">
            <v>N/A</v>
          </cell>
          <cell r="K82">
            <v>2281.59</v>
          </cell>
          <cell r="L82">
            <v>0</v>
          </cell>
          <cell r="M82">
            <v>75</v>
          </cell>
          <cell r="N82">
            <v>0</v>
          </cell>
          <cell r="O82">
            <v>0</v>
          </cell>
          <cell r="P82">
            <v>0</v>
          </cell>
          <cell r="Q82">
            <v>0</v>
          </cell>
          <cell r="R82">
            <v>15.05</v>
          </cell>
          <cell r="S82">
            <v>3763</v>
          </cell>
          <cell r="T82">
            <v>-3.76</v>
          </cell>
          <cell r="U82">
            <v>0</v>
          </cell>
          <cell r="V82">
            <v>19</v>
          </cell>
          <cell r="W82">
            <v>0</v>
          </cell>
          <cell r="X82">
            <v>0</v>
          </cell>
          <cell r="Y82">
            <v>0</v>
          </cell>
          <cell r="Z82">
            <v>0</v>
          </cell>
          <cell r="AA82">
            <v>2386.88</v>
          </cell>
        </row>
        <row r="83">
          <cell r="A83" t="str">
            <v>Land of Lakes</v>
          </cell>
          <cell r="B83">
            <v>37347</v>
          </cell>
          <cell r="C83">
            <v>3254</v>
          </cell>
          <cell r="D83">
            <v>50</v>
          </cell>
          <cell r="E83">
            <v>3204</v>
          </cell>
          <cell r="F83" t="str">
            <v>N/A</v>
          </cell>
          <cell r="G83">
            <v>3420</v>
          </cell>
          <cell r="H83">
            <v>50</v>
          </cell>
          <cell r="I83">
            <v>3370</v>
          </cell>
          <cell r="J83" t="str">
            <v>N/A</v>
          </cell>
          <cell r="K83">
            <v>2074.7600000000002</v>
          </cell>
          <cell r="L83">
            <v>0</v>
          </cell>
          <cell r="M83">
            <v>75</v>
          </cell>
          <cell r="N83">
            <v>0</v>
          </cell>
          <cell r="O83">
            <v>0</v>
          </cell>
          <cell r="P83">
            <v>0</v>
          </cell>
          <cell r="Q83">
            <v>0</v>
          </cell>
          <cell r="R83">
            <v>13.68</v>
          </cell>
          <cell r="S83">
            <v>3420</v>
          </cell>
          <cell r="T83">
            <v>-3.42</v>
          </cell>
          <cell r="U83">
            <v>0</v>
          </cell>
          <cell r="V83">
            <v>19</v>
          </cell>
          <cell r="W83">
            <v>0</v>
          </cell>
          <cell r="X83">
            <v>0</v>
          </cell>
          <cell r="Y83">
            <v>0</v>
          </cell>
          <cell r="Z83">
            <v>0</v>
          </cell>
          <cell r="AA83">
            <v>2179.02</v>
          </cell>
        </row>
        <row r="84">
          <cell r="A84" t="str">
            <v>Land of Lakes</v>
          </cell>
          <cell r="B84">
            <v>37377</v>
          </cell>
          <cell r="C84">
            <v>1958</v>
          </cell>
          <cell r="D84">
            <v>50</v>
          </cell>
          <cell r="E84">
            <v>1908</v>
          </cell>
          <cell r="F84" t="str">
            <v>N/A</v>
          </cell>
          <cell r="G84">
            <v>3255</v>
          </cell>
          <cell r="H84">
            <v>50</v>
          </cell>
          <cell r="I84">
            <v>3205</v>
          </cell>
          <cell r="J84" t="str">
            <v>N/A</v>
          </cell>
          <cell r="K84">
            <v>1975.2099999999991</v>
          </cell>
          <cell r="L84">
            <v>0</v>
          </cell>
          <cell r="M84">
            <v>75</v>
          </cell>
          <cell r="N84">
            <v>0</v>
          </cell>
          <cell r="O84">
            <v>0</v>
          </cell>
          <cell r="P84">
            <v>0</v>
          </cell>
          <cell r="Q84">
            <v>0</v>
          </cell>
          <cell r="R84">
            <v>0</v>
          </cell>
          <cell r="S84">
            <v>0</v>
          </cell>
          <cell r="T84">
            <v>0</v>
          </cell>
          <cell r="U84">
            <v>0</v>
          </cell>
          <cell r="V84">
            <v>19</v>
          </cell>
          <cell r="W84">
            <v>-2165.6799999999998</v>
          </cell>
          <cell r="X84">
            <v>4566.3099999999977</v>
          </cell>
          <cell r="Y84">
            <v>0</v>
          </cell>
          <cell r="Z84">
            <v>0</v>
          </cell>
          <cell r="AA84">
            <v>6635.1999999999971</v>
          </cell>
        </row>
        <row r="85">
          <cell r="A85" t="str">
            <v>Land of Lakes</v>
          </cell>
          <cell r="B85">
            <v>37408</v>
          </cell>
          <cell r="C85">
            <v>2847</v>
          </cell>
          <cell r="D85">
            <v>50</v>
          </cell>
          <cell r="E85">
            <v>2797</v>
          </cell>
          <cell r="F85" t="str">
            <v>N/A</v>
          </cell>
          <cell r="G85">
            <v>1890</v>
          </cell>
          <cell r="H85">
            <v>50</v>
          </cell>
          <cell r="I85">
            <v>1840</v>
          </cell>
          <cell r="J85" t="str">
            <v>N/A</v>
          </cell>
          <cell r="K85">
            <v>1152.17</v>
          </cell>
          <cell r="L85">
            <v>0</v>
          </cell>
          <cell r="M85">
            <v>75</v>
          </cell>
          <cell r="N85">
            <v>0</v>
          </cell>
          <cell r="O85">
            <v>0</v>
          </cell>
          <cell r="P85">
            <v>0</v>
          </cell>
          <cell r="Q85">
            <v>0</v>
          </cell>
          <cell r="R85">
            <v>0</v>
          </cell>
          <cell r="S85">
            <v>0</v>
          </cell>
          <cell r="T85">
            <v>0</v>
          </cell>
          <cell r="U85">
            <v>0</v>
          </cell>
          <cell r="V85">
            <v>19</v>
          </cell>
          <cell r="W85">
            <v>0</v>
          </cell>
          <cell r="X85">
            <v>2069.2600000000002</v>
          </cell>
          <cell r="Y85">
            <v>0</v>
          </cell>
          <cell r="Z85">
            <v>0</v>
          </cell>
          <cell r="AA85">
            <v>3315.43</v>
          </cell>
        </row>
        <row r="86">
          <cell r="A86" t="str">
            <v>Land of Lakes</v>
          </cell>
          <cell r="B86">
            <v>37438</v>
          </cell>
          <cell r="D86">
            <v>0</v>
          </cell>
          <cell r="E86">
            <v>0</v>
          </cell>
          <cell r="F86" t="str">
            <v>N/A</v>
          </cell>
          <cell r="G86">
            <v>2254</v>
          </cell>
          <cell r="H86">
            <v>50</v>
          </cell>
          <cell r="I86">
            <v>2204</v>
          </cell>
          <cell r="J86" t="str">
            <v>N/A</v>
          </cell>
          <cell r="K86">
            <v>1371.66</v>
          </cell>
          <cell r="L86">
            <v>0</v>
          </cell>
          <cell r="M86">
            <v>75</v>
          </cell>
          <cell r="N86">
            <v>0</v>
          </cell>
          <cell r="O86">
            <v>0</v>
          </cell>
          <cell r="P86">
            <v>0</v>
          </cell>
          <cell r="Q86">
            <v>0</v>
          </cell>
          <cell r="R86">
            <v>0</v>
          </cell>
          <cell r="S86">
            <v>0</v>
          </cell>
          <cell r="T86">
            <v>0</v>
          </cell>
          <cell r="U86">
            <v>0</v>
          </cell>
          <cell r="V86">
            <v>19</v>
          </cell>
          <cell r="W86">
            <v>0</v>
          </cell>
          <cell r="X86">
            <v>0</v>
          </cell>
          <cell r="Y86">
            <v>0</v>
          </cell>
          <cell r="Z86">
            <v>0</v>
          </cell>
          <cell r="AA86">
            <v>1465.66</v>
          </cell>
        </row>
        <row r="87">
          <cell r="A87" t="str">
            <v>Lewis Vincennes, Inc.</v>
          </cell>
          <cell r="B87">
            <v>37104</v>
          </cell>
          <cell r="C87">
            <v>1113</v>
          </cell>
          <cell r="D87">
            <v>50</v>
          </cell>
          <cell r="E87">
            <v>1063</v>
          </cell>
          <cell r="F87" t="str">
            <v>N/A</v>
          </cell>
          <cell r="G87">
            <v>2000</v>
          </cell>
          <cell r="H87">
            <v>50</v>
          </cell>
          <cell r="I87">
            <v>1950</v>
          </cell>
          <cell r="J87" t="str">
            <v>N/A</v>
          </cell>
          <cell r="K87">
            <v>1218.5</v>
          </cell>
          <cell r="L87">
            <v>0</v>
          </cell>
          <cell r="M87">
            <v>75</v>
          </cell>
          <cell r="N87">
            <v>0</v>
          </cell>
          <cell r="O87">
            <v>0</v>
          </cell>
          <cell r="P87">
            <v>0</v>
          </cell>
          <cell r="Q87">
            <v>0</v>
          </cell>
          <cell r="R87">
            <v>-52</v>
          </cell>
          <cell r="S87">
            <v>2000</v>
          </cell>
          <cell r="T87">
            <v>6</v>
          </cell>
          <cell r="U87">
            <v>0</v>
          </cell>
          <cell r="V87">
            <v>19</v>
          </cell>
          <cell r="W87">
            <v>0</v>
          </cell>
          <cell r="X87">
            <v>0</v>
          </cell>
          <cell r="Y87">
            <v>0</v>
          </cell>
          <cell r="Z87">
            <v>0</v>
          </cell>
          <cell r="AA87">
            <v>1266.5</v>
          </cell>
        </row>
        <row r="88">
          <cell r="A88" t="str">
            <v>Lewis Vincennes, Inc.</v>
          </cell>
          <cell r="B88">
            <v>37135</v>
          </cell>
          <cell r="C88">
            <v>1083</v>
          </cell>
          <cell r="D88">
            <v>50</v>
          </cell>
          <cell r="E88">
            <v>1033</v>
          </cell>
          <cell r="F88" t="str">
            <v>N/A</v>
          </cell>
          <cell r="G88">
            <v>2000</v>
          </cell>
          <cell r="H88">
            <v>50</v>
          </cell>
          <cell r="I88">
            <v>1950</v>
          </cell>
          <cell r="J88" t="str">
            <v>N/A</v>
          </cell>
          <cell r="K88">
            <v>1218.5</v>
          </cell>
          <cell r="L88">
            <v>0</v>
          </cell>
          <cell r="M88">
            <v>75</v>
          </cell>
          <cell r="N88">
            <v>0</v>
          </cell>
          <cell r="O88">
            <v>0</v>
          </cell>
          <cell r="P88">
            <v>0</v>
          </cell>
          <cell r="Q88">
            <v>0</v>
          </cell>
          <cell r="R88">
            <v>-52</v>
          </cell>
          <cell r="S88">
            <v>2000</v>
          </cell>
          <cell r="T88">
            <v>6</v>
          </cell>
          <cell r="U88">
            <v>0</v>
          </cell>
          <cell r="V88">
            <v>19</v>
          </cell>
          <cell r="W88">
            <v>0</v>
          </cell>
          <cell r="X88">
            <v>0</v>
          </cell>
          <cell r="Y88">
            <v>0</v>
          </cell>
          <cell r="Z88">
            <v>0</v>
          </cell>
          <cell r="AA88">
            <v>1266.5</v>
          </cell>
        </row>
        <row r="89">
          <cell r="A89" t="str">
            <v>Lewis Vincennes, Inc.</v>
          </cell>
          <cell r="B89">
            <v>37165</v>
          </cell>
          <cell r="C89">
            <v>1560</v>
          </cell>
          <cell r="D89">
            <v>50</v>
          </cell>
          <cell r="E89">
            <v>1510</v>
          </cell>
          <cell r="F89" t="str">
            <v>N/A</v>
          </cell>
          <cell r="G89">
            <v>2000</v>
          </cell>
          <cell r="H89">
            <v>50</v>
          </cell>
          <cell r="I89">
            <v>1950</v>
          </cell>
          <cell r="J89" t="str">
            <v>N/A</v>
          </cell>
          <cell r="K89">
            <v>1218.5</v>
          </cell>
          <cell r="L89">
            <v>0</v>
          </cell>
          <cell r="M89">
            <v>75</v>
          </cell>
          <cell r="N89">
            <v>0</v>
          </cell>
          <cell r="O89">
            <v>0</v>
          </cell>
          <cell r="P89">
            <v>0</v>
          </cell>
          <cell r="Q89">
            <v>0</v>
          </cell>
          <cell r="R89">
            <v>-52</v>
          </cell>
          <cell r="S89">
            <v>2000</v>
          </cell>
          <cell r="T89">
            <v>6</v>
          </cell>
          <cell r="U89">
            <v>0</v>
          </cell>
          <cell r="V89">
            <v>19</v>
          </cell>
          <cell r="W89">
            <v>0</v>
          </cell>
          <cell r="X89">
            <v>0</v>
          </cell>
          <cell r="Y89">
            <v>0</v>
          </cell>
          <cell r="Z89">
            <v>0</v>
          </cell>
          <cell r="AA89">
            <v>1266.5</v>
          </cell>
        </row>
        <row r="90">
          <cell r="A90" t="str">
            <v>Lewis Vincennes, Inc.</v>
          </cell>
          <cell r="B90">
            <v>37196</v>
          </cell>
          <cell r="C90">
            <v>831</v>
          </cell>
          <cell r="D90">
            <v>50</v>
          </cell>
          <cell r="E90">
            <v>781</v>
          </cell>
          <cell r="F90" t="str">
            <v>N/A</v>
          </cell>
          <cell r="G90">
            <v>1500</v>
          </cell>
          <cell r="H90">
            <v>50</v>
          </cell>
          <cell r="I90">
            <v>1450</v>
          </cell>
          <cell r="J90" t="str">
            <v>N/A</v>
          </cell>
          <cell r="K90">
            <v>917</v>
          </cell>
          <cell r="L90">
            <v>0</v>
          </cell>
          <cell r="M90">
            <v>75</v>
          </cell>
          <cell r="N90">
            <v>0</v>
          </cell>
          <cell r="O90">
            <v>0</v>
          </cell>
          <cell r="P90">
            <v>0</v>
          </cell>
          <cell r="Q90">
            <v>0</v>
          </cell>
          <cell r="R90">
            <v>-39</v>
          </cell>
          <cell r="S90">
            <v>1500</v>
          </cell>
          <cell r="T90">
            <v>4.5</v>
          </cell>
          <cell r="U90">
            <v>0</v>
          </cell>
          <cell r="V90">
            <v>19</v>
          </cell>
          <cell r="W90">
            <v>0</v>
          </cell>
          <cell r="X90">
            <v>0</v>
          </cell>
          <cell r="Y90">
            <v>0</v>
          </cell>
          <cell r="Z90">
            <v>0</v>
          </cell>
          <cell r="AA90">
            <v>976.5</v>
          </cell>
        </row>
        <row r="91">
          <cell r="A91" t="str">
            <v>Lewis Vincennes, Inc.</v>
          </cell>
          <cell r="B91">
            <v>37226</v>
          </cell>
          <cell r="C91">
            <v>3477</v>
          </cell>
          <cell r="D91">
            <v>50</v>
          </cell>
          <cell r="E91">
            <v>3427</v>
          </cell>
          <cell r="F91" t="str">
            <v>N/A</v>
          </cell>
          <cell r="G91">
            <v>2600</v>
          </cell>
          <cell r="H91">
            <v>50</v>
          </cell>
          <cell r="I91">
            <v>2550</v>
          </cell>
          <cell r="J91" t="str">
            <v>N/A</v>
          </cell>
          <cell r="K91">
            <v>1580.3</v>
          </cell>
          <cell r="L91">
            <v>0</v>
          </cell>
          <cell r="M91">
            <v>75</v>
          </cell>
          <cell r="N91">
            <v>0</v>
          </cell>
          <cell r="O91">
            <v>0</v>
          </cell>
          <cell r="P91">
            <v>0</v>
          </cell>
          <cell r="Q91">
            <v>0</v>
          </cell>
          <cell r="R91">
            <v>-67.599999999999994</v>
          </cell>
          <cell r="S91">
            <v>2600</v>
          </cell>
          <cell r="T91">
            <v>7.8</v>
          </cell>
          <cell r="U91">
            <v>0</v>
          </cell>
          <cell r="V91">
            <v>19</v>
          </cell>
          <cell r="W91">
            <v>0</v>
          </cell>
          <cell r="X91">
            <v>0</v>
          </cell>
          <cell r="Y91">
            <v>0</v>
          </cell>
          <cell r="Z91">
            <v>0</v>
          </cell>
          <cell r="AA91">
            <v>1614.5</v>
          </cell>
        </row>
        <row r="92">
          <cell r="A92" t="str">
            <v>Lewis Vincennes, Inc.</v>
          </cell>
          <cell r="B92">
            <v>37257</v>
          </cell>
          <cell r="C92">
            <v>4124</v>
          </cell>
          <cell r="D92">
            <v>50</v>
          </cell>
          <cell r="E92">
            <v>4074</v>
          </cell>
          <cell r="F92" t="str">
            <v>N/A</v>
          </cell>
          <cell r="G92">
            <v>3300</v>
          </cell>
          <cell r="H92">
            <v>50</v>
          </cell>
          <cell r="I92">
            <v>3250</v>
          </cell>
          <cell r="J92" t="str">
            <v>N/A</v>
          </cell>
          <cell r="K92">
            <v>2002.4</v>
          </cell>
          <cell r="L92">
            <v>0</v>
          </cell>
          <cell r="M92">
            <v>75</v>
          </cell>
          <cell r="N92">
            <v>0</v>
          </cell>
          <cell r="O92">
            <v>0</v>
          </cell>
          <cell r="P92">
            <v>0</v>
          </cell>
          <cell r="Q92">
            <v>0</v>
          </cell>
          <cell r="R92">
            <v>-85.8</v>
          </cell>
          <cell r="S92">
            <v>3300</v>
          </cell>
          <cell r="T92">
            <v>9.9</v>
          </cell>
          <cell r="U92">
            <v>0</v>
          </cell>
          <cell r="V92">
            <v>19</v>
          </cell>
          <cell r="W92">
            <v>0</v>
          </cell>
          <cell r="X92">
            <v>0</v>
          </cell>
          <cell r="Y92">
            <v>0</v>
          </cell>
          <cell r="Z92">
            <v>0</v>
          </cell>
          <cell r="AA92">
            <v>2020.5</v>
          </cell>
        </row>
        <row r="93">
          <cell r="A93" t="str">
            <v>Lewis Vincennes, Inc.</v>
          </cell>
          <cell r="B93">
            <v>37288</v>
          </cell>
          <cell r="C93">
            <v>3364</v>
          </cell>
          <cell r="D93">
            <v>50</v>
          </cell>
          <cell r="E93">
            <v>3314</v>
          </cell>
          <cell r="F93" t="str">
            <v>N/A</v>
          </cell>
          <cell r="G93">
            <v>3332</v>
          </cell>
          <cell r="H93">
            <v>50</v>
          </cell>
          <cell r="I93">
            <v>3282</v>
          </cell>
          <cell r="J93" t="str">
            <v>N/A</v>
          </cell>
          <cell r="K93">
            <v>2021.7</v>
          </cell>
          <cell r="L93">
            <v>0</v>
          </cell>
          <cell r="M93">
            <v>75</v>
          </cell>
          <cell r="N93">
            <v>0</v>
          </cell>
          <cell r="O93">
            <v>0</v>
          </cell>
          <cell r="P93">
            <v>0</v>
          </cell>
          <cell r="Q93">
            <v>0</v>
          </cell>
          <cell r="R93">
            <v>13.33</v>
          </cell>
          <cell r="S93">
            <v>3332</v>
          </cell>
          <cell r="T93">
            <v>-3.33</v>
          </cell>
          <cell r="U93">
            <v>0</v>
          </cell>
          <cell r="V93">
            <v>19</v>
          </cell>
          <cell r="W93">
            <v>0</v>
          </cell>
          <cell r="X93">
            <v>0</v>
          </cell>
          <cell r="Y93">
            <v>0</v>
          </cell>
          <cell r="Z93">
            <v>0</v>
          </cell>
          <cell r="AA93">
            <v>2125.6999999999998</v>
          </cell>
        </row>
        <row r="94">
          <cell r="A94" t="str">
            <v>Lewis Vincennes, Inc.</v>
          </cell>
          <cell r="B94">
            <v>37316</v>
          </cell>
          <cell r="C94">
            <v>3703</v>
          </cell>
          <cell r="D94">
            <v>50</v>
          </cell>
          <cell r="E94">
            <v>3653</v>
          </cell>
          <cell r="F94" t="str">
            <v>N/A</v>
          </cell>
          <cell r="G94">
            <v>2573</v>
          </cell>
          <cell r="H94">
            <v>50</v>
          </cell>
          <cell r="I94">
            <v>2523</v>
          </cell>
          <cell r="J94" t="str">
            <v>N/A</v>
          </cell>
          <cell r="K94">
            <v>1564.02</v>
          </cell>
          <cell r="L94">
            <v>0</v>
          </cell>
          <cell r="M94">
            <v>75</v>
          </cell>
          <cell r="N94">
            <v>0</v>
          </cell>
          <cell r="O94">
            <v>0</v>
          </cell>
          <cell r="P94">
            <v>0</v>
          </cell>
          <cell r="Q94">
            <v>0</v>
          </cell>
          <cell r="R94">
            <v>10.29</v>
          </cell>
          <cell r="S94">
            <v>2573</v>
          </cell>
          <cell r="T94">
            <v>-2.57</v>
          </cell>
          <cell r="U94">
            <v>0</v>
          </cell>
          <cell r="V94">
            <v>19</v>
          </cell>
          <cell r="W94">
            <v>0</v>
          </cell>
          <cell r="X94">
            <v>0</v>
          </cell>
          <cell r="Y94">
            <v>0</v>
          </cell>
          <cell r="Z94">
            <v>0</v>
          </cell>
          <cell r="AA94">
            <v>1665.74</v>
          </cell>
        </row>
        <row r="95">
          <cell r="A95" t="str">
            <v>Lewis Vincennes, Inc.</v>
          </cell>
          <cell r="B95">
            <v>37347</v>
          </cell>
          <cell r="C95">
            <v>2918</v>
          </cell>
          <cell r="D95">
            <v>50</v>
          </cell>
          <cell r="E95">
            <v>2868</v>
          </cell>
          <cell r="F95" t="str">
            <v>N/A</v>
          </cell>
          <cell r="G95">
            <v>2400</v>
          </cell>
          <cell r="H95">
            <v>50</v>
          </cell>
          <cell r="I95">
            <v>2350</v>
          </cell>
          <cell r="J95" t="str">
            <v>N/A</v>
          </cell>
          <cell r="K95">
            <v>1459.7</v>
          </cell>
          <cell r="L95">
            <v>0</v>
          </cell>
          <cell r="M95">
            <v>75</v>
          </cell>
          <cell r="N95">
            <v>0</v>
          </cell>
          <cell r="O95">
            <v>0</v>
          </cell>
          <cell r="P95">
            <v>0</v>
          </cell>
          <cell r="Q95">
            <v>0</v>
          </cell>
          <cell r="R95">
            <v>9.6</v>
          </cell>
          <cell r="S95">
            <v>2400</v>
          </cell>
          <cell r="T95">
            <v>-2.4</v>
          </cell>
          <cell r="U95">
            <v>0</v>
          </cell>
          <cell r="V95">
            <v>19</v>
          </cell>
          <cell r="W95">
            <v>0</v>
          </cell>
          <cell r="X95">
            <v>0</v>
          </cell>
          <cell r="Y95">
            <v>0</v>
          </cell>
          <cell r="Z95">
            <v>0</v>
          </cell>
          <cell r="AA95">
            <v>1560.9</v>
          </cell>
        </row>
        <row r="96">
          <cell r="A96" t="str">
            <v>Lewis Vincennes, Inc.</v>
          </cell>
          <cell r="B96">
            <v>37377</v>
          </cell>
          <cell r="C96">
            <v>2864</v>
          </cell>
          <cell r="D96">
            <v>50</v>
          </cell>
          <cell r="E96">
            <v>2814</v>
          </cell>
          <cell r="F96" t="str">
            <v>N/A</v>
          </cell>
          <cell r="G96">
            <v>2800</v>
          </cell>
          <cell r="H96">
            <v>50</v>
          </cell>
          <cell r="I96">
            <v>2750</v>
          </cell>
          <cell r="J96" t="str">
            <v>N/A</v>
          </cell>
          <cell r="K96">
            <v>1700.9</v>
          </cell>
          <cell r="L96">
            <v>0</v>
          </cell>
          <cell r="M96">
            <v>75</v>
          </cell>
          <cell r="N96">
            <v>0</v>
          </cell>
          <cell r="O96">
            <v>0</v>
          </cell>
          <cell r="P96">
            <v>0</v>
          </cell>
          <cell r="Q96">
            <v>0</v>
          </cell>
          <cell r="R96">
            <v>0</v>
          </cell>
          <cell r="S96">
            <v>0</v>
          </cell>
          <cell r="T96">
            <v>0</v>
          </cell>
          <cell r="U96">
            <v>0</v>
          </cell>
          <cell r="V96">
            <v>19</v>
          </cell>
          <cell r="W96">
            <v>0</v>
          </cell>
          <cell r="X96">
            <v>0</v>
          </cell>
          <cell r="Y96">
            <v>0</v>
          </cell>
          <cell r="Z96">
            <v>0</v>
          </cell>
          <cell r="AA96">
            <v>1794.9</v>
          </cell>
        </row>
        <row r="97">
          <cell r="A97" t="str">
            <v>Lewis Vincennes, Inc.</v>
          </cell>
          <cell r="B97">
            <v>37408</v>
          </cell>
          <cell r="C97">
            <v>2312</v>
          </cell>
          <cell r="D97">
            <v>50</v>
          </cell>
          <cell r="E97">
            <v>2262</v>
          </cell>
          <cell r="F97" t="str">
            <v>N/A</v>
          </cell>
          <cell r="G97">
            <v>2330</v>
          </cell>
          <cell r="H97">
            <v>50</v>
          </cell>
          <cell r="I97">
            <v>2280</v>
          </cell>
          <cell r="J97" t="str">
            <v>N/A</v>
          </cell>
          <cell r="K97">
            <v>1417.49</v>
          </cell>
          <cell r="L97">
            <v>0</v>
          </cell>
          <cell r="M97">
            <v>75</v>
          </cell>
          <cell r="N97">
            <v>0</v>
          </cell>
          <cell r="O97">
            <v>0</v>
          </cell>
          <cell r="P97">
            <v>0</v>
          </cell>
          <cell r="Q97">
            <v>0</v>
          </cell>
          <cell r="R97">
            <v>0</v>
          </cell>
          <cell r="S97">
            <v>0</v>
          </cell>
          <cell r="T97">
            <v>0</v>
          </cell>
          <cell r="U97">
            <v>0</v>
          </cell>
          <cell r="V97">
            <v>19</v>
          </cell>
          <cell r="W97">
            <v>0</v>
          </cell>
          <cell r="X97">
            <v>0</v>
          </cell>
          <cell r="Y97">
            <v>0</v>
          </cell>
          <cell r="Z97">
            <v>0</v>
          </cell>
          <cell r="AA97">
            <v>1511.49</v>
          </cell>
        </row>
        <row r="98">
          <cell r="A98" t="str">
            <v>Lewis Vincennes, Inc.</v>
          </cell>
          <cell r="B98">
            <v>37438</v>
          </cell>
          <cell r="C98">
            <v>2255</v>
          </cell>
          <cell r="D98">
            <v>50</v>
          </cell>
          <cell r="E98">
            <v>2205</v>
          </cell>
          <cell r="F98" t="str">
            <v>N/A</v>
          </cell>
          <cell r="G98">
            <v>2300</v>
          </cell>
          <cell r="H98">
            <v>50</v>
          </cell>
          <cell r="I98">
            <v>2250</v>
          </cell>
          <cell r="J98" t="str">
            <v>N/A</v>
          </cell>
          <cell r="K98">
            <v>1399.4</v>
          </cell>
          <cell r="L98">
            <v>0</v>
          </cell>
          <cell r="M98">
            <v>75</v>
          </cell>
          <cell r="N98">
            <v>0</v>
          </cell>
          <cell r="O98">
            <v>0</v>
          </cell>
          <cell r="P98">
            <v>0</v>
          </cell>
          <cell r="Q98">
            <v>0</v>
          </cell>
          <cell r="R98">
            <v>0</v>
          </cell>
          <cell r="S98">
            <v>0</v>
          </cell>
          <cell r="T98">
            <v>0</v>
          </cell>
          <cell r="U98">
            <v>0</v>
          </cell>
          <cell r="V98">
            <v>19</v>
          </cell>
          <cell r="W98">
            <v>0</v>
          </cell>
          <cell r="X98">
            <v>0</v>
          </cell>
          <cell r="Y98">
            <v>0</v>
          </cell>
          <cell r="Z98">
            <v>0</v>
          </cell>
          <cell r="AA98">
            <v>1493.4</v>
          </cell>
        </row>
        <row r="99">
          <cell r="A99" t="str">
            <v>Marathon Ashland Petroleum Company</v>
          </cell>
          <cell r="B99">
            <v>37104</v>
          </cell>
          <cell r="C99">
            <v>2794</v>
          </cell>
          <cell r="D99">
            <v>50</v>
          </cell>
          <cell r="E99">
            <v>2744</v>
          </cell>
          <cell r="F99" t="str">
            <v>N/A</v>
          </cell>
          <cell r="G99">
            <v>2839</v>
          </cell>
          <cell r="H99">
            <v>50</v>
          </cell>
          <cell r="I99">
            <v>2789</v>
          </cell>
          <cell r="J99" t="str">
            <v>N/A</v>
          </cell>
          <cell r="K99">
            <v>1724.42</v>
          </cell>
          <cell r="L99">
            <v>0</v>
          </cell>
          <cell r="M99">
            <v>75</v>
          </cell>
          <cell r="N99">
            <v>0</v>
          </cell>
          <cell r="O99">
            <v>0</v>
          </cell>
          <cell r="P99">
            <v>0</v>
          </cell>
          <cell r="Q99">
            <v>0</v>
          </cell>
          <cell r="R99">
            <v>0</v>
          </cell>
          <cell r="S99">
            <v>2839</v>
          </cell>
          <cell r="T99">
            <v>8.52</v>
          </cell>
          <cell r="U99">
            <v>0</v>
          </cell>
          <cell r="V99">
            <v>19</v>
          </cell>
          <cell r="W99">
            <v>0.95</v>
          </cell>
          <cell r="X99">
            <v>0</v>
          </cell>
          <cell r="Y99">
            <v>0</v>
          </cell>
          <cell r="Z99">
            <v>0</v>
          </cell>
          <cell r="AA99">
            <v>1827.89</v>
          </cell>
        </row>
        <row r="100">
          <cell r="A100" t="str">
            <v>Marathon Ashland Petroleum Company</v>
          </cell>
          <cell r="B100">
            <v>37135</v>
          </cell>
          <cell r="C100">
            <v>2303</v>
          </cell>
          <cell r="D100">
            <v>50</v>
          </cell>
          <cell r="E100">
            <v>2253</v>
          </cell>
          <cell r="F100" t="str">
            <v>N/A</v>
          </cell>
          <cell r="G100">
            <v>2340</v>
          </cell>
          <cell r="H100">
            <v>50</v>
          </cell>
          <cell r="I100">
            <v>2290</v>
          </cell>
          <cell r="J100" t="str">
            <v>N/A</v>
          </cell>
          <cell r="K100">
            <v>1423.52</v>
          </cell>
          <cell r="L100">
            <v>0</v>
          </cell>
          <cell r="M100">
            <v>75</v>
          </cell>
          <cell r="N100">
            <v>0</v>
          </cell>
          <cell r="O100">
            <v>0</v>
          </cell>
          <cell r="P100">
            <v>0</v>
          </cell>
          <cell r="Q100">
            <v>0</v>
          </cell>
          <cell r="R100">
            <v>0</v>
          </cell>
          <cell r="S100">
            <v>2340</v>
          </cell>
          <cell r="T100">
            <v>7.02</v>
          </cell>
          <cell r="U100">
            <v>0</v>
          </cell>
          <cell r="V100">
            <v>19</v>
          </cell>
          <cell r="W100">
            <v>0.95</v>
          </cell>
          <cell r="X100">
            <v>0</v>
          </cell>
          <cell r="Y100">
            <v>0</v>
          </cell>
          <cell r="Z100">
            <v>0</v>
          </cell>
          <cell r="AA100">
            <v>1525.49</v>
          </cell>
        </row>
        <row r="101">
          <cell r="A101" t="str">
            <v>Marathon Ashland Petroleum Company</v>
          </cell>
          <cell r="B101">
            <v>37165</v>
          </cell>
          <cell r="C101">
            <v>2731</v>
          </cell>
          <cell r="D101">
            <v>50</v>
          </cell>
          <cell r="E101">
            <v>2681</v>
          </cell>
          <cell r="F101" t="str">
            <v>N/A</v>
          </cell>
          <cell r="G101">
            <v>2784</v>
          </cell>
          <cell r="H101">
            <v>50</v>
          </cell>
          <cell r="I101">
            <v>2734</v>
          </cell>
          <cell r="J101" t="str">
            <v>N/A</v>
          </cell>
          <cell r="K101">
            <v>1691.25</v>
          </cell>
          <cell r="L101">
            <v>0</v>
          </cell>
          <cell r="M101">
            <v>75</v>
          </cell>
          <cell r="N101">
            <v>0</v>
          </cell>
          <cell r="O101">
            <v>0</v>
          </cell>
          <cell r="P101">
            <v>0</v>
          </cell>
          <cell r="Q101">
            <v>0</v>
          </cell>
          <cell r="R101">
            <v>0</v>
          </cell>
          <cell r="S101">
            <v>2784</v>
          </cell>
          <cell r="T101">
            <v>8.35</v>
          </cell>
          <cell r="U101">
            <v>0</v>
          </cell>
          <cell r="V101">
            <v>19</v>
          </cell>
          <cell r="W101">
            <v>0.95</v>
          </cell>
          <cell r="X101">
            <v>0</v>
          </cell>
          <cell r="Y101">
            <v>0</v>
          </cell>
          <cell r="Z101">
            <v>0</v>
          </cell>
          <cell r="AA101">
            <v>1794.55</v>
          </cell>
        </row>
        <row r="102">
          <cell r="A102" t="str">
            <v>Marathon Ashland Petroleum Company</v>
          </cell>
          <cell r="B102">
            <v>37196</v>
          </cell>
          <cell r="C102">
            <v>2891</v>
          </cell>
          <cell r="D102">
            <v>50</v>
          </cell>
          <cell r="E102">
            <v>2841</v>
          </cell>
          <cell r="F102" t="str">
            <v>N/A</v>
          </cell>
          <cell r="G102">
            <v>2938</v>
          </cell>
          <cell r="H102">
            <v>50</v>
          </cell>
          <cell r="I102">
            <v>2888</v>
          </cell>
          <cell r="J102" t="str">
            <v>N/A</v>
          </cell>
          <cell r="K102">
            <v>1784.11</v>
          </cell>
          <cell r="L102">
            <v>0</v>
          </cell>
          <cell r="M102">
            <v>75</v>
          </cell>
          <cell r="N102">
            <v>0</v>
          </cell>
          <cell r="O102">
            <v>0</v>
          </cell>
          <cell r="P102">
            <v>0</v>
          </cell>
          <cell r="Q102">
            <v>0</v>
          </cell>
          <cell r="R102">
            <v>0</v>
          </cell>
          <cell r="S102">
            <v>2938</v>
          </cell>
          <cell r="T102">
            <v>8.81</v>
          </cell>
          <cell r="U102">
            <v>0</v>
          </cell>
          <cell r="V102">
            <v>19</v>
          </cell>
          <cell r="W102">
            <v>0.95</v>
          </cell>
          <cell r="X102">
            <v>0</v>
          </cell>
          <cell r="Y102">
            <v>0</v>
          </cell>
          <cell r="Z102">
            <v>0</v>
          </cell>
          <cell r="AA102">
            <v>1887.87</v>
          </cell>
        </row>
        <row r="103">
          <cell r="A103" t="str">
            <v>Marathon Ashland Petroleum Company</v>
          </cell>
          <cell r="B103">
            <v>37226</v>
          </cell>
          <cell r="C103">
            <v>2356</v>
          </cell>
          <cell r="D103">
            <v>50</v>
          </cell>
          <cell r="E103">
            <v>2306</v>
          </cell>
          <cell r="F103" t="str">
            <v>N/A</v>
          </cell>
          <cell r="G103">
            <v>2394</v>
          </cell>
          <cell r="H103">
            <v>50</v>
          </cell>
          <cell r="I103">
            <v>2344</v>
          </cell>
          <cell r="J103" t="str">
            <v>N/A</v>
          </cell>
          <cell r="K103">
            <v>1456.08</v>
          </cell>
          <cell r="L103">
            <v>0</v>
          </cell>
          <cell r="M103">
            <v>75</v>
          </cell>
          <cell r="N103">
            <v>0</v>
          </cell>
          <cell r="O103">
            <v>0</v>
          </cell>
          <cell r="P103">
            <v>0</v>
          </cell>
          <cell r="Q103">
            <v>0</v>
          </cell>
          <cell r="R103">
            <v>0</v>
          </cell>
          <cell r="S103">
            <v>2394</v>
          </cell>
          <cell r="T103">
            <v>7.18</v>
          </cell>
          <cell r="U103">
            <v>0</v>
          </cell>
          <cell r="V103">
            <v>19</v>
          </cell>
          <cell r="W103">
            <v>0.95</v>
          </cell>
          <cell r="X103">
            <v>0</v>
          </cell>
          <cell r="Y103">
            <v>0</v>
          </cell>
          <cell r="Z103">
            <v>0</v>
          </cell>
          <cell r="AA103">
            <v>1558.21</v>
          </cell>
        </row>
        <row r="104">
          <cell r="A104" t="str">
            <v>Marathon Ashland Petroleum Company</v>
          </cell>
          <cell r="B104">
            <v>37257</v>
          </cell>
          <cell r="C104">
            <v>2690</v>
          </cell>
          <cell r="D104">
            <v>50</v>
          </cell>
          <cell r="E104">
            <v>2640</v>
          </cell>
          <cell r="F104" t="str">
            <v>N/A</v>
          </cell>
          <cell r="G104">
            <v>2734</v>
          </cell>
          <cell r="H104">
            <v>50</v>
          </cell>
          <cell r="I104">
            <v>2684</v>
          </cell>
          <cell r="J104" t="str">
            <v>N/A</v>
          </cell>
          <cell r="K104">
            <v>1661.1</v>
          </cell>
          <cell r="L104">
            <v>0</v>
          </cell>
          <cell r="M104">
            <v>75</v>
          </cell>
          <cell r="N104">
            <v>0</v>
          </cell>
          <cell r="O104">
            <v>0</v>
          </cell>
          <cell r="P104">
            <v>0</v>
          </cell>
          <cell r="Q104">
            <v>0</v>
          </cell>
          <cell r="R104">
            <v>0</v>
          </cell>
          <cell r="S104">
            <v>2734</v>
          </cell>
          <cell r="T104">
            <v>8.1999999999999993</v>
          </cell>
          <cell r="U104">
            <v>0</v>
          </cell>
          <cell r="V104">
            <v>19</v>
          </cell>
          <cell r="W104">
            <v>0.95</v>
          </cell>
          <cell r="X104">
            <v>0</v>
          </cell>
          <cell r="Y104">
            <v>0</v>
          </cell>
          <cell r="Z104">
            <v>0</v>
          </cell>
          <cell r="AA104">
            <v>1764.25</v>
          </cell>
        </row>
        <row r="105">
          <cell r="A105" t="str">
            <v>Marathon Ashland Petroleum Company</v>
          </cell>
          <cell r="B105">
            <v>37288</v>
          </cell>
          <cell r="C105">
            <v>1693</v>
          </cell>
          <cell r="D105">
            <v>50</v>
          </cell>
          <cell r="E105">
            <v>1643</v>
          </cell>
          <cell r="F105" t="str">
            <v>N/A</v>
          </cell>
          <cell r="G105">
            <v>2688</v>
          </cell>
          <cell r="H105">
            <v>50</v>
          </cell>
          <cell r="I105">
            <v>2638</v>
          </cell>
          <cell r="J105" t="str">
            <v>N/A</v>
          </cell>
          <cell r="K105">
            <v>1633.36</v>
          </cell>
          <cell r="L105">
            <v>0</v>
          </cell>
          <cell r="M105">
            <v>75</v>
          </cell>
          <cell r="N105">
            <v>0</v>
          </cell>
          <cell r="O105">
            <v>0</v>
          </cell>
          <cell r="P105">
            <v>0</v>
          </cell>
          <cell r="Q105">
            <v>0</v>
          </cell>
          <cell r="R105">
            <v>0</v>
          </cell>
          <cell r="S105">
            <v>2688</v>
          </cell>
          <cell r="T105">
            <v>-2.69</v>
          </cell>
          <cell r="U105">
            <v>0</v>
          </cell>
          <cell r="V105">
            <v>19</v>
          </cell>
          <cell r="W105">
            <v>0.95</v>
          </cell>
          <cell r="X105">
            <v>0</v>
          </cell>
          <cell r="Y105">
            <v>0</v>
          </cell>
          <cell r="Z105">
            <v>0</v>
          </cell>
          <cell r="AA105">
            <v>1725.62</v>
          </cell>
        </row>
        <row r="106">
          <cell r="A106" t="str">
            <v>Marathon Ashland Petroleum Company</v>
          </cell>
          <cell r="B106">
            <v>37316</v>
          </cell>
          <cell r="C106">
            <v>2871</v>
          </cell>
          <cell r="D106">
            <v>50</v>
          </cell>
          <cell r="E106">
            <v>2821</v>
          </cell>
          <cell r="F106" t="str">
            <v>N/A</v>
          </cell>
          <cell r="G106">
            <v>2950</v>
          </cell>
          <cell r="H106">
            <v>50</v>
          </cell>
          <cell r="I106">
            <v>2900</v>
          </cell>
          <cell r="J106" t="str">
            <v>N/A</v>
          </cell>
          <cell r="K106">
            <v>1791.35</v>
          </cell>
          <cell r="L106">
            <v>0</v>
          </cell>
          <cell r="M106">
            <v>75</v>
          </cell>
          <cell r="N106">
            <v>0</v>
          </cell>
          <cell r="O106">
            <v>0</v>
          </cell>
          <cell r="P106">
            <v>0</v>
          </cell>
          <cell r="Q106">
            <v>0</v>
          </cell>
          <cell r="R106">
            <v>0</v>
          </cell>
          <cell r="S106">
            <v>2950</v>
          </cell>
          <cell r="T106">
            <v>-2.95</v>
          </cell>
          <cell r="U106">
            <v>0</v>
          </cell>
          <cell r="V106">
            <v>19</v>
          </cell>
          <cell r="W106">
            <v>0.95</v>
          </cell>
          <cell r="X106">
            <v>0</v>
          </cell>
          <cell r="Y106">
            <v>0</v>
          </cell>
          <cell r="Z106">
            <v>0</v>
          </cell>
          <cell r="AA106">
            <v>1883.35</v>
          </cell>
        </row>
        <row r="107">
          <cell r="A107" t="str">
            <v>Marathon Ashland Petroleum Company</v>
          </cell>
          <cell r="B107">
            <v>37347</v>
          </cell>
          <cell r="C107">
            <v>2705</v>
          </cell>
          <cell r="D107">
            <v>50</v>
          </cell>
          <cell r="E107">
            <v>2655</v>
          </cell>
          <cell r="F107" t="str">
            <v>N/A</v>
          </cell>
          <cell r="G107">
            <v>3090</v>
          </cell>
          <cell r="H107">
            <v>50</v>
          </cell>
          <cell r="I107">
            <v>3040</v>
          </cell>
          <cell r="J107" t="str">
            <v>N/A</v>
          </cell>
          <cell r="K107">
            <v>1875.77</v>
          </cell>
          <cell r="L107">
            <v>0</v>
          </cell>
          <cell r="M107">
            <v>75</v>
          </cell>
          <cell r="N107">
            <v>0</v>
          </cell>
          <cell r="O107">
            <v>0</v>
          </cell>
          <cell r="P107">
            <v>0</v>
          </cell>
          <cell r="Q107">
            <v>0</v>
          </cell>
          <cell r="R107">
            <v>0</v>
          </cell>
          <cell r="S107">
            <v>3090</v>
          </cell>
          <cell r="T107">
            <v>-3.09</v>
          </cell>
          <cell r="U107">
            <v>0</v>
          </cell>
          <cell r="V107">
            <v>19</v>
          </cell>
          <cell r="W107">
            <v>0.95</v>
          </cell>
          <cell r="X107">
            <v>0</v>
          </cell>
          <cell r="Y107">
            <v>0</v>
          </cell>
          <cell r="Z107">
            <v>0</v>
          </cell>
          <cell r="AA107">
            <v>1967.63</v>
          </cell>
        </row>
        <row r="108">
          <cell r="A108" t="str">
            <v>Marathon Ashland Petroleum Company</v>
          </cell>
          <cell r="B108">
            <v>37377</v>
          </cell>
          <cell r="C108">
            <v>2893</v>
          </cell>
          <cell r="D108">
            <v>50</v>
          </cell>
          <cell r="E108">
            <v>2843</v>
          </cell>
          <cell r="F108" t="str">
            <v>N/A</v>
          </cell>
          <cell r="G108">
            <v>2945</v>
          </cell>
          <cell r="H108">
            <v>50</v>
          </cell>
          <cell r="I108">
            <v>2895</v>
          </cell>
          <cell r="J108" t="str">
            <v>N/A</v>
          </cell>
          <cell r="K108">
            <v>1788.33</v>
          </cell>
          <cell r="L108">
            <v>0</v>
          </cell>
          <cell r="M108">
            <v>75</v>
          </cell>
          <cell r="N108">
            <v>0</v>
          </cell>
          <cell r="O108">
            <v>0</v>
          </cell>
          <cell r="P108">
            <v>0</v>
          </cell>
          <cell r="Q108">
            <v>0</v>
          </cell>
          <cell r="R108">
            <v>0</v>
          </cell>
          <cell r="S108">
            <v>0</v>
          </cell>
          <cell r="T108">
            <v>0</v>
          </cell>
          <cell r="U108">
            <v>0</v>
          </cell>
          <cell r="V108">
            <v>19</v>
          </cell>
          <cell r="W108">
            <v>0.95</v>
          </cell>
          <cell r="X108">
            <v>0</v>
          </cell>
          <cell r="Y108">
            <v>0</v>
          </cell>
          <cell r="Z108">
            <v>0</v>
          </cell>
          <cell r="AA108">
            <v>1883.28</v>
          </cell>
        </row>
        <row r="109">
          <cell r="A109" t="str">
            <v>Marathon Ashland Petroleum Company</v>
          </cell>
          <cell r="B109">
            <v>37408</v>
          </cell>
          <cell r="C109">
            <v>2825</v>
          </cell>
          <cell r="D109">
            <v>50</v>
          </cell>
          <cell r="E109">
            <v>2775</v>
          </cell>
          <cell r="F109" t="str">
            <v>N/A</v>
          </cell>
          <cell r="G109">
            <v>3000</v>
          </cell>
          <cell r="H109">
            <v>50</v>
          </cell>
          <cell r="I109">
            <v>2950</v>
          </cell>
          <cell r="J109" t="str">
            <v>N/A</v>
          </cell>
          <cell r="K109">
            <v>1821.5</v>
          </cell>
          <cell r="L109">
            <v>0</v>
          </cell>
          <cell r="M109">
            <v>75</v>
          </cell>
          <cell r="N109">
            <v>0</v>
          </cell>
          <cell r="O109">
            <v>0</v>
          </cell>
          <cell r="P109">
            <v>0</v>
          </cell>
          <cell r="Q109">
            <v>0</v>
          </cell>
          <cell r="R109">
            <v>0</v>
          </cell>
          <cell r="S109">
            <v>0</v>
          </cell>
          <cell r="T109">
            <v>0</v>
          </cell>
          <cell r="U109">
            <v>0</v>
          </cell>
          <cell r="V109">
            <v>19</v>
          </cell>
          <cell r="W109">
            <v>0.95</v>
          </cell>
          <cell r="X109">
            <v>1883.28</v>
          </cell>
          <cell r="Y109">
            <v>0</v>
          </cell>
          <cell r="Z109">
            <v>0</v>
          </cell>
          <cell r="AA109">
            <v>3799.73</v>
          </cell>
        </row>
        <row r="110">
          <cell r="A110" t="str">
            <v>Marathon Ashland Petroleum Company</v>
          </cell>
          <cell r="B110">
            <v>37438</v>
          </cell>
          <cell r="C110">
            <v>2630</v>
          </cell>
          <cell r="D110">
            <v>50</v>
          </cell>
          <cell r="E110">
            <v>2580</v>
          </cell>
          <cell r="F110" t="str">
            <v>N/A</v>
          </cell>
          <cell r="G110">
            <v>2945</v>
          </cell>
          <cell r="H110">
            <v>50</v>
          </cell>
          <cell r="I110">
            <v>2895</v>
          </cell>
          <cell r="J110" t="str">
            <v>N/A</v>
          </cell>
          <cell r="K110">
            <v>1788.33</v>
          </cell>
          <cell r="L110">
            <v>0</v>
          </cell>
          <cell r="M110">
            <v>75</v>
          </cell>
          <cell r="N110">
            <v>0</v>
          </cell>
          <cell r="O110">
            <v>0</v>
          </cell>
          <cell r="P110">
            <v>0</v>
          </cell>
          <cell r="Q110">
            <v>0</v>
          </cell>
          <cell r="R110">
            <v>0</v>
          </cell>
          <cell r="S110">
            <v>0</v>
          </cell>
          <cell r="T110">
            <v>0</v>
          </cell>
          <cell r="U110">
            <v>0</v>
          </cell>
          <cell r="V110">
            <v>19</v>
          </cell>
          <cell r="W110">
            <v>0.95</v>
          </cell>
          <cell r="X110">
            <v>0</v>
          </cell>
          <cell r="Y110">
            <v>0</v>
          </cell>
          <cell r="Z110">
            <v>0</v>
          </cell>
          <cell r="AA110">
            <v>1883.28</v>
          </cell>
        </row>
        <row r="111">
          <cell r="A111" t="str">
            <v>Midwestern Pet Foods</v>
          </cell>
          <cell r="B111">
            <v>37104</v>
          </cell>
          <cell r="C111">
            <v>3766</v>
          </cell>
          <cell r="D111">
            <v>50</v>
          </cell>
          <cell r="E111">
            <v>3716</v>
          </cell>
          <cell r="F111" t="str">
            <v>N/A</v>
          </cell>
          <cell r="G111">
            <v>3700</v>
          </cell>
          <cell r="H111">
            <v>50</v>
          </cell>
          <cell r="I111">
            <v>3650</v>
          </cell>
          <cell r="J111" t="str">
            <v>N/A</v>
          </cell>
          <cell r="K111">
            <v>2243.6</v>
          </cell>
          <cell r="L111">
            <v>0</v>
          </cell>
          <cell r="M111">
            <v>75</v>
          </cell>
          <cell r="N111">
            <v>0</v>
          </cell>
          <cell r="O111">
            <v>0</v>
          </cell>
          <cell r="P111">
            <v>0</v>
          </cell>
          <cell r="Q111">
            <v>0</v>
          </cell>
          <cell r="R111">
            <v>0</v>
          </cell>
          <cell r="S111">
            <v>3700</v>
          </cell>
          <cell r="T111">
            <v>11.1</v>
          </cell>
          <cell r="U111">
            <v>0</v>
          </cell>
          <cell r="V111">
            <v>19</v>
          </cell>
          <cell r="W111">
            <v>0</v>
          </cell>
          <cell r="X111">
            <v>0</v>
          </cell>
          <cell r="Y111">
            <v>0</v>
          </cell>
          <cell r="Z111">
            <v>0</v>
          </cell>
          <cell r="AA111">
            <v>2348.6999999999998</v>
          </cell>
        </row>
        <row r="112">
          <cell r="A112" t="str">
            <v>Midwestern Pet Foods</v>
          </cell>
          <cell r="B112">
            <v>37135</v>
          </cell>
          <cell r="C112">
            <v>1622</v>
          </cell>
          <cell r="D112">
            <v>50</v>
          </cell>
          <cell r="E112">
            <v>1572</v>
          </cell>
          <cell r="F112" t="str">
            <v>N/A</v>
          </cell>
          <cell r="G112">
            <v>3300</v>
          </cell>
          <cell r="H112">
            <v>50</v>
          </cell>
          <cell r="I112">
            <v>3250</v>
          </cell>
          <cell r="J112" t="str">
            <v>N/A</v>
          </cell>
          <cell r="K112">
            <v>2002.4</v>
          </cell>
          <cell r="L112">
            <v>0</v>
          </cell>
          <cell r="M112">
            <v>75</v>
          </cell>
          <cell r="N112">
            <v>0</v>
          </cell>
          <cell r="O112">
            <v>0</v>
          </cell>
          <cell r="P112">
            <v>0</v>
          </cell>
          <cell r="Q112">
            <v>0</v>
          </cell>
          <cell r="R112">
            <v>0</v>
          </cell>
          <cell r="S112">
            <v>3300</v>
          </cell>
          <cell r="T112">
            <v>9.9</v>
          </cell>
          <cell r="U112">
            <v>0</v>
          </cell>
          <cell r="V112">
            <v>19</v>
          </cell>
          <cell r="W112">
            <v>0</v>
          </cell>
          <cell r="X112">
            <v>0</v>
          </cell>
          <cell r="Y112">
            <v>0</v>
          </cell>
          <cell r="Z112">
            <v>0</v>
          </cell>
          <cell r="AA112">
            <v>2106.3000000000002</v>
          </cell>
        </row>
        <row r="113">
          <cell r="A113" t="str">
            <v>Midwestern Pet Foods</v>
          </cell>
          <cell r="B113">
            <v>37165</v>
          </cell>
          <cell r="C113">
            <v>6836</v>
          </cell>
          <cell r="D113">
            <v>50</v>
          </cell>
          <cell r="E113">
            <v>6786</v>
          </cell>
          <cell r="F113" t="str">
            <v>N/A</v>
          </cell>
          <cell r="G113">
            <v>5300</v>
          </cell>
          <cell r="H113">
            <v>50</v>
          </cell>
          <cell r="I113">
            <v>5250</v>
          </cell>
          <cell r="J113" t="str">
            <v>N/A</v>
          </cell>
          <cell r="K113">
            <v>3208.4</v>
          </cell>
          <cell r="L113">
            <v>0</v>
          </cell>
          <cell r="M113">
            <v>75</v>
          </cell>
          <cell r="N113">
            <v>0</v>
          </cell>
          <cell r="O113">
            <v>0</v>
          </cell>
          <cell r="P113">
            <v>0</v>
          </cell>
          <cell r="Q113">
            <v>0</v>
          </cell>
          <cell r="R113">
            <v>0</v>
          </cell>
          <cell r="S113">
            <v>5300</v>
          </cell>
          <cell r="T113">
            <v>15.9</v>
          </cell>
          <cell r="U113">
            <v>0</v>
          </cell>
          <cell r="V113">
            <v>19</v>
          </cell>
          <cell r="W113">
            <v>0</v>
          </cell>
          <cell r="X113">
            <v>0</v>
          </cell>
          <cell r="Y113">
            <v>0</v>
          </cell>
          <cell r="Z113">
            <v>0</v>
          </cell>
          <cell r="AA113">
            <v>3318.3</v>
          </cell>
        </row>
        <row r="114">
          <cell r="A114" t="str">
            <v>Midwestern Pet Foods</v>
          </cell>
          <cell r="B114">
            <v>37196</v>
          </cell>
          <cell r="C114">
            <v>4170</v>
          </cell>
          <cell r="D114">
            <v>50</v>
          </cell>
          <cell r="E114">
            <v>4120</v>
          </cell>
          <cell r="F114" t="str">
            <v>N/A</v>
          </cell>
          <cell r="G114">
            <v>4236</v>
          </cell>
          <cell r="H114">
            <v>50</v>
          </cell>
          <cell r="I114">
            <v>4186</v>
          </cell>
          <cell r="J114" t="str">
            <v>N/A</v>
          </cell>
          <cell r="K114">
            <v>2566.81</v>
          </cell>
          <cell r="L114">
            <v>0</v>
          </cell>
          <cell r="M114">
            <v>75</v>
          </cell>
          <cell r="N114">
            <v>0</v>
          </cell>
          <cell r="O114">
            <v>0</v>
          </cell>
          <cell r="P114">
            <v>0</v>
          </cell>
          <cell r="Q114">
            <v>0</v>
          </cell>
          <cell r="R114">
            <v>0</v>
          </cell>
          <cell r="S114">
            <v>4236</v>
          </cell>
          <cell r="T114">
            <v>12.71</v>
          </cell>
          <cell r="U114">
            <v>0</v>
          </cell>
          <cell r="V114">
            <v>19</v>
          </cell>
          <cell r="W114">
            <v>0</v>
          </cell>
          <cell r="X114">
            <v>0</v>
          </cell>
          <cell r="Y114">
            <v>0</v>
          </cell>
          <cell r="Z114">
            <v>0</v>
          </cell>
          <cell r="AA114">
            <v>2673.52</v>
          </cell>
        </row>
        <row r="115">
          <cell r="A115" t="str">
            <v>Midwestern Pet Foods</v>
          </cell>
          <cell r="B115">
            <v>37226</v>
          </cell>
          <cell r="C115">
            <v>3895</v>
          </cell>
          <cell r="D115">
            <v>50</v>
          </cell>
          <cell r="E115">
            <v>3845</v>
          </cell>
          <cell r="F115" t="str">
            <v>N/A</v>
          </cell>
          <cell r="G115">
            <v>3900</v>
          </cell>
          <cell r="H115">
            <v>50</v>
          </cell>
          <cell r="I115">
            <v>3850</v>
          </cell>
          <cell r="J115" t="str">
            <v>N/A</v>
          </cell>
          <cell r="K115">
            <v>2364.1999999999998</v>
          </cell>
          <cell r="L115">
            <v>0</v>
          </cell>
          <cell r="M115">
            <v>75</v>
          </cell>
          <cell r="N115">
            <v>0</v>
          </cell>
          <cell r="O115">
            <v>0</v>
          </cell>
          <cell r="P115">
            <v>0</v>
          </cell>
          <cell r="Q115">
            <v>0</v>
          </cell>
          <cell r="R115">
            <v>0</v>
          </cell>
          <cell r="S115">
            <v>3900</v>
          </cell>
          <cell r="T115">
            <v>11.7</v>
          </cell>
          <cell r="U115">
            <v>0</v>
          </cell>
          <cell r="V115">
            <v>19</v>
          </cell>
          <cell r="W115">
            <v>0</v>
          </cell>
          <cell r="X115">
            <v>0</v>
          </cell>
          <cell r="Y115">
            <v>0</v>
          </cell>
          <cell r="Z115">
            <v>0</v>
          </cell>
          <cell r="AA115">
            <v>2469.9</v>
          </cell>
        </row>
        <row r="116">
          <cell r="A116" t="str">
            <v>Midwestern Pet Foods</v>
          </cell>
          <cell r="B116">
            <v>37257</v>
          </cell>
          <cell r="C116">
            <v>5071</v>
          </cell>
          <cell r="D116">
            <v>50</v>
          </cell>
          <cell r="E116">
            <v>5021</v>
          </cell>
          <cell r="F116" t="str">
            <v>N/A</v>
          </cell>
          <cell r="G116">
            <v>5200</v>
          </cell>
          <cell r="H116">
            <v>50</v>
          </cell>
          <cell r="I116">
            <v>5150</v>
          </cell>
          <cell r="J116" t="str">
            <v>N/A</v>
          </cell>
          <cell r="K116">
            <v>3148.1</v>
          </cell>
          <cell r="L116">
            <v>0</v>
          </cell>
          <cell r="M116">
            <v>75</v>
          </cell>
          <cell r="N116">
            <v>0</v>
          </cell>
          <cell r="O116">
            <v>0</v>
          </cell>
          <cell r="P116">
            <v>0</v>
          </cell>
          <cell r="Q116">
            <v>0</v>
          </cell>
          <cell r="R116">
            <v>0</v>
          </cell>
          <cell r="S116">
            <v>5200</v>
          </cell>
          <cell r="T116">
            <v>15.6</v>
          </cell>
          <cell r="U116">
            <v>0</v>
          </cell>
          <cell r="V116">
            <v>19</v>
          </cell>
          <cell r="W116">
            <v>0</v>
          </cell>
          <cell r="X116">
            <v>0</v>
          </cell>
          <cell r="Y116">
            <v>0</v>
          </cell>
          <cell r="Z116">
            <v>0</v>
          </cell>
          <cell r="AA116">
            <v>3257.7</v>
          </cell>
        </row>
        <row r="117">
          <cell r="A117" t="str">
            <v>Midwestern Pet Foods</v>
          </cell>
          <cell r="B117">
            <v>37288</v>
          </cell>
          <cell r="C117">
            <v>4192</v>
          </cell>
          <cell r="D117">
            <v>50</v>
          </cell>
          <cell r="E117">
            <v>4142</v>
          </cell>
          <cell r="F117" t="str">
            <v>N/A</v>
          </cell>
          <cell r="G117">
            <v>4278</v>
          </cell>
          <cell r="H117">
            <v>50</v>
          </cell>
          <cell r="I117">
            <v>4228</v>
          </cell>
          <cell r="J117" t="str">
            <v>N/A</v>
          </cell>
          <cell r="K117">
            <v>2592.13</v>
          </cell>
          <cell r="L117">
            <v>0</v>
          </cell>
          <cell r="M117">
            <v>75</v>
          </cell>
          <cell r="N117">
            <v>0</v>
          </cell>
          <cell r="O117">
            <v>0</v>
          </cell>
          <cell r="P117">
            <v>0</v>
          </cell>
          <cell r="Q117">
            <v>0</v>
          </cell>
          <cell r="R117">
            <v>0</v>
          </cell>
          <cell r="S117">
            <v>4278</v>
          </cell>
          <cell r="T117">
            <v>-4.28</v>
          </cell>
          <cell r="U117">
            <v>0</v>
          </cell>
          <cell r="V117">
            <v>19</v>
          </cell>
          <cell r="W117">
            <v>0</v>
          </cell>
          <cell r="X117">
            <v>0</v>
          </cell>
          <cell r="Y117">
            <v>0</v>
          </cell>
          <cell r="Z117">
            <v>0</v>
          </cell>
          <cell r="AA117">
            <v>2681.85</v>
          </cell>
        </row>
        <row r="118">
          <cell r="A118" t="str">
            <v>Midwestern Pet Foods</v>
          </cell>
          <cell r="B118">
            <v>37316</v>
          </cell>
          <cell r="C118">
            <v>4496</v>
          </cell>
          <cell r="D118">
            <v>50</v>
          </cell>
          <cell r="E118">
            <v>4446</v>
          </cell>
          <cell r="F118" t="str">
            <v>N/A</v>
          </cell>
          <cell r="G118">
            <v>4569</v>
          </cell>
          <cell r="H118">
            <v>50</v>
          </cell>
          <cell r="I118">
            <v>4519</v>
          </cell>
          <cell r="J118" t="str">
            <v>N/A</v>
          </cell>
          <cell r="K118">
            <v>2767.61</v>
          </cell>
          <cell r="L118">
            <v>0</v>
          </cell>
          <cell r="M118">
            <v>75</v>
          </cell>
          <cell r="N118">
            <v>0</v>
          </cell>
          <cell r="O118">
            <v>0</v>
          </cell>
          <cell r="P118">
            <v>0</v>
          </cell>
          <cell r="Q118">
            <v>0</v>
          </cell>
          <cell r="R118">
            <v>0</v>
          </cell>
          <cell r="S118">
            <v>4569</v>
          </cell>
          <cell r="T118">
            <v>-4.57</v>
          </cell>
          <cell r="U118">
            <v>0</v>
          </cell>
          <cell r="V118">
            <v>19</v>
          </cell>
          <cell r="W118">
            <v>0</v>
          </cell>
          <cell r="X118">
            <v>0</v>
          </cell>
          <cell r="Y118">
            <v>0</v>
          </cell>
          <cell r="Z118">
            <v>0</v>
          </cell>
          <cell r="AA118">
            <v>2857.04</v>
          </cell>
        </row>
        <row r="119">
          <cell r="A119" t="str">
            <v>Midwestern Pet Foods</v>
          </cell>
          <cell r="B119">
            <v>37347</v>
          </cell>
          <cell r="C119">
            <v>4414</v>
          </cell>
          <cell r="D119">
            <v>50</v>
          </cell>
          <cell r="E119">
            <v>4364</v>
          </cell>
          <cell r="F119" t="str">
            <v>N/A</v>
          </cell>
          <cell r="G119">
            <v>4476</v>
          </cell>
          <cell r="H119">
            <v>50</v>
          </cell>
          <cell r="I119">
            <v>4426</v>
          </cell>
          <cell r="J119" t="str">
            <v>N/A</v>
          </cell>
          <cell r="K119">
            <v>2711.53</v>
          </cell>
          <cell r="L119">
            <v>0</v>
          </cell>
          <cell r="M119">
            <v>75</v>
          </cell>
          <cell r="N119">
            <v>0</v>
          </cell>
          <cell r="O119">
            <v>0</v>
          </cell>
          <cell r="P119">
            <v>0</v>
          </cell>
          <cell r="Q119">
            <v>0</v>
          </cell>
          <cell r="R119">
            <v>0</v>
          </cell>
          <cell r="S119">
            <v>4476</v>
          </cell>
          <cell r="T119">
            <v>-4.4800000000000004</v>
          </cell>
          <cell r="U119">
            <v>0</v>
          </cell>
          <cell r="V119">
            <v>19</v>
          </cell>
          <cell r="W119">
            <v>0</v>
          </cell>
          <cell r="X119">
            <v>0</v>
          </cell>
          <cell r="Y119">
            <v>0</v>
          </cell>
          <cell r="Z119">
            <v>0</v>
          </cell>
          <cell r="AA119">
            <v>2801.05</v>
          </cell>
        </row>
        <row r="120">
          <cell r="A120" t="str">
            <v>Midwestern Pet Foods</v>
          </cell>
          <cell r="B120">
            <v>37377</v>
          </cell>
          <cell r="C120">
            <v>3593</v>
          </cell>
          <cell r="D120">
            <v>50</v>
          </cell>
          <cell r="E120">
            <v>3543</v>
          </cell>
          <cell r="F120" t="str">
            <v>N/A</v>
          </cell>
          <cell r="G120">
            <v>3700</v>
          </cell>
          <cell r="H120">
            <v>50</v>
          </cell>
          <cell r="I120">
            <v>3650</v>
          </cell>
          <cell r="J120" t="str">
            <v>N/A</v>
          </cell>
          <cell r="K120">
            <v>2243.6</v>
          </cell>
          <cell r="L120">
            <v>0</v>
          </cell>
          <cell r="M120">
            <v>75</v>
          </cell>
          <cell r="N120">
            <v>0</v>
          </cell>
          <cell r="O120">
            <v>0</v>
          </cell>
          <cell r="P120">
            <v>0</v>
          </cell>
          <cell r="Q120">
            <v>0</v>
          </cell>
          <cell r="R120">
            <v>0</v>
          </cell>
          <cell r="S120">
            <v>0</v>
          </cell>
          <cell r="T120">
            <v>0</v>
          </cell>
          <cell r="U120">
            <v>0</v>
          </cell>
          <cell r="V120">
            <v>19</v>
          </cell>
          <cell r="W120">
            <v>0</v>
          </cell>
          <cell r="X120">
            <v>0</v>
          </cell>
          <cell r="Y120">
            <v>0</v>
          </cell>
          <cell r="Z120">
            <v>0</v>
          </cell>
          <cell r="AA120">
            <v>2337.6</v>
          </cell>
        </row>
        <row r="121">
          <cell r="A121" t="str">
            <v>Midwestern Pet Foods</v>
          </cell>
          <cell r="B121">
            <v>37408</v>
          </cell>
          <cell r="C121">
            <v>3372</v>
          </cell>
          <cell r="D121">
            <v>50</v>
          </cell>
          <cell r="E121">
            <v>3322</v>
          </cell>
          <cell r="F121" t="str">
            <v>N/A</v>
          </cell>
          <cell r="G121">
            <v>3500</v>
          </cell>
          <cell r="H121">
            <v>50</v>
          </cell>
          <cell r="I121">
            <v>3450</v>
          </cell>
          <cell r="J121" t="str">
            <v>N/A</v>
          </cell>
          <cell r="K121">
            <v>2123</v>
          </cell>
          <cell r="L121">
            <v>0</v>
          </cell>
          <cell r="M121">
            <v>75</v>
          </cell>
          <cell r="N121">
            <v>0</v>
          </cell>
          <cell r="O121">
            <v>0</v>
          </cell>
          <cell r="P121">
            <v>0</v>
          </cell>
          <cell r="Q121">
            <v>0</v>
          </cell>
          <cell r="R121">
            <v>0</v>
          </cell>
          <cell r="S121">
            <v>0</v>
          </cell>
          <cell r="T121">
            <v>0</v>
          </cell>
          <cell r="U121">
            <v>0</v>
          </cell>
          <cell r="V121">
            <v>19</v>
          </cell>
          <cell r="W121">
            <v>0</v>
          </cell>
          <cell r="X121">
            <v>0</v>
          </cell>
          <cell r="Y121">
            <v>0</v>
          </cell>
          <cell r="Z121">
            <v>0</v>
          </cell>
          <cell r="AA121">
            <v>2217</v>
          </cell>
        </row>
        <row r="122">
          <cell r="A122" t="str">
            <v>Midwestern Pet Foods</v>
          </cell>
          <cell r="B122">
            <v>37438</v>
          </cell>
          <cell r="C122">
            <v>3204</v>
          </cell>
          <cell r="D122">
            <v>50</v>
          </cell>
          <cell r="E122">
            <v>3154</v>
          </cell>
          <cell r="F122" t="str">
            <v>N/A</v>
          </cell>
          <cell r="G122">
            <v>3180</v>
          </cell>
          <cell r="H122">
            <v>50</v>
          </cell>
          <cell r="I122">
            <v>3130</v>
          </cell>
          <cell r="J122" t="str">
            <v>N/A</v>
          </cell>
          <cell r="K122">
            <v>1930.04</v>
          </cell>
          <cell r="L122">
            <v>0</v>
          </cell>
          <cell r="M122">
            <v>75</v>
          </cell>
          <cell r="N122">
            <v>0</v>
          </cell>
          <cell r="O122">
            <v>0</v>
          </cell>
          <cell r="P122">
            <v>0</v>
          </cell>
          <cell r="Q122">
            <v>0</v>
          </cell>
          <cell r="R122">
            <v>0</v>
          </cell>
          <cell r="S122">
            <v>0</v>
          </cell>
          <cell r="T122">
            <v>0</v>
          </cell>
          <cell r="U122">
            <v>0</v>
          </cell>
          <cell r="V122">
            <v>19</v>
          </cell>
          <cell r="W122">
            <v>0</v>
          </cell>
          <cell r="X122">
            <v>0</v>
          </cell>
          <cell r="Y122">
            <v>0</v>
          </cell>
          <cell r="Z122">
            <v>0</v>
          </cell>
          <cell r="AA122">
            <v>2024.04</v>
          </cell>
        </row>
        <row r="123">
          <cell r="A123" t="str">
            <v>Miller Electroplating</v>
          </cell>
          <cell r="B123">
            <v>37104</v>
          </cell>
          <cell r="C123">
            <v>1295</v>
          </cell>
          <cell r="D123">
            <v>50</v>
          </cell>
          <cell r="E123">
            <v>1245</v>
          </cell>
          <cell r="F123" t="str">
            <v>N/A</v>
          </cell>
          <cell r="G123">
            <v>1315</v>
          </cell>
          <cell r="H123">
            <v>50</v>
          </cell>
          <cell r="I123">
            <v>1265</v>
          </cell>
          <cell r="J123" t="str">
            <v>N/A</v>
          </cell>
          <cell r="K123">
            <v>805.44</v>
          </cell>
          <cell r="L123">
            <v>0</v>
          </cell>
          <cell r="M123">
            <v>75</v>
          </cell>
          <cell r="N123">
            <v>0</v>
          </cell>
          <cell r="O123">
            <v>0</v>
          </cell>
          <cell r="P123">
            <v>0</v>
          </cell>
          <cell r="Q123">
            <v>0</v>
          </cell>
          <cell r="R123">
            <v>0</v>
          </cell>
          <cell r="S123">
            <v>1315</v>
          </cell>
          <cell r="T123">
            <v>3.94</v>
          </cell>
          <cell r="U123">
            <v>0</v>
          </cell>
          <cell r="V123">
            <v>19</v>
          </cell>
          <cell r="W123">
            <v>0.95</v>
          </cell>
          <cell r="X123">
            <v>0</v>
          </cell>
          <cell r="Y123">
            <v>0</v>
          </cell>
          <cell r="Z123">
            <v>0</v>
          </cell>
          <cell r="AA123">
            <v>904.33</v>
          </cell>
        </row>
        <row r="124">
          <cell r="A124" t="str">
            <v>Miller Electroplating</v>
          </cell>
          <cell r="B124">
            <v>37135</v>
          </cell>
          <cell r="C124">
            <v>1110</v>
          </cell>
          <cell r="D124">
            <v>50</v>
          </cell>
          <cell r="E124">
            <v>1060</v>
          </cell>
          <cell r="F124" t="str">
            <v>N/A</v>
          </cell>
          <cell r="G124">
            <v>1128</v>
          </cell>
          <cell r="H124">
            <v>50</v>
          </cell>
          <cell r="I124">
            <v>1078</v>
          </cell>
          <cell r="J124" t="str">
            <v>N/A</v>
          </cell>
          <cell r="K124">
            <v>692.68</v>
          </cell>
          <cell r="L124">
            <v>0</v>
          </cell>
          <cell r="M124">
            <v>75</v>
          </cell>
          <cell r="N124">
            <v>0</v>
          </cell>
          <cell r="O124">
            <v>0</v>
          </cell>
          <cell r="P124">
            <v>0</v>
          </cell>
          <cell r="Q124">
            <v>0</v>
          </cell>
          <cell r="R124">
            <v>0</v>
          </cell>
          <cell r="S124">
            <v>1128</v>
          </cell>
          <cell r="T124">
            <v>3.38</v>
          </cell>
          <cell r="U124">
            <v>0</v>
          </cell>
          <cell r="V124">
            <v>19</v>
          </cell>
          <cell r="W124">
            <v>0.95</v>
          </cell>
          <cell r="X124">
            <v>0</v>
          </cell>
          <cell r="Y124">
            <v>0</v>
          </cell>
          <cell r="Z124">
            <v>0</v>
          </cell>
          <cell r="AA124">
            <v>791.01</v>
          </cell>
        </row>
        <row r="125">
          <cell r="A125" t="str">
            <v>Miller Electroplating</v>
          </cell>
          <cell r="B125">
            <v>37165</v>
          </cell>
          <cell r="C125">
            <v>1575</v>
          </cell>
          <cell r="D125">
            <v>50</v>
          </cell>
          <cell r="E125">
            <v>1525</v>
          </cell>
          <cell r="F125" t="str">
            <v>N/A</v>
          </cell>
          <cell r="G125">
            <v>1600</v>
          </cell>
          <cell r="H125">
            <v>50</v>
          </cell>
          <cell r="I125">
            <v>1550</v>
          </cell>
          <cell r="J125" t="str">
            <v>N/A</v>
          </cell>
          <cell r="K125">
            <v>977.3</v>
          </cell>
          <cell r="L125">
            <v>0</v>
          </cell>
          <cell r="M125">
            <v>75</v>
          </cell>
          <cell r="N125">
            <v>0</v>
          </cell>
          <cell r="O125">
            <v>0</v>
          </cell>
          <cell r="P125">
            <v>0</v>
          </cell>
          <cell r="Q125">
            <v>0</v>
          </cell>
          <cell r="R125">
            <v>0</v>
          </cell>
          <cell r="S125">
            <v>1600</v>
          </cell>
          <cell r="T125">
            <v>4.8</v>
          </cell>
          <cell r="U125">
            <v>0</v>
          </cell>
          <cell r="V125">
            <v>19</v>
          </cell>
          <cell r="W125">
            <v>0.95</v>
          </cell>
          <cell r="X125">
            <v>0</v>
          </cell>
          <cell r="Y125">
            <v>0</v>
          </cell>
          <cell r="Z125">
            <v>0</v>
          </cell>
          <cell r="AA125">
            <v>1077.05</v>
          </cell>
        </row>
        <row r="126">
          <cell r="A126" t="str">
            <v>Miller Electroplating</v>
          </cell>
          <cell r="B126">
            <v>37196</v>
          </cell>
          <cell r="C126">
            <v>1824</v>
          </cell>
          <cell r="D126">
            <v>50</v>
          </cell>
          <cell r="E126">
            <v>1774</v>
          </cell>
          <cell r="F126" t="str">
            <v>N/A</v>
          </cell>
          <cell r="G126">
            <v>1854</v>
          </cell>
          <cell r="H126">
            <v>50</v>
          </cell>
          <cell r="I126">
            <v>1804</v>
          </cell>
          <cell r="J126" t="str">
            <v>N/A</v>
          </cell>
          <cell r="K126">
            <v>1130.46</v>
          </cell>
          <cell r="L126">
            <v>0</v>
          </cell>
          <cell r="M126">
            <v>75</v>
          </cell>
          <cell r="N126">
            <v>0</v>
          </cell>
          <cell r="O126">
            <v>0</v>
          </cell>
          <cell r="P126">
            <v>0</v>
          </cell>
          <cell r="Q126">
            <v>0</v>
          </cell>
          <cell r="R126">
            <v>0</v>
          </cell>
          <cell r="S126">
            <v>1854</v>
          </cell>
          <cell r="T126">
            <v>5.56</v>
          </cell>
          <cell r="U126">
            <v>0</v>
          </cell>
          <cell r="V126">
            <v>19</v>
          </cell>
          <cell r="W126">
            <v>0.95</v>
          </cell>
          <cell r="X126">
            <v>0</v>
          </cell>
          <cell r="Y126">
            <v>0</v>
          </cell>
          <cell r="Z126">
            <v>0</v>
          </cell>
          <cell r="AA126">
            <v>1230.97</v>
          </cell>
        </row>
        <row r="127">
          <cell r="A127" t="str">
            <v>Miller Electroplating</v>
          </cell>
          <cell r="B127">
            <v>37226</v>
          </cell>
          <cell r="C127">
            <v>1688</v>
          </cell>
          <cell r="D127">
            <v>50</v>
          </cell>
          <cell r="E127">
            <v>1638</v>
          </cell>
          <cell r="F127" t="str">
            <v>N/A</v>
          </cell>
          <cell r="G127">
            <v>3748</v>
          </cell>
          <cell r="H127">
            <v>50</v>
          </cell>
          <cell r="I127">
            <v>3698</v>
          </cell>
          <cell r="J127" t="str">
            <v>N/A</v>
          </cell>
          <cell r="K127">
            <v>2272.54</v>
          </cell>
          <cell r="L127">
            <v>0</v>
          </cell>
          <cell r="M127">
            <v>75</v>
          </cell>
          <cell r="N127">
            <v>0</v>
          </cell>
          <cell r="O127">
            <v>0</v>
          </cell>
          <cell r="P127">
            <v>0</v>
          </cell>
          <cell r="Q127">
            <v>0</v>
          </cell>
          <cell r="R127">
            <v>0</v>
          </cell>
          <cell r="S127">
            <v>3748</v>
          </cell>
          <cell r="T127">
            <v>11.24</v>
          </cell>
          <cell r="U127">
            <v>0</v>
          </cell>
          <cell r="V127">
            <v>19</v>
          </cell>
          <cell r="W127">
            <v>0.95</v>
          </cell>
          <cell r="X127">
            <v>0</v>
          </cell>
          <cell r="Y127">
            <v>0</v>
          </cell>
          <cell r="Z127">
            <v>0</v>
          </cell>
          <cell r="AA127">
            <v>2378.73</v>
          </cell>
        </row>
        <row r="128">
          <cell r="A128" t="str">
            <v>Miller Electroplating</v>
          </cell>
          <cell r="B128">
            <v>37257</v>
          </cell>
          <cell r="C128">
            <v>1242</v>
          </cell>
          <cell r="D128">
            <v>50</v>
          </cell>
          <cell r="E128">
            <v>1192</v>
          </cell>
          <cell r="F128" t="str">
            <v>N/A</v>
          </cell>
          <cell r="G128">
            <v>1264</v>
          </cell>
          <cell r="H128">
            <v>50</v>
          </cell>
          <cell r="I128">
            <v>1214</v>
          </cell>
          <cell r="J128" t="str">
            <v>N/A</v>
          </cell>
          <cell r="K128">
            <v>774.69</v>
          </cell>
          <cell r="L128">
            <v>0</v>
          </cell>
          <cell r="M128">
            <v>75</v>
          </cell>
          <cell r="N128">
            <v>0</v>
          </cell>
          <cell r="O128">
            <v>0</v>
          </cell>
          <cell r="P128">
            <v>0</v>
          </cell>
          <cell r="Q128">
            <v>0</v>
          </cell>
          <cell r="R128">
            <v>0</v>
          </cell>
          <cell r="S128">
            <v>1264</v>
          </cell>
          <cell r="T128">
            <v>3.79</v>
          </cell>
          <cell r="U128">
            <v>0</v>
          </cell>
          <cell r="V128">
            <v>19</v>
          </cell>
          <cell r="W128">
            <v>0.95</v>
          </cell>
          <cell r="X128">
            <v>0</v>
          </cell>
          <cell r="Y128">
            <v>0</v>
          </cell>
          <cell r="Z128">
            <v>0</v>
          </cell>
          <cell r="AA128">
            <v>873.43</v>
          </cell>
        </row>
        <row r="129">
          <cell r="A129" t="str">
            <v>Miller Electroplating</v>
          </cell>
          <cell r="B129">
            <v>37288</v>
          </cell>
          <cell r="C129">
            <v>2604</v>
          </cell>
          <cell r="D129">
            <v>50</v>
          </cell>
          <cell r="E129">
            <v>2554</v>
          </cell>
          <cell r="F129" t="str">
            <v>N/A</v>
          </cell>
          <cell r="G129">
            <v>3108</v>
          </cell>
          <cell r="H129">
            <v>50</v>
          </cell>
          <cell r="I129">
            <v>3058</v>
          </cell>
          <cell r="J129" t="str">
            <v>N/A</v>
          </cell>
          <cell r="K129">
            <v>1886.62</v>
          </cell>
          <cell r="L129">
            <v>0</v>
          </cell>
          <cell r="M129">
            <v>75</v>
          </cell>
          <cell r="N129">
            <v>0</v>
          </cell>
          <cell r="O129">
            <v>0</v>
          </cell>
          <cell r="P129">
            <v>0</v>
          </cell>
          <cell r="Q129">
            <v>0</v>
          </cell>
          <cell r="R129">
            <v>0</v>
          </cell>
          <cell r="S129">
            <v>3108</v>
          </cell>
          <cell r="T129">
            <v>-3.11</v>
          </cell>
          <cell r="U129">
            <v>0</v>
          </cell>
          <cell r="V129">
            <v>19</v>
          </cell>
          <cell r="W129">
            <v>0.95</v>
          </cell>
          <cell r="X129">
            <v>0</v>
          </cell>
          <cell r="Y129">
            <v>0</v>
          </cell>
          <cell r="Z129">
            <v>0</v>
          </cell>
          <cell r="AA129">
            <v>1978.46</v>
          </cell>
        </row>
        <row r="130">
          <cell r="A130" t="str">
            <v>Miller Electroplating</v>
          </cell>
          <cell r="B130">
            <v>37316</v>
          </cell>
          <cell r="C130">
            <v>2437</v>
          </cell>
          <cell r="D130">
            <v>50</v>
          </cell>
          <cell r="E130">
            <v>2387</v>
          </cell>
          <cell r="F130" t="str">
            <v>N/A</v>
          </cell>
          <cell r="G130">
            <v>2500</v>
          </cell>
          <cell r="H130">
            <v>50</v>
          </cell>
          <cell r="I130">
            <v>2450</v>
          </cell>
          <cell r="J130" t="str">
            <v>N/A</v>
          </cell>
          <cell r="K130">
            <v>1520</v>
          </cell>
          <cell r="L130">
            <v>0</v>
          </cell>
          <cell r="M130">
            <v>75</v>
          </cell>
          <cell r="N130">
            <v>0</v>
          </cell>
          <cell r="O130">
            <v>0</v>
          </cell>
          <cell r="P130">
            <v>0</v>
          </cell>
          <cell r="Q130">
            <v>0</v>
          </cell>
          <cell r="R130">
            <v>0</v>
          </cell>
          <cell r="S130">
            <v>2500</v>
          </cell>
          <cell r="T130">
            <v>-2.5</v>
          </cell>
          <cell r="U130">
            <v>0</v>
          </cell>
          <cell r="V130">
            <v>19</v>
          </cell>
          <cell r="W130">
            <v>0.95</v>
          </cell>
          <cell r="X130">
            <v>0</v>
          </cell>
          <cell r="Y130">
            <v>0</v>
          </cell>
          <cell r="Z130">
            <v>0</v>
          </cell>
          <cell r="AA130">
            <v>1612.45</v>
          </cell>
        </row>
        <row r="131">
          <cell r="A131" t="str">
            <v>Miller Electroplating</v>
          </cell>
          <cell r="B131">
            <v>37347</v>
          </cell>
          <cell r="C131">
            <v>1704</v>
          </cell>
          <cell r="D131">
            <v>50</v>
          </cell>
          <cell r="E131">
            <v>1654</v>
          </cell>
          <cell r="F131" t="str">
            <v>N/A</v>
          </cell>
          <cell r="G131">
            <v>1900</v>
          </cell>
          <cell r="H131">
            <v>50</v>
          </cell>
          <cell r="I131">
            <v>1850</v>
          </cell>
          <cell r="J131" t="str">
            <v>N/A</v>
          </cell>
          <cell r="K131">
            <v>1158.2</v>
          </cell>
          <cell r="L131">
            <v>0</v>
          </cell>
          <cell r="M131">
            <v>75</v>
          </cell>
          <cell r="N131">
            <v>0</v>
          </cell>
          <cell r="O131">
            <v>0</v>
          </cell>
          <cell r="P131">
            <v>0</v>
          </cell>
          <cell r="Q131">
            <v>0</v>
          </cell>
          <cell r="R131">
            <v>0</v>
          </cell>
          <cell r="S131">
            <v>1900</v>
          </cell>
          <cell r="T131">
            <v>-1.9</v>
          </cell>
          <cell r="U131">
            <v>0</v>
          </cell>
          <cell r="V131">
            <v>19</v>
          </cell>
          <cell r="W131">
            <v>0.95</v>
          </cell>
          <cell r="X131">
            <v>0</v>
          </cell>
          <cell r="Y131">
            <v>0</v>
          </cell>
          <cell r="Z131">
            <v>0</v>
          </cell>
          <cell r="AA131">
            <v>1251.25</v>
          </cell>
        </row>
        <row r="132">
          <cell r="A132" t="str">
            <v>Miller Electroplating</v>
          </cell>
          <cell r="B132">
            <v>37377</v>
          </cell>
          <cell r="C132">
            <v>1596</v>
          </cell>
          <cell r="D132">
            <v>50</v>
          </cell>
          <cell r="E132">
            <v>1546</v>
          </cell>
          <cell r="F132" t="str">
            <v>N/A</v>
          </cell>
          <cell r="G132">
            <v>1600</v>
          </cell>
          <cell r="H132">
            <v>50</v>
          </cell>
          <cell r="I132">
            <v>1550</v>
          </cell>
          <cell r="J132" t="str">
            <v>N/A</v>
          </cell>
          <cell r="K132">
            <v>977.3</v>
          </cell>
          <cell r="L132">
            <v>0</v>
          </cell>
          <cell r="M132">
            <v>75</v>
          </cell>
          <cell r="N132">
            <v>0</v>
          </cell>
          <cell r="O132">
            <v>0</v>
          </cell>
          <cell r="P132">
            <v>0</v>
          </cell>
          <cell r="Q132">
            <v>0</v>
          </cell>
          <cell r="R132">
            <v>0</v>
          </cell>
          <cell r="S132">
            <v>0</v>
          </cell>
          <cell r="T132">
            <v>0</v>
          </cell>
          <cell r="U132">
            <v>0</v>
          </cell>
          <cell r="V132">
            <v>19</v>
          </cell>
          <cell r="W132">
            <v>0.95</v>
          </cell>
          <cell r="X132">
            <v>0</v>
          </cell>
          <cell r="Y132">
            <v>0</v>
          </cell>
          <cell r="Z132">
            <v>0</v>
          </cell>
          <cell r="AA132">
            <v>1072.25</v>
          </cell>
        </row>
        <row r="133">
          <cell r="A133" t="str">
            <v>Miller Electroplating</v>
          </cell>
          <cell r="B133">
            <v>37408</v>
          </cell>
          <cell r="C133">
            <v>1407</v>
          </cell>
          <cell r="D133">
            <v>50</v>
          </cell>
          <cell r="E133">
            <v>1357</v>
          </cell>
          <cell r="F133" t="str">
            <v>N/A</v>
          </cell>
          <cell r="G133">
            <v>1600</v>
          </cell>
          <cell r="H133">
            <v>50</v>
          </cell>
          <cell r="I133">
            <v>1550</v>
          </cell>
          <cell r="J133" t="str">
            <v>N/A</v>
          </cell>
          <cell r="K133">
            <v>977.3</v>
          </cell>
          <cell r="L133">
            <v>0</v>
          </cell>
          <cell r="M133">
            <v>75</v>
          </cell>
          <cell r="N133">
            <v>0</v>
          </cell>
          <cell r="O133">
            <v>0</v>
          </cell>
          <cell r="P133">
            <v>0</v>
          </cell>
          <cell r="Q133">
            <v>0</v>
          </cell>
          <cell r="R133">
            <v>0</v>
          </cell>
          <cell r="S133">
            <v>0</v>
          </cell>
          <cell r="T133">
            <v>0</v>
          </cell>
          <cell r="U133">
            <v>0</v>
          </cell>
          <cell r="V133">
            <v>19</v>
          </cell>
          <cell r="W133">
            <v>0.95</v>
          </cell>
          <cell r="X133">
            <v>0</v>
          </cell>
          <cell r="Y133">
            <v>0</v>
          </cell>
          <cell r="Z133">
            <v>0</v>
          </cell>
          <cell r="AA133">
            <v>1072.25</v>
          </cell>
        </row>
        <row r="134">
          <cell r="A134" t="str">
            <v>Miller Electroplating</v>
          </cell>
          <cell r="B134">
            <v>37438</v>
          </cell>
          <cell r="C134">
            <v>1226</v>
          </cell>
          <cell r="D134">
            <v>50</v>
          </cell>
          <cell r="E134">
            <v>1176</v>
          </cell>
          <cell r="F134" t="str">
            <v>N/A</v>
          </cell>
          <cell r="G134">
            <v>1300</v>
          </cell>
          <cell r="H134">
            <v>50</v>
          </cell>
          <cell r="I134">
            <v>1250</v>
          </cell>
          <cell r="J134" t="str">
            <v>N/A</v>
          </cell>
          <cell r="K134">
            <v>796.4</v>
          </cell>
          <cell r="L134">
            <v>0</v>
          </cell>
          <cell r="M134">
            <v>75</v>
          </cell>
          <cell r="N134">
            <v>0</v>
          </cell>
          <cell r="O134">
            <v>0</v>
          </cell>
          <cell r="P134">
            <v>0</v>
          </cell>
          <cell r="Q134">
            <v>0</v>
          </cell>
          <cell r="R134">
            <v>0</v>
          </cell>
          <cell r="S134">
            <v>0</v>
          </cell>
          <cell r="T134">
            <v>0</v>
          </cell>
          <cell r="U134">
            <v>0</v>
          </cell>
          <cell r="V134">
            <v>19</v>
          </cell>
          <cell r="W134">
            <v>0.95</v>
          </cell>
          <cell r="X134">
            <v>0</v>
          </cell>
          <cell r="Y134">
            <v>0</v>
          </cell>
          <cell r="Z134">
            <v>0</v>
          </cell>
          <cell r="AA134">
            <v>891.35</v>
          </cell>
        </row>
        <row r="135">
          <cell r="A135" t="str">
            <v>Ohio Valley Hub</v>
          </cell>
          <cell r="B135">
            <v>37288</v>
          </cell>
          <cell r="C135">
            <v>0</v>
          </cell>
          <cell r="D135">
            <v>0</v>
          </cell>
          <cell r="E135">
            <v>0</v>
          </cell>
          <cell r="F135" t="str">
            <v>N/A</v>
          </cell>
          <cell r="G135">
            <v>0</v>
          </cell>
          <cell r="H135">
            <v>0</v>
          </cell>
          <cell r="I135">
            <v>0</v>
          </cell>
          <cell r="J135" t="str">
            <v>N/A</v>
          </cell>
          <cell r="K135">
            <v>0</v>
          </cell>
          <cell r="L135">
            <v>0</v>
          </cell>
          <cell r="M135">
            <v>75</v>
          </cell>
          <cell r="N135">
            <v>0</v>
          </cell>
          <cell r="O135">
            <v>0</v>
          </cell>
          <cell r="P135">
            <v>0</v>
          </cell>
          <cell r="Q135">
            <v>0</v>
          </cell>
          <cell r="R135">
            <v>0</v>
          </cell>
          <cell r="S135">
            <v>0</v>
          </cell>
          <cell r="T135">
            <v>0</v>
          </cell>
          <cell r="U135">
            <v>0</v>
          </cell>
          <cell r="V135">
            <v>19</v>
          </cell>
          <cell r="W135">
            <v>0</v>
          </cell>
          <cell r="X135">
            <v>20666.669999999998</v>
          </cell>
          <cell r="Y135">
            <v>0</v>
          </cell>
          <cell r="Z135">
            <v>0</v>
          </cell>
          <cell r="AA135">
            <v>20760.669999999998</v>
          </cell>
        </row>
        <row r="136">
          <cell r="A136" t="str">
            <v>Ohio Valley Hub</v>
          </cell>
          <cell r="B136">
            <v>37316</v>
          </cell>
          <cell r="C136">
            <v>0</v>
          </cell>
          <cell r="D136">
            <v>0</v>
          </cell>
          <cell r="E136">
            <v>0</v>
          </cell>
          <cell r="F136" t="str">
            <v>N/A</v>
          </cell>
          <cell r="G136">
            <v>0</v>
          </cell>
          <cell r="H136">
            <v>0</v>
          </cell>
          <cell r="I136">
            <v>0</v>
          </cell>
          <cell r="J136" t="str">
            <v>N/A</v>
          </cell>
          <cell r="K136">
            <v>0</v>
          </cell>
          <cell r="L136">
            <v>0</v>
          </cell>
          <cell r="M136">
            <v>75</v>
          </cell>
          <cell r="N136">
            <v>0</v>
          </cell>
          <cell r="O136">
            <v>0</v>
          </cell>
          <cell r="P136">
            <v>0</v>
          </cell>
          <cell r="Q136">
            <v>0</v>
          </cell>
          <cell r="R136">
            <v>0</v>
          </cell>
          <cell r="S136">
            <v>0</v>
          </cell>
          <cell r="T136">
            <v>0</v>
          </cell>
          <cell r="U136">
            <v>0</v>
          </cell>
          <cell r="V136">
            <v>19</v>
          </cell>
          <cell r="W136">
            <v>0</v>
          </cell>
          <cell r="X136">
            <v>20666.669999999998</v>
          </cell>
          <cell r="Y136">
            <v>0</v>
          </cell>
          <cell r="Z136">
            <v>0</v>
          </cell>
          <cell r="AA136">
            <v>20760.669999999998</v>
          </cell>
        </row>
        <row r="137">
          <cell r="A137" t="str">
            <v>Polar Minerals</v>
          </cell>
          <cell r="B137">
            <v>37104</v>
          </cell>
          <cell r="C137">
            <v>671</v>
          </cell>
          <cell r="D137">
            <v>50</v>
          </cell>
          <cell r="E137">
            <v>621</v>
          </cell>
          <cell r="F137" t="str">
            <v>N/A</v>
          </cell>
          <cell r="G137">
            <v>950</v>
          </cell>
          <cell r="H137">
            <v>50</v>
          </cell>
          <cell r="I137">
            <v>900</v>
          </cell>
          <cell r="J137" t="str">
            <v>N/A</v>
          </cell>
          <cell r="K137">
            <v>585.35</v>
          </cell>
          <cell r="L137">
            <v>0</v>
          </cell>
          <cell r="M137">
            <v>75</v>
          </cell>
          <cell r="N137">
            <v>0</v>
          </cell>
          <cell r="O137">
            <v>0</v>
          </cell>
          <cell r="P137">
            <v>0</v>
          </cell>
          <cell r="Q137">
            <v>0</v>
          </cell>
          <cell r="R137">
            <v>0</v>
          </cell>
          <cell r="S137">
            <v>950</v>
          </cell>
          <cell r="T137">
            <v>2.85</v>
          </cell>
          <cell r="U137">
            <v>0</v>
          </cell>
          <cell r="V137">
            <v>19</v>
          </cell>
          <cell r="W137">
            <v>0.95</v>
          </cell>
          <cell r="X137">
            <v>0</v>
          </cell>
          <cell r="Y137">
            <v>0</v>
          </cell>
          <cell r="Z137">
            <v>0</v>
          </cell>
          <cell r="AA137">
            <v>683.15</v>
          </cell>
        </row>
        <row r="138">
          <cell r="A138" t="str">
            <v>Polar Minerals</v>
          </cell>
          <cell r="B138">
            <v>37135</v>
          </cell>
          <cell r="C138">
            <v>574</v>
          </cell>
          <cell r="D138">
            <v>50</v>
          </cell>
          <cell r="E138">
            <v>524</v>
          </cell>
          <cell r="F138" t="str">
            <v>N/A</v>
          </cell>
          <cell r="G138">
            <v>1800</v>
          </cell>
          <cell r="H138">
            <v>50</v>
          </cell>
          <cell r="I138">
            <v>1750</v>
          </cell>
          <cell r="J138" t="str">
            <v>N/A</v>
          </cell>
          <cell r="K138">
            <v>1097.9000000000001</v>
          </cell>
          <cell r="L138">
            <v>0</v>
          </cell>
          <cell r="M138">
            <v>75</v>
          </cell>
          <cell r="N138">
            <v>0</v>
          </cell>
          <cell r="O138">
            <v>0</v>
          </cell>
          <cell r="P138">
            <v>0</v>
          </cell>
          <cell r="Q138">
            <v>0</v>
          </cell>
          <cell r="R138">
            <v>0</v>
          </cell>
          <cell r="S138">
            <v>1800</v>
          </cell>
          <cell r="T138">
            <v>5.4</v>
          </cell>
          <cell r="U138">
            <v>0</v>
          </cell>
          <cell r="V138">
            <v>19</v>
          </cell>
          <cell r="W138">
            <v>0.95</v>
          </cell>
          <cell r="X138">
            <v>0</v>
          </cell>
          <cell r="Y138">
            <v>0</v>
          </cell>
          <cell r="Z138">
            <v>0</v>
          </cell>
          <cell r="AA138">
            <v>1198.25</v>
          </cell>
        </row>
        <row r="139">
          <cell r="A139" t="str">
            <v>Polar Minerals</v>
          </cell>
          <cell r="B139">
            <v>37165</v>
          </cell>
          <cell r="C139">
            <v>831</v>
          </cell>
          <cell r="D139">
            <v>50</v>
          </cell>
          <cell r="E139">
            <v>781</v>
          </cell>
          <cell r="F139" t="str">
            <v>N/A</v>
          </cell>
          <cell r="G139">
            <v>1600</v>
          </cell>
          <cell r="H139">
            <v>50</v>
          </cell>
          <cell r="I139">
            <v>1550</v>
          </cell>
          <cell r="J139" t="str">
            <v>N/A</v>
          </cell>
          <cell r="K139">
            <v>977.3</v>
          </cell>
          <cell r="L139">
            <v>0</v>
          </cell>
          <cell r="M139">
            <v>75</v>
          </cell>
          <cell r="N139">
            <v>0</v>
          </cell>
          <cell r="O139">
            <v>0</v>
          </cell>
          <cell r="P139">
            <v>0</v>
          </cell>
          <cell r="Q139">
            <v>0</v>
          </cell>
          <cell r="R139">
            <v>0</v>
          </cell>
          <cell r="S139">
            <v>1600</v>
          </cell>
          <cell r="T139">
            <v>4.8</v>
          </cell>
          <cell r="U139">
            <v>0</v>
          </cell>
          <cell r="V139">
            <v>19</v>
          </cell>
          <cell r="W139">
            <v>0.95</v>
          </cell>
          <cell r="X139">
            <v>0</v>
          </cell>
          <cell r="Y139">
            <v>0</v>
          </cell>
          <cell r="Z139">
            <v>0</v>
          </cell>
          <cell r="AA139">
            <v>1077.05</v>
          </cell>
        </row>
        <row r="140">
          <cell r="A140" t="str">
            <v>Polar Minerals</v>
          </cell>
          <cell r="B140">
            <v>37196</v>
          </cell>
          <cell r="C140">
            <v>850</v>
          </cell>
          <cell r="D140">
            <v>50</v>
          </cell>
          <cell r="E140">
            <v>800</v>
          </cell>
          <cell r="F140" t="str">
            <v>N/A</v>
          </cell>
          <cell r="G140">
            <v>3900</v>
          </cell>
          <cell r="H140">
            <v>50</v>
          </cell>
          <cell r="I140">
            <v>3850</v>
          </cell>
          <cell r="J140" t="str">
            <v>N/A</v>
          </cell>
          <cell r="K140">
            <v>2364.1999999999998</v>
          </cell>
          <cell r="L140">
            <v>0</v>
          </cell>
          <cell r="M140">
            <v>75</v>
          </cell>
          <cell r="N140">
            <v>0</v>
          </cell>
          <cell r="O140">
            <v>0</v>
          </cell>
          <cell r="P140">
            <v>0</v>
          </cell>
          <cell r="Q140">
            <v>0</v>
          </cell>
          <cell r="R140">
            <v>0</v>
          </cell>
          <cell r="S140">
            <v>3900</v>
          </cell>
          <cell r="T140">
            <v>11.7</v>
          </cell>
          <cell r="U140">
            <v>0</v>
          </cell>
          <cell r="V140">
            <v>19</v>
          </cell>
          <cell r="W140">
            <v>0.95</v>
          </cell>
          <cell r="X140">
            <v>0</v>
          </cell>
          <cell r="Y140">
            <v>0</v>
          </cell>
          <cell r="Z140">
            <v>0</v>
          </cell>
          <cell r="AA140">
            <v>2470.85</v>
          </cell>
        </row>
        <row r="141">
          <cell r="A141" t="str">
            <v>Polar Minerals</v>
          </cell>
          <cell r="B141">
            <v>37226</v>
          </cell>
          <cell r="C141">
            <v>852</v>
          </cell>
          <cell r="D141">
            <v>50</v>
          </cell>
          <cell r="E141">
            <v>802</v>
          </cell>
          <cell r="F141" t="str">
            <v>N/A</v>
          </cell>
          <cell r="G141">
            <v>1798</v>
          </cell>
          <cell r="H141">
            <v>50</v>
          </cell>
          <cell r="I141">
            <v>1748</v>
          </cell>
          <cell r="J141" t="str">
            <v>N/A</v>
          </cell>
          <cell r="K141">
            <v>1096.69</v>
          </cell>
          <cell r="L141">
            <v>0</v>
          </cell>
          <cell r="M141">
            <v>75</v>
          </cell>
          <cell r="N141">
            <v>0</v>
          </cell>
          <cell r="O141">
            <v>0</v>
          </cell>
          <cell r="P141">
            <v>0</v>
          </cell>
          <cell r="Q141">
            <v>0</v>
          </cell>
          <cell r="R141">
            <v>0</v>
          </cell>
          <cell r="S141">
            <v>1798</v>
          </cell>
          <cell r="T141">
            <v>5.39</v>
          </cell>
          <cell r="U141">
            <v>0</v>
          </cell>
          <cell r="V141">
            <v>19</v>
          </cell>
          <cell r="W141">
            <v>0.95</v>
          </cell>
          <cell r="X141">
            <v>0</v>
          </cell>
          <cell r="Y141">
            <v>0</v>
          </cell>
          <cell r="Z141">
            <v>0</v>
          </cell>
          <cell r="AA141">
            <v>1197.03</v>
          </cell>
        </row>
        <row r="142">
          <cell r="A142" t="str">
            <v>Polar Minerals</v>
          </cell>
          <cell r="B142">
            <v>37257</v>
          </cell>
          <cell r="C142">
            <v>1830</v>
          </cell>
          <cell r="D142">
            <v>50</v>
          </cell>
          <cell r="E142">
            <v>1780</v>
          </cell>
          <cell r="F142" t="str">
            <v>N/A</v>
          </cell>
          <cell r="G142">
            <v>2800</v>
          </cell>
          <cell r="H142">
            <v>50</v>
          </cell>
          <cell r="I142">
            <v>2750</v>
          </cell>
          <cell r="J142" t="str">
            <v>N/A</v>
          </cell>
          <cell r="K142">
            <v>1700.9</v>
          </cell>
          <cell r="L142">
            <v>0</v>
          </cell>
          <cell r="M142">
            <v>75</v>
          </cell>
          <cell r="N142">
            <v>0</v>
          </cell>
          <cell r="O142">
            <v>0</v>
          </cell>
          <cell r="P142">
            <v>0</v>
          </cell>
          <cell r="Q142">
            <v>0</v>
          </cell>
          <cell r="R142">
            <v>0</v>
          </cell>
          <cell r="S142">
            <v>2800</v>
          </cell>
          <cell r="T142">
            <v>8.4</v>
          </cell>
          <cell r="U142">
            <v>0</v>
          </cell>
          <cell r="V142">
            <v>19</v>
          </cell>
          <cell r="W142">
            <v>0.95</v>
          </cell>
          <cell r="X142">
            <v>0</v>
          </cell>
          <cell r="Y142">
            <v>0</v>
          </cell>
          <cell r="Z142">
            <v>0</v>
          </cell>
          <cell r="AA142">
            <v>1804.25</v>
          </cell>
        </row>
        <row r="143">
          <cell r="A143" t="str">
            <v>Polar Minerals</v>
          </cell>
          <cell r="B143">
            <v>37288</v>
          </cell>
          <cell r="C143">
            <v>1439</v>
          </cell>
          <cell r="D143">
            <v>50</v>
          </cell>
          <cell r="E143">
            <v>1389</v>
          </cell>
          <cell r="F143" t="str">
            <v>N/A</v>
          </cell>
          <cell r="G143">
            <v>1500</v>
          </cell>
          <cell r="H143">
            <v>50</v>
          </cell>
          <cell r="I143">
            <v>1450</v>
          </cell>
          <cell r="J143" t="str">
            <v>N/A</v>
          </cell>
          <cell r="K143">
            <v>917</v>
          </cell>
          <cell r="L143">
            <v>0</v>
          </cell>
          <cell r="M143">
            <v>75</v>
          </cell>
          <cell r="N143">
            <v>0</v>
          </cell>
          <cell r="O143">
            <v>0</v>
          </cell>
          <cell r="P143">
            <v>0</v>
          </cell>
          <cell r="Q143">
            <v>0</v>
          </cell>
          <cell r="R143">
            <v>0</v>
          </cell>
          <cell r="S143">
            <v>1500</v>
          </cell>
          <cell r="T143">
            <v>-1.5</v>
          </cell>
          <cell r="U143">
            <v>0</v>
          </cell>
          <cell r="V143">
            <v>19</v>
          </cell>
          <cell r="W143">
            <v>0.95</v>
          </cell>
          <cell r="X143">
            <v>0</v>
          </cell>
          <cell r="Y143">
            <v>0</v>
          </cell>
          <cell r="Z143">
            <v>0</v>
          </cell>
          <cell r="AA143">
            <v>1010.45</v>
          </cell>
        </row>
        <row r="144">
          <cell r="A144" t="str">
            <v>Polar Minerals</v>
          </cell>
          <cell r="B144">
            <v>37316</v>
          </cell>
          <cell r="C144">
            <v>1680</v>
          </cell>
          <cell r="D144">
            <v>50</v>
          </cell>
          <cell r="E144">
            <v>1630</v>
          </cell>
          <cell r="F144" t="str">
            <v>N/A</v>
          </cell>
          <cell r="G144">
            <v>1612</v>
          </cell>
          <cell r="H144">
            <v>50</v>
          </cell>
          <cell r="I144">
            <v>1562</v>
          </cell>
          <cell r="J144" t="str">
            <v>N/A</v>
          </cell>
          <cell r="K144">
            <v>984.54</v>
          </cell>
          <cell r="L144">
            <v>0</v>
          </cell>
          <cell r="M144">
            <v>75</v>
          </cell>
          <cell r="N144">
            <v>0</v>
          </cell>
          <cell r="O144">
            <v>0</v>
          </cell>
          <cell r="P144">
            <v>0</v>
          </cell>
          <cell r="Q144">
            <v>0</v>
          </cell>
          <cell r="R144">
            <v>0</v>
          </cell>
          <cell r="S144">
            <v>1612</v>
          </cell>
          <cell r="T144">
            <v>-1.61</v>
          </cell>
          <cell r="U144">
            <v>0</v>
          </cell>
          <cell r="V144">
            <v>19</v>
          </cell>
          <cell r="W144">
            <v>0.95</v>
          </cell>
          <cell r="X144">
            <v>0</v>
          </cell>
          <cell r="Y144">
            <v>0</v>
          </cell>
          <cell r="Z144">
            <v>0</v>
          </cell>
          <cell r="AA144">
            <v>1077.8800000000001</v>
          </cell>
        </row>
        <row r="145">
          <cell r="A145" t="str">
            <v>Polar Minerals</v>
          </cell>
          <cell r="B145">
            <v>37347</v>
          </cell>
          <cell r="C145">
            <v>1280</v>
          </cell>
          <cell r="D145">
            <v>50</v>
          </cell>
          <cell r="E145">
            <v>1230</v>
          </cell>
          <cell r="F145" t="str">
            <v>N/A</v>
          </cell>
          <cell r="G145">
            <v>1000</v>
          </cell>
          <cell r="H145">
            <v>50</v>
          </cell>
          <cell r="I145">
            <v>950</v>
          </cell>
          <cell r="J145" t="str">
            <v>N/A</v>
          </cell>
          <cell r="K145">
            <v>615.5</v>
          </cell>
          <cell r="L145">
            <v>0</v>
          </cell>
          <cell r="M145">
            <v>75</v>
          </cell>
          <cell r="N145">
            <v>0</v>
          </cell>
          <cell r="O145">
            <v>0</v>
          </cell>
          <cell r="P145">
            <v>0</v>
          </cell>
          <cell r="Q145">
            <v>0</v>
          </cell>
          <cell r="R145">
            <v>0</v>
          </cell>
          <cell r="S145">
            <v>1000</v>
          </cell>
          <cell r="T145">
            <v>-1</v>
          </cell>
          <cell r="U145">
            <v>0</v>
          </cell>
          <cell r="V145">
            <v>19</v>
          </cell>
          <cell r="W145">
            <v>0.95</v>
          </cell>
          <cell r="X145">
            <v>0</v>
          </cell>
          <cell r="Y145">
            <v>0</v>
          </cell>
          <cell r="Z145">
            <v>0</v>
          </cell>
          <cell r="AA145">
            <v>709.45</v>
          </cell>
        </row>
        <row r="146">
          <cell r="A146" t="str">
            <v>Polar Minerals</v>
          </cell>
          <cell r="B146">
            <v>37377</v>
          </cell>
          <cell r="C146">
            <v>870</v>
          </cell>
          <cell r="D146">
            <v>50</v>
          </cell>
          <cell r="E146">
            <v>820</v>
          </cell>
          <cell r="F146" t="str">
            <v>N/A</v>
          </cell>
          <cell r="G146">
            <v>800</v>
          </cell>
          <cell r="H146">
            <v>50</v>
          </cell>
          <cell r="I146">
            <v>750</v>
          </cell>
          <cell r="J146" t="str">
            <v>N/A</v>
          </cell>
          <cell r="K146">
            <v>494.9</v>
          </cell>
          <cell r="L146">
            <v>0</v>
          </cell>
          <cell r="M146">
            <v>75</v>
          </cell>
          <cell r="N146">
            <v>0</v>
          </cell>
          <cell r="O146">
            <v>0</v>
          </cell>
          <cell r="P146">
            <v>0</v>
          </cell>
          <cell r="Q146">
            <v>0</v>
          </cell>
          <cell r="R146">
            <v>0</v>
          </cell>
          <cell r="S146">
            <v>0</v>
          </cell>
          <cell r="T146">
            <v>0</v>
          </cell>
          <cell r="U146">
            <v>0</v>
          </cell>
          <cell r="V146">
            <v>19</v>
          </cell>
          <cell r="W146">
            <v>0.95</v>
          </cell>
          <cell r="X146">
            <v>0</v>
          </cell>
          <cell r="Y146">
            <v>0</v>
          </cell>
          <cell r="Z146">
            <v>0</v>
          </cell>
          <cell r="AA146">
            <v>589.85</v>
          </cell>
        </row>
        <row r="147">
          <cell r="A147" t="str">
            <v>Polar Minerals</v>
          </cell>
          <cell r="B147">
            <v>37408</v>
          </cell>
          <cell r="C147">
            <v>984</v>
          </cell>
          <cell r="D147">
            <v>50</v>
          </cell>
          <cell r="E147">
            <v>934</v>
          </cell>
          <cell r="F147" t="str">
            <v>N/A</v>
          </cell>
          <cell r="G147">
            <v>1000</v>
          </cell>
          <cell r="H147">
            <v>50</v>
          </cell>
          <cell r="I147">
            <v>950</v>
          </cell>
          <cell r="J147" t="str">
            <v>N/A</v>
          </cell>
          <cell r="K147">
            <v>615.5</v>
          </cell>
          <cell r="L147">
            <v>0</v>
          </cell>
          <cell r="M147">
            <v>75</v>
          </cell>
          <cell r="N147">
            <v>0</v>
          </cell>
          <cell r="O147">
            <v>0</v>
          </cell>
          <cell r="P147">
            <v>0</v>
          </cell>
          <cell r="Q147">
            <v>0</v>
          </cell>
          <cell r="R147">
            <v>0</v>
          </cell>
          <cell r="S147">
            <v>0</v>
          </cell>
          <cell r="T147">
            <v>0</v>
          </cell>
          <cell r="U147">
            <v>0</v>
          </cell>
          <cell r="V147">
            <v>19</v>
          </cell>
          <cell r="W147">
            <v>0.95</v>
          </cell>
          <cell r="X147">
            <v>0</v>
          </cell>
          <cell r="Y147">
            <v>0</v>
          </cell>
          <cell r="Z147">
            <v>0</v>
          </cell>
          <cell r="AA147">
            <v>710.45</v>
          </cell>
        </row>
        <row r="148">
          <cell r="A148" t="str">
            <v>Polar Minerals</v>
          </cell>
          <cell r="B148">
            <v>37438</v>
          </cell>
          <cell r="C148">
            <v>645</v>
          </cell>
          <cell r="D148">
            <v>50</v>
          </cell>
          <cell r="E148">
            <v>595</v>
          </cell>
          <cell r="F148" t="str">
            <v>N/A</v>
          </cell>
          <cell r="G148">
            <v>800</v>
          </cell>
          <cell r="H148">
            <v>50</v>
          </cell>
          <cell r="I148">
            <v>750</v>
          </cell>
          <cell r="J148" t="str">
            <v>N/A</v>
          </cell>
          <cell r="K148">
            <v>494.9</v>
          </cell>
          <cell r="L148">
            <v>0</v>
          </cell>
          <cell r="M148">
            <v>75</v>
          </cell>
          <cell r="N148">
            <v>0</v>
          </cell>
          <cell r="O148">
            <v>0</v>
          </cell>
          <cell r="P148">
            <v>0</v>
          </cell>
          <cell r="Q148">
            <v>0</v>
          </cell>
          <cell r="R148">
            <v>0</v>
          </cell>
          <cell r="S148">
            <v>0</v>
          </cell>
          <cell r="T148">
            <v>0</v>
          </cell>
          <cell r="U148">
            <v>0</v>
          </cell>
          <cell r="V148">
            <v>19</v>
          </cell>
          <cell r="W148">
            <v>0.95</v>
          </cell>
          <cell r="X148">
            <v>0</v>
          </cell>
          <cell r="Y148">
            <v>0</v>
          </cell>
          <cell r="Z148">
            <v>0</v>
          </cell>
          <cell r="AA148">
            <v>589.85</v>
          </cell>
        </row>
        <row r="149">
          <cell r="A149" t="str">
            <v>Robur Corporation</v>
          </cell>
          <cell r="B149">
            <v>37104</v>
          </cell>
          <cell r="C149">
            <v>469</v>
          </cell>
          <cell r="D149">
            <v>50</v>
          </cell>
          <cell r="E149">
            <v>419</v>
          </cell>
          <cell r="F149" t="str">
            <v>N/A</v>
          </cell>
          <cell r="G149">
            <v>477</v>
          </cell>
          <cell r="H149">
            <v>50</v>
          </cell>
          <cell r="I149">
            <v>427</v>
          </cell>
          <cell r="J149" t="str">
            <v>N/A</v>
          </cell>
          <cell r="K149">
            <v>300.13</v>
          </cell>
          <cell r="L149">
            <v>0</v>
          </cell>
          <cell r="M149">
            <v>75</v>
          </cell>
          <cell r="N149">
            <v>0</v>
          </cell>
          <cell r="O149">
            <v>0</v>
          </cell>
          <cell r="P149">
            <v>0</v>
          </cell>
          <cell r="Q149">
            <v>0</v>
          </cell>
          <cell r="R149">
            <v>0</v>
          </cell>
          <cell r="S149">
            <v>477</v>
          </cell>
          <cell r="T149">
            <v>1.43</v>
          </cell>
          <cell r="U149">
            <v>0</v>
          </cell>
          <cell r="V149">
            <v>19</v>
          </cell>
          <cell r="W149">
            <v>0.95</v>
          </cell>
          <cell r="X149">
            <v>0</v>
          </cell>
          <cell r="Y149">
            <v>0</v>
          </cell>
          <cell r="Z149">
            <v>0</v>
          </cell>
          <cell r="AA149">
            <v>396.51</v>
          </cell>
        </row>
        <row r="150">
          <cell r="A150" t="str">
            <v>Robur Corporation</v>
          </cell>
          <cell r="B150">
            <v>37135</v>
          </cell>
          <cell r="C150">
            <v>337</v>
          </cell>
          <cell r="D150">
            <v>50</v>
          </cell>
          <cell r="E150">
            <v>287</v>
          </cell>
          <cell r="F150" t="str">
            <v>N/A</v>
          </cell>
          <cell r="G150">
            <v>342</v>
          </cell>
          <cell r="H150">
            <v>50</v>
          </cell>
          <cell r="I150">
            <v>292</v>
          </cell>
          <cell r="J150" t="str">
            <v>N/A</v>
          </cell>
          <cell r="K150">
            <v>218.73</v>
          </cell>
          <cell r="L150">
            <v>0</v>
          </cell>
          <cell r="M150">
            <v>75</v>
          </cell>
          <cell r="N150">
            <v>0</v>
          </cell>
          <cell r="O150">
            <v>0</v>
          </cell>
          <cell r="P150">
            <v>0</v>
          </cell>
          <cell r="Q150">
            <v>0</v>
          </cell>
          <cell r="R150">
            <v>0</v>
          </cell>
          <cell r="S150">
            <v>342</v>
          </cell>
          <cell r="T150">
            <v>1.03</v>
          </cell>
          <cell r="U150">
            <v>0</v>
          </cell>
          <cell r="V150">
            <v>19</v>
          </cell>
          <cell r="W150">
            <v>0.95</v>
          </cell>
          <cell r="X150">
            <v>0</v>
          </cell>
          <cell r="Y150">
            <v>0</v>
          </cell>
          <cell r="Z150">
            <v>0</v>
          </cell>
          <cell r="AA150">
            <v>314.70999999999998</v>
          </cell>
        </row>
        <row r="151">
          <cell r="A151" t="str">
            <v>Robur Corporation</v>
          </cell>
          <cell r="B151">
            <v>37165</v>
          </cell>
          <cell r="C151">
            <v>412</v>
          </cell>
          <cell r="D151">
            <v>50</v>
          </cell>
          <cell r="E151">
            <v>362</v>
          </cell>
          <cell r="F151" t="str">
            <v>N/A</v>
          </cell>
          <cell r="G151">
            <v>419</v>
          </cell>
          <cell r="H151">
            <v>50</v>
          </cell>
          <cell r="I151">
            <v>369</v>
          </cell>
          <cell r="J151" t="str">
            <v>N/A</v>
          </cell>
          <cell r="K151">
            <v>265.16000000000003</v>
          </cell>
          <cell r="L151">
            <v>0</v>
          </cell>
          <cell r="M151">
            <v>75</v>
          </cell>
          <cell r="N151">
            <v>0</v>
          </cell>
          <cell r="O151">
            <v>0</v>
          </cell>
          <cell r="P151">
            <v>0</v>
          </cell>
          <cell r="Q151">
            <v>0</v>
          </cell>
          <cell r="R151">
            <v>0</v>
          </cell>
          <cell r="S151">
            <v>419</v>
          </cell>
          <cell r="T151">
            <v>1.26</v>
          </cell>
          <cell r="U151">
            <v>0</v>
          </cell>
          <cell r="V151">
            <v>19</v>
          </cell>
          <cell r="W151">
            <v>0.95</v>
          </cell>
          <cell r="X151">
            <v>0</v>
          </cell>
          <cell r="Y151">
            <v>0</v>
          </cell>
          <cell r="Z151">
            <v>0</v>
          </cell>
          <cell r="AA151">
            <v>361.37</v>
          </cell>
        </row>
        <row r="152">
          <cell r="A152" t="str">
            <v>Robur Corporation</v>
          </cell>
          <cell r="B152">
            <v>37196</v>
          </cell>
          <cell r="C152">
            <v>712</v>
          </cell>
          <cell r="D152">
            <v>50</v>
          </cell>
          <cell r="E152">
            <v>662</v>
          </cell>
          <cell r="F152" t="str">
            <v>N/A</v>
          </cell>
          <cell r="G152">
            <v>724</v>
          </cell>
          <cell r="H152">
            <v>50</v>
          </cell>
          <cell r="I152">
            <v>674</v>
          </cell>
          <cell r="J152" t="str">
            <v>N/A</v>
          </cell>
          <cell r="K152">
            <v>449.07</v>
          </cell>
          <cell r="L152">
            <v>0</v>
          </cell>
          <cell r="M152">
            <v>75</v>
          </cell>
          <cell r="N152">
            <v>0</v>
          </cell>
          <cell r="O152">
            <v>0</v>
          </cell>
          <cell r="P152">
            <v>0</v>
          </cell>
          <cell r="Q152">
            <v>0</v>
          </cell>
          <cell r="R152">
            <v>0</v>
          </cell>
          <cell r="S152">
            <v>724</v>
          </cell>
          <cell r="T152">
            <v>2.17</v>
          </cell>
          <cell r="U152">
            <v>0</v>
          </cell>
          <cell r="V152">
            <v>19</v>
          </cell>
          <cell r="W152">
            <v>0.95</v>
          </cell>
          <cell r="X152">
            <v>0</v>
          </cell>
          <cell r="Y152">
            <v>0</v>
          </cell>
          <cell r="Z152">
            <v>0</v>
          </cell>
          <cell r="AA152">
            <v>546.19000000000005</v>
          </cell>
        </row>
        <row r="153">
          <cell r="A153" t="str">
            <v>Robur Corporation</v>
          </cell>
          <cell r="B153">
            <v>37226</v>
          </cell>
          <cell r="C153">
            <v>1354</v>
          </cell>
          <cell r="D153">
            <v>50</v>
          </cell>
          <cell r="E153">
            <v>1304</v>
          </cell>
          <cell r="F153" t="str">
            <v>N/A</v>
          </cell>
          <cell r="G153">
            <v>2000</v>
          </cell>
          <cell r="H153">
            <v>50</v>
          </cell>
          <cell r="I153">
            <v>1950</v>
          </cell>
          <cell r="J153" t="str">
            <v>N/A</v>
          </cell>
          <cell r="K153">
            <v>1218.5</v>
          </cell>
          <cell r="L153">
            <v>0</v>
          </cell>
          <cell r="M153">
            <v>75</v>
          </cell>
          <cell r="N153">
            <v>0</v>
          </cell>
          <cell r="O153">
            <v>0</v>
          </cell>
          <cell r="P153">
            <v>0</v>
          </cell>
          <cell r="Q153">
            <v>0</v>
          </cell>
          <cell r="R153">
            <v>0</v>
          </cell>
          <cell r="S153">
            <v>2000</v>
          </cell>
          <cell r="T153">
            <v>6</v>
          </cell>
          <cell r="U153">
            <v>0</v>
          </cell>
          <cell r="V153">
            <v>19</v>
          </cell>
          <cell r="W153">
            <v>0.95</v>
          </cell>
          <cell r="X153">
            <v>0</v>
          </cell>
          <cell r="Y153">
            <v>0</v>
          </cell>
          <cell r="Z153">
            <v>0</v>
          </cell>
          <cell r="AA153">
            <v>1319.45</v>
          </cell>
        </row>
        <row r="154">
          <cell r="A154" t="str">
            <v>Robur Corporation</v>
          </cell>
          <cell r="B154">
            <v>37257</v>
          </cell>
          <cell r="C154">
            <v>1588</v>
          </cell>
          <cell r="D154">
            <v>50</v>
          </cell>
          <cell r="E154">
            <v>1538</v>
          </cell>
          <cell r="F154" t="str">
            <v>N/A</v>
          </cell>
          <cell r="G154">
            <v>1800</v>
          </cell>
          <cell r="H154">
            <v>50</v>
          </cell>
          <cell r="I154">
            <v>1750</v>
          </cell>
          <cell r="J154" t="str">
            <v>N/A</v>
          </cell>
          <cell r="K154">
            <v>1097.9000000000001</v>
          </cell>
          <cell r="L154">
            <v>0</v>
          </cell>
          <cell r="M154">
            <v>75</v>
          </cell>
          <cell r="N154">
            <v>0</v>
          </cell>
          <cell r="O154">
            <v>0</v>
          </cell>
          <cell r="P154">
            <v>0</v>
          </cell>
          <cell r="Q154">
            <v>0</v>
          </cell>
          <cell r="R154">
            <v>0</v>
          </cell>
          <cell r="S154">
            <v>1800</v>
          </cell>
          <cell r="T154">
            <v>5.4</v>
          </cell>
          <cell r="U154">
            <v>0</v>
          </cell>
          <cell r="V154">
            <v>19</v>
          </cell>
          <cell r="W154">
            <v>0.95</v>
          </cell>
          <cell r="X154">
            <v>0</v>
          </cell>
          <cell r="Y154">
            <v>0</v>
          </cell>
          <cell r="Z154">
            <v>0</v>
          </cell>
          <cell r="AA154">
            <v>1198.25</v>
          </cell>
        </row>
        <row r="155">
          <cell r="A155" t="str">
            <v>Robur Corporation</v>
          </cell>
          <cell r="B155">
            <v>37288</v>
          </cell>
          <cell r="C155">
            <v>1561</v>
          </cell>
          <cell r="D155">
            <v>50</v>
          </cell>
          <cell r="E155">
            <v>1511</v>
          </cell>
          <cell r="F155" t="str">
            <v>N/A</v>
          </cell>
          <cell r="G155">
            <v>1428</v>
          </cell>
          <cell r="H155">
            <v>50</v>
          </cell>
          <cell r="I155">
            <v>1378</v>
          </cell>
          <cell r="J155" t="str">
            <v>N/A</v>
          </cell>
          <cell r="K155">
            <v>873.58</v>
          </cell>
          <cell r="L155">
            <v>0</v>
          </cell>
          <cell r="M155">
            <v>75</v>
          </cell>
          <cell r="N155">
            <v>0</v>
          </cell>
          <cell r="O155">
            <v>0</v>
          </cell>
          <cell r="P155">
            <v>0</v>
          </cell>
          <cell r="Q155">
            <v>0</v>
          </cell>
          <cell r="R155">
            <v>0</v>
          </cell>
          <cell r="S155">
            <v>1428</v>
          </cell>
          <cell r="T155">
            <v>-1.43</v>
          </cell>
          <cell r="U155">
            <v>0</v>
          </cell>
          <cell r="V155">
            <v>19</v>
          </cell>
          <cell r="W155">
            <v>0.95</v>
          </cell>
          <cell r="X155">
            <v>0</v>
          </cell>
          <cell r="Y155">
            <v>0</v>
          </cell>
          <cell r="Z155">
            <v>0</v>
          </cell>
          <cell r="AA155">
            <v>967.1</v>
          </cell>
        </row>
        <row r="156">
          <cell r="A156" t="str">
            <v>Robur Corporation</v>
          </cell>
          <cell r="B156">
            <v>37316</v>
          </cell>
          <cell r="C156">
            <v>840</v>
          </cell>
          <cell r="D156">
            <v>50</v>
          </cell>
          <cell r="E156">
            <v>790</v>
          </cell>
          <cell r="F156" t="str">
            <v>N/A</v>
          </cell>
          <cell r="G156">
            <v>1125</v>
          </cell>
          <cell r="H156">
            <v>50</v>
          </cell>
          <cell r="I156">
            <v>1075</v>
          </cell>
          <cell r="J156" t="str">
            <v>N/A</v>
          </cell>
          <cell r="K156">
            <v>690.88</v>
          </cell>
          <cell r="L156">
            <v>0</v>
          </cell>
          <cell r="M156">
            <v>75</v>
          </cell>
          <cell r="N156">
            <v>0</v>
          </cell>
          <cell r="O156">
            <v>0</v>
          </cell>
          <cell r="P156">
            <v>0</v>
          </cell>
          <cell r="Q156">
            <v>0</v>
          </cell>
          <cell r="R156">
            <v>0</v>
          </cell>
          <cell r="S156">
            <v>1125</v>
          </cell>
          <cell r="T156">
            <v>-1.1200000000000001</v>
          </cell>
          <cell r="U156">
            <v>0</v>
          </cell>
          <cell r="V156">
            <v>19</v>
          </cell>
          <cell r="W156">
            <v>0.95</v>
          </cell>
          <cell r="X156">
            <v>0</v>
          </cell>
          <cell r="Y156">
            <v>0</v>
          </cell>
          <cell r="Z156">
            <v>0</v>
          </cell>
          <cell r="AA156">
            <v>784.71</v>
          </cell>
        </row>
        <row r="157">
          <cell r="A157" t="str">
            <v>Robur Corporation</v>
          </cell>
          <cell r="B157">
            <v>37347</v>
          </cell>
          <cell r="C157">
            <v>220</v>
          </cell>
          <cell r="D157">
            <v>50</v>
          </cell>
          <cell r="E157">
            <v>170</v>
          </cell>
          <cell r="F157" t="str">
            <v>N/A</v>
          </cell>
          <cell r="G157">
            <v>0</v>
          </cell>
          <cell r="H157">
            <v>0</v>
          </cell>
          <cell r="I157">
            <v>0</v>
          </cell>
          <cell r="J157" t="str">
            <v>N/A</v>
          </cell>
          <cell r="K157">
            <v>0</v>
          </cell>
          <cell r="L157">
            <v>0</v>
          </cell>
          <cell r="M157">
            <v>75</v>
          </cell>
          <cell r="N157">
            <v>0</v>
          </cell>
          <cell r="O157">
            <v>0</v>
          </cell>
          <cell r="P157">
            <v>0</v>
          </cell>
          <cell r="Q157">
            <v>0</v>
          </cell>
          <cell r="R157">
            <v>0</v>
          </cell>
          <cell r="S157">
            <v>0</v>
          </cell>
          <cell r="T157">
            <v>0</v>
          </cell>
          <cell r="U157">
            <v>0</v>
          </cell>
          <cell r="V157">
            <v>19</v>
          </cell>
          <cell r="W157">
            <v>0.95</v>
          </cell>
          <cell r="X157">
            <v>0</v>
          </cell>
          <cell r="Y157">
            <v>0</v>
          </cell>
          <cell r="Z157">
            <v>0</v>
          </cell>
          <cell r="AA157">
            <v>94.95</v>
          </cell>
        </row>
        <row r="158">
          <cell r="A158" t="str">
            <v>Robur Corporation</v>
          </cell>
          <cell r="B158">
            <v>37377</v>
          </cell>
          <cell r="C158">
            <v>43</v>
          </cell>
          <cell r="D158">
            <v>43</v>
          </cell>
          <cell r="E158">
            <v>0</v>
          </cell>
          <cell r="F158" t="str">
            <v>N/A</v>
          </cell>
          <cell r="G158">
            <v>0</v>
          </cell>
          <cell r="H158">
            <v>0</v>
          </cell>
          <cell r="I158">
            <v>0</v>
          </cell>
          <cell r="J158" t="str">
            <v>N/A</v>
          </cell>
          <cell r="K158">
            <v>0</v>
          </cell>
          <cell r="L158">
            <v>0</v>
          </cell>
          <cell r="M158">
            <v>75</v>
          </cell>
          <cell r="N158">
            <v>0</v>
          </cell>
          <cell r="O158">
            <v>0</v>
          </cell>
          <cell r="P158">
            <v>0</v>
          </cell>
          <cell r="Q158">
            <v>0</v>
          </cell>
          <cell r="R158">
            <v>0</v>
          </cell>
          <cell r="S158">
            <v>0</v>
          </cell>
          <cell r="T158">
            <v>0</v>
          </cell>
          <cell r="U158">
            <v>0</v>
          </cell>
          <cell r="V158">
            <v>19</v>
          </cell>
          <cell r="W158">
            <v>0.95</v>
          </cell>
          <cell r="X158">
            <v>0</v>
          </cell>
          <cell r="Y158">
            <v>0</v>
          </cell>
          <cell r="Z158">
            <v>0</v>
          </cell>
          <cell r="AA158">
            <v>94.95</v>
          </cell>
        </row>
        <row r="159">
          <cell r="A159" t="str">
            <v>Robur Corporation</v>
          </cell>
          <cell r="B159">
            <v>37408</v>
          </cell>
          <cell r="C159">
            <v>150</v>
          </cell>
          <cell r="D159">
            <v>50</v>
          </cell>
          <cell r="E159">
            <v>100</v>
          </cell>
          <cell r="F159" t="str">
            <v>N/A</v>
          </cell>
          <cell r="G159">
            <v>143</v>
          </cell>
          <cell r="H159">
            <v>50</v>
          </cell>
          <cell r="I159">
            <v>93</v>
          </cell>
          <cell r="J159" t="str">
            <v>N/A</v>
          </cell>
          <cell r="K159">
            <v>98.73</v>
          </cell>
          <cell r="L159">
            <v>0</v>
          </cell>
          <cell r="M159">
            <v>75</v>
          </cell>
          <cell r="N159">
            <v>0</v>
          </cell>
          <cell r="O159">
            <v>0</v>
          </cell>
          <cell r="P159">
            <v>0</v>
          </cell>
          <cell r="Q159">
            <v>0</v>
          </cell>
          <cell r="R159">
            <v>0</v>
          </cell>
          <cell r="S159">
            <v>0</v>
          </cell>
          <cell r="T159">
            <v>0</v>
          </cell>
          <cell r="U159">
            <v>0</v>
          </cell>
          <cell r="V159">
            <v>19</v>
          </cell>
          <cell r="W159">
            <v>0.95</v>
          </cell>
          <cell r="X159">
            <v>0</v>
          </cell>
          <cell r="Y159">
            <v>0</v>
          </cell>
          <cell r="Z159">
            <v>0</v>
          </cell>
          <cell r="AA159">
            <v>193.68</v>
          </cell>
        </row>
        <row r="160">
          <cell r="A160" t="str">
            <v>Robur Corporation</v>
          </cell>
          <cell r="B160">
            <v>37438</v>
          </cell>
          <cell r="C160">
            <v>183</v>
          </cell>
          <cell r="D160">
            <v>50</v>
          </cell>
          <cell r="E160">
            <v>133</v>
          </cell>
          <cell r="F160" t="str">
            <v>N/A</v>
          </cell>
          <cell r="G160">
            <v>350</v>
          </cell>
          <cell r="H160">
            <v>50</v>
          </cell>
          <cell r="I160">
            <v>300</v>
          </cell>
          <cell r="J160" t="str">
            <v>N/A</v>
          </cell>
          <cell r="K160">
            <v>223.55</v>
          </cell>
          <cell r="L160">
            <v>0</v>
          </cell>
          <cell r="M160">
            <v>75</v>
          </cell>
          <cell r="N160">
            <v>0</v>
          </cell>
          <cell r="O160">
            <v>0</v>
          </cell>
          <cell r="P160">
            <v>0</v>
          </cell>
          <cell r="Q160">
            <v>0</v>
          </cell>
          <cell r="R160">
            <v>0</v>
          </cell>
          <cell r="S160">
            <v>0</v>
          </cell>
          <cell r="T160">
            <v>0</v>
          </cell>
          <cell r="U160">
            <v>0</v>
          </cell>
          <cell r="V160">
            <v>19</v>
          </cell>
          <cell r="W160">
            <v>0.95</v>
          </cell>
          <cell r="X160">
            <v>0</v>
          </cell>
          <cell r="Y160">
            <v>0</v>
          </cell>
          <cell r="Z160">
            <v>0</v>
          </cell>
          <cell r="AA160">
            <v>318.5</v>
          </cell>
        </row>
        <row r="161">
          <cell r="A161" t="str">
            <v>Rogers Group</v>
          </cell>
          <cell r="B161">
            <v>37104</v>
          </cell>
          <cell r="C161">
            <v>4423</v>
          </cell>
          <cell r="D161">
            <v>50</v>
          </cell>
          <cell r="E161">
            <v>4373</v>
          </cell>
          <cell r="F161" t="str">
            <v>N/A</v>
          </cell>
          <cell r="G161">
            <v>3450</v>
          </cell>
          <cell r="H161">
            <v>50</v>
          </cell>
          <cell r="I161">
            <v>3400</v>
          </cell>
          <cell r="J161" t="str">
            <v>N/A</v>
          </cell>
          <cell r="K161">
            <v>2092.85</v>
          </cell>
          <cell r="L161">
            <v>0</v>
          </cell>
          <cell r="M161">
            <v>75</v>
          </cell>
          <cell r="N161">
            <v>0</v>
          </cell>
          <cell r="O161">
            <v>0</v>
          </cell>
          <cell r="P161">
            <v>0</v>
          </cell>
          <cell r="Q161">
            <v>0</v>
          </cell>
          <cell r="R161">
            <v>-89.7</v>
          </cell>
          <cell r="S161">
            <v>3450</v>
          </cell>
          <cell r="T161">
            <v>10.35</v>
          </cell>
          <cell r="U161">
            <v>0</v>
          </cell>
          <cell r="V161">
            <v>19</v>
          </cell>
          <cell r="W161">
            <v>0</v>
          </cell>
          <cell r="X161">
            <v>0</v>
          </cell>
          <cell r="Y161">
            <v>0</v>
          </cell>
          <cell r="Z161">
            <v>0</v>
          </cell>
          <cell r="AA161">
            <v>2107.5</v>
          </cell>
        </row>
        <row r="162">
          <cell r="A162" t="str">
            <v>Rogers Group</v>
          </cell>
          <cell r="B162">
            <v>37135</v>
          </cell>
          <cell r="C162">
            <v>2096</v>
          </cell>
          <cell r="D162">
            <v>50</v>
          </cell>
          <cell r="E162">
            <v>2046</v>
          </cell>
          <cell r="F162" t="str">
            <v>N/A</v>
          </cell>
          <cell r="G162">
            <v>5350</v>
          </cell>
          <cell r="H162">
            <v>50</v>
          </cell>
          <cell r="I162">
            <v>5300</v>
          </cell>
          <cell r="J162" t="str">
            <v>N/A</v>
          </cell>
          <cell r="K162">
            <v>3238.55</v>
          </cell>
          <cell r="L162">
            <v>0</v>
          </cell>
          <cell r="M162">
            <v>75</v>
          </cell>
          <cell r="N162">
            <v>0</v>
          </cell>
          <cell r="O162">
            <v>0</v>
          </cell>
          <cell r="P162">
            <v>0</v>
          </cell>
          <cell r="Q162">
            <v>0</v>
          </cell>
          <cell r="R162">
            <v>-139.1</v>
          </cell>
          <cell r="S162">
            <v>5350</v>
          </cell>
          <cell r="T162">
            <v>16.05</v>
          </cell>
          <cell r="U162">
            <v>0</v>
          </cell>
          <cell r="V162">
            <v>19</v>
          </cell>
          <cell r="W162">
            <v>0</v>
          </cell>
          <cell r="X162">
            <v>0</v>
          </cell>
          <cell r="Y162">
            <v>0</v>
          </cell>
          <cell r="Z162">
            <v>0</v>
          </cell>
          <cell r="AA162">
            <v>3209.5</v>
          </cell>
        </row>
        <row r="163">
          <cell r="A163" t="str">
            <v>Rogers Group</v>
          </cell>
          <cell r="B163">
            <v>37165</v>
          </cell>
          <cell r="C163">
            <v>2176</v>
          </cell>
          <cell r="D163">
            <v>50</v>
          </cell>
          <cell r="E163">
            <v>2126</v>
          </cell>
          <cell r="F163" t="str">
            <v>N/A</v>
          </cell>
          <cell r="G163">
            <v>6700</v>
          </cell>
          <cell r="H163">
            <v>50</v>
          </cell>
          <cell r="I163">
            <v>6650</v>
          </cell>
          <cell r="J163" t="str">
            <v>N/A</v>
          </cell>
          <cell r="K163">
            <v>4052.6</v>
          </cell>
          <cell r="L163">
            <v>0</v>
          </cell>
          <cell r="M163">
            <v>75</v>
          </cell>
          <cell r="N163">
            <v>0</v>
          </cell>
          <cell r="O163">
            <v>0</v>
          </cell>
          <cell r="P163">
            <v>0</v>
          </cell>
          <cell r="Q163">
            <v>0</v>
          </cell>
          <cell r="R163">
            <v>-174.2</v>
          </cell>
          <cell r="S163">
            <v>6700</v>
          </cell>
          <cell r="T163">
            <v>20.100000000000001</v>
          </cell>
          <cell r="U163">
            <v>0</v>
          </cell>
          <cell r="V163">
            <v>19</v>
          </cell>
          <cell r="W163">
            <v>0</v>
          </cell>
          <cell r="X163">
            <v>0</v>
          </cell>
          <cell r="Y163">
            <v>0</v>
          </cell>
          <cell r="Z163">
            <v>0</v>
          </cell>
          <cell r="AA163">
            <v>3992.5</v>
          </cell>
        </row>
        <row r="164">
          <cell r="A164" t="str">
            <v>Rogers Group</v>
          </cell>
          <cell r="B164">
            <v>37196</v>
          </cell>
          <cell r="C164">
            <v>1817</v>
          </cell>
          <cell r="D164">
            <v>50</v>
          </cell>
          <cell r="E164">
            <v>1767</v>
          </cell>
          <cell r="F164" t="str">
            <v>N/A</v>
          </cell>
          <cell r="G164">
            <v>2950</v>
          </cell>
          <cell r="H164">
            <v>50</v>
          </cell>
          <cell r="I164">
            <v>2900</v>
          </cell>
          <cell r="J164" t="str">
            <v>N/A</v>
          </cell>
          <cell r="K164">
            <v>1791.35</v>
          </cell>
          <cell r="L164">
            <v>0</v>
          </cell>
          <cell r="M164">
            <v>75</v>
          </cell>
          <cell r="N164">
            <v>0</v>
          </cell>
          <cell r="O164">
            <v>0</v>
          </cell>
          <cell r="P164">
            <v>0</v>
          </cell>
          <cell r="Q164">
            <v>0</v>
          </cell>
          <cell r="R164">
            <v>-76.7</v>
          </cell>
          <cell r="S164">
            <v>2950</v>
          </cell>
          <cell r="T164">
            <v>8.85</v>
          </cell>
          <cell r="U164">
            <v>0</v>
          </cell>
          <cell r="V164">
            <v>19</v>
          </cell>
          <cell r="W164">
            <v>0</v>
          </cell>
          <cell r="X164">
            <v>0</v>
          </cell>
          <cell r="Y164">
            <v>0</v>
          </cell>
          <cell r="Z164">
            <v>0</v>
          </cell>
          <cell r="AA164">
            <v>1817.5</v>
          </cell>
        </row>
        <row r="165">
          <cell r="A165" t="str">
            <v>Rogers Group</v>
          </cell>
          <cell r="B165">
            <v>37226</v>
          </cell>
          <cell r="C165">
            <v>2104</v>
          </cell>
          <cell r="D165">
            <v>50</v>
          </cell>
          <cell r="E165">
            <v>2054</v>
          </cell>
          <cell r="F165" t="str">
            <v>N/A</v>
          </cell>
          <cell r="G165">
            <v>0</v>
          </cell>
          <cell r="H165">
            <v>0</v>
          </cell>
          <cell r="I165">
            <v>0</v>
          </cell>
          <cell r="J165" t="str">
            <v>N/A</v>
          </cell>
          <cell r="K165">
            <v>0</v>
          </cell>
          <cell r="L165">
            <v>0</v>
          </cell>
          <cell r="M165">
            <v>75</v>
          </cell>
          <cell r="N165">
            <v>0</v>
          </cell>
          <cell r="O165">
            <v>0</v>
          </cell>
          <cell r="P165">
            <v>0</v>
          </cell>
          <cell r="Q165">
            <v>0</v>
          </cell>
          <cell r="R165">
            <v>0</v>
          </cell>
          <cell r="S165">
            <v>0</v>
          </cell>
          <cell r="T165">
            <v>0</v>
          </cell>
          <cell r="U165">
            <v>0</v>
          </cell>
          <cell r="V165">
            <v>19</v>
          </cell>
          <cell r="W165">
            <v>0</v>
          </cell>
          <cell r="X165">
            <v>0</v>
          </cell>
          <cell r="Y165">
            <v>0</v>
          </cell>
          <cell r="Z165">
            <v>0</v>
          </cell>
          <cell r="AA165">
            <v>94</v>
          </cell>
        </row>
        <row r="166">
          <cell r="A166" t="str">
            <v>Rogers Group</v>
          </cell>
          <cell r="B166">
            <v>37257</v>
          </cell>
          <cell r="C166">
            <v>554</v>
          </cell>
          <cell r="D166">
            <v>50</v>
          </cell>
          <cell r="E166">
            <v>504</v>
          </cell>
          <cell r="F166" t="str">
            <v>N/A</v>
          </cell>
          <cell r="G166">
            <v>0</v>
          </cell>
          <cell r="H166">
            <v>0</v>
          </cell>
          <cell r="I166">
            <v>0</v>
          </cell>
          <cell r="J166" t="str">
            <v>N/A</v>
          </cell>
          <cell r="K166">
            <v>0</v>
          </cell>
          <cell r="L166">
            <v>0</v>
          </cell>
          <cell r="M166">
            <v>75</v>
          </cell>
          <cell r="N166">
            <v>0</v>
          </cell>
          <cell r="O166">
            <v>0</v>
          </cell>
          <cell r="P166">
            <v>0</v>
          </cell>
          <cell r="Q166">
            <v>0</v>
          </cell>
          <cell r="R166">
            <v>0</v>
          </cell>
          <cell r="S166">
            <v>0</v>
          </cell>
          <cell r="T166">
            <v>0</v>
          </cell>
          <cell r="U166">
            <v>0</v>
          </cell>
          <cell r="V166">
            <v>19</v>
          </cell>
          <cell r="W166">
            <v>0</v>
          </cell>
          <cell r="X166">
            <v>0</v>
          </cell>
          <cell r="Y166">
            <v>0</v>
          </cell>
          <cell r="Z166">
            <v>0</v>
          </cell>
          <cell r="AA166">
            <v>94</v>
          </cell>
        </row>
        <row r="167">
          <cell r="A167" t="str">
            <v>Rogers Group</v>
          </cell>
          <cell r="B167">
            <v>37288</v>
          </cell>
          <cell r="C167">
            <v>2</v>
          </cell>
          <cell r="D167">
            <v>2</v>
          </cell>
          <cell r="E167">
            <v>0</v>
          </cell>
          <cell r="F167" t="str">
            <v>N/A</v>
          </cell>
          <cell r="G167">
            <v>0</v>
          </cell>
          <cell r="H167">
            <v>0</v>
          </cell>
          <cell r="I167">
            <v>0</v>
          </cell>
          <cell r="J167" t="str">
            <v>N/A</v>
          </cell>
          <cell r="K167">
            <v>0</v>
          </cell>
          <cell r="L167">
            <v>0</v>
          </cell>
          <cell r="M167">
            <v>75</v>
          </cell>
          <cell r="N167">
            <v>0</v>
          </cell>
          <cell r="O167">
            <v>0</v>
          </cell>
          <cell r="P167">
            <v>0</v>
          </cell>
          <cell r="Q167">
            <v>0</v>
          </cell>
          <cell r="R167">
            <v>0</v>
          </cell>
          <cell r="S167">
            <v>0</v>
          </cell>
          <cell r="T167">
            <v>0</v>
          </cell>
          <cell r="U167">
            <v>0</v>
          </cell>
          <cell r="V167">
            <v>19</v>
          </cell>
          <cell r="W167">
            <v>0</v>
          </cell>
          <cell r="X167">
            <v>0</v>
          </cell>
          <cell r="Y167">
            <v>0</v>
          </cell>
          <cell r="Z167">
            <v>0</v>
          </cell>
          <cell r="AA167">
            <v>94</v>
          </cell>
        </row>
        <row r="168">
          <cell r="A168" t="str">
            <v>Rogers Group</v>
          </cell>
          <cell r="B168">
            <v>37316</v>
          </cell>
          <cell r="C168">
            <v>0</v>
          </cell>
          <cell r="D168">
            <v>0</v>
          </cell>
          <cell r="E168">
            <v>0</v>
          </cell>
          <cell r="F168" t="str">
            <v>N/A</v>
          </cell>
          <cell r="G168">
            <v>0</v>
          </cell>
          <cell r="H168">
            <v>0</v>
          </cell>
          <cell r="I168">
            <v>0</v>
          </cell>
          <cell r="J168" t="str">
            <v>N/A</v>
          </cell>
          <cell r="K168">
            <v>0</v>
          </cell>
          <cell r="L168">
            <v>0</v>
          </cell>
          <cell r="M168">
            <v>75</v>
          </cell>
          <cell r="N168">
            <v>0</v>
          </cell>
          <cell r="O168">
            <v>0</v>
          </cell>
          <cell r="P168">
            <v>0</v>
          </cell>
          <cell r="Q168">
            <v>0</v>
          </cell>
          <cell r="R168">
            <v>0</v>
          </cell>
          <cell r="S168">
            <v>0</v>
          </cell>
          <cell r="T168">
            <v>0</v>
          </cell>
          <cell r="U168">
            <v>0</v>
          </cell>
          <cell r="V168">
            <v>19</v>
          </cell>
          <cell r="W168">
            <v>0</v>
          </cell>
          <cell r="X168">
            <v>0</v>
          </cell>
          <cell r="Y168">
            <v>0</v>
          </cell>
          <cell r="Z168">
            <v>0</v>
          </cell>
          <cell r="AA168">
            <v>94</v>
          </cell>
        </row>
        <row r="169">
          <cell r="A169" t="str">
            <v>Rogers Group</v>
          </cell>
          <cell r="B169">
            <v>37347</v>
          </cell>
          <cell r="C169">
            <v>0</v>
          </cell>
          <cell r="D169">
            <v>0</v>
          </cell>
          <cell r="E169">
            <v>0</v>
          </cell>
          <cell r="F169" t="str">
            <v>N/A</v>
          </cell>
          <cell r="G169">
            <v>0</v>
          </cell>
          <cell r="H169">
            <v>0</v>
          </cell>
          <cell r="I169">
            <v>0</v>
          </cell>
          <cell r="J169" t="str">
            <v>N/A</v>
          </cell>
          <cell r="K169">
            <v>0</v>
          </cell>
          <cell r="L169">
            <v>0</v>
          </cell>
          <cell r="M169">
            <v>75</v>
          </cell>
          <cell r="N169">
            <v>0</v>
          </cell>
          <cell r="O169">
            <v>0</v>
          </cell>
          <cell r="P169">
            <v>0</v>
          </cell>
          <cell r="Q169">
            <v>0</v>
          </cell>
          <cell r="R169">
            <v>0</v>
          </cell>
          <cell r="S169">
            <v>0</v>
          </cell>
          <cell r="T169">
            <v>0</v>
          </cell>
          <cell r="U169">
            <v>0</v>
          </cell>
          <cell r="V169">
            <v>19</v>
          </cell>
          <cell r="W169">
            <v>0</v>
          </cell>
          <cell r="X169">
            <v>0</v>
          </cell>
          <cell r="Y169">
            <v>0</v>
          </cell>
          <cell r="Z169">
            <v>0</v>
          </cell>
          <cell r="AA169">
            <v>94</v>
          </cell>
        </row>
        <row r="170">
          <cell r="A170" t="str">
            <v>Rogers Group</v>
          </cell>
          <cell r="B170">
            <v>37377</v>
          </cell>
          <cell r="C170">
            <v>4424</v>
          </cell>
          <cell r="D170">
            <v>50</v>
          </cell>
          <cell r="E170">
            <v>4374</v>
          </cell>
          <cell r="F170" t="str">
            <v>N/A</v>
          </cell>
          <cell r="G170">
            <v>0</v>
          </cell>
          <cell r="H170">
            <v>0</v>
          </cell>
          <cell r="I170">
            <v>0</v>
          </cell>
          <cell r="J170" t="str">
            <v>N/A</v>
          </cell>
          <cell r="K170">
            <v>0</v>
          </cell>
          <cell r="L170">
            <v>0</v>
          </cell>
          <cell r="M170">
            <v>75</v>
          </cell>
          <cell r="N170">
            <v>0</v>
          </cell>
          <cell r="O170">
            <v>0</v>
          </cell>
          <cell r="P170">
            <v>0</v>
          </cell>
          <cell r="Q170">
            <v>0</v>
          </cell>
          <cell r="R170">
            <v>0</v>
          </cell>
          <cell r="S170">
            <v>0</v>
          </cell>
          <cell r="T170">
            <v>0</v>
          </cell>
          <cell r="U170">
            <v>0</v>
          </cell>
          <cell r="V170">
            <v>19</v>
          </cell>
          <cell r="W170">
            <v>0</v>
          </cell>
          <cell r="X170">
            <v>0</v>
          </cell>
          <cell r="Y170">
            <v>0</v>
          </cell>
          <cell r="Z170">
            <v>0</v>
          </cell>
          <cell r="AA170">
            <v>94</v>
          </cell>
        </row>
        <row r="171">
          <cell r="A171" t="str">
            <v>Rogers Group</v>
          </cell>
          <cell r="B171">
            <v>37408</v>
          </cell>
          <cell r="C171">
            <v>3937</v>
          </cell>
          <cell r="D171">
            <v>50</v>
          </cell>
          <cell r="E171">
            <v>3887</v>
          </cell>
          <cell r="F171" t="str">
            <v>N/A</v>
          </cell>
          <cell r="G171">
            <v>0</v>
          </cell>
          <cell r="H171">
            <v>0</v>
          </cell>
          <cell r="I171">
            <v>0</v>
          </cell>
          <cell r="J171" t="str">
            <v>N/A</v>
          </cell>
          <cell r="K171">
            <v>0</v>
          </cell>
          <cell r="L171">
            <v>0</v>
          </cell>
          <cell r="M171">
            <v>75</v>
          </cell>
          <cell r="N171">
            <v>0</v>
          </cell>
          <cell r="O171">
            <v>0</v>
          </cell>
          <cell r="P171">
            <v>0</v>
          </cell>
          <cell r="Q171">
            <v>0</v>
          </cell>
          <cell r="R171">
            <v>0</v>
          </cell>
          <cell r="S171">
            <v>0</v>
          </cell>
          <cell r="T171">
            <v>0</v>
          </cell>
          <cell r="U171">
            <v>0</v>
          </cell>
          <cell r="V171">
            <v>19</v>
          </cell>
          <cell r="W171">
            <v>0</v>
          </cell>
          <cell r="X171">
            <v>0</v>
          </cell>
          <cell r="Y171">
            <v>0</v>
          </cell>
          <cell r="Z171">
            <v>0</v>
          </cell>
          <cell r="AA171">
            <v>94</v>
          </cell>
        </row>
        <row r="172">
          <cell r="A172" t="str">
            <v>Rogers Group</v>
          </cell>
          <cell r="B172">
            <v>37438</v>
          </cell>
          <cell r="C172">
            <v>3751</v>
          </cell>
          <cell r="D172">
            <v>50</v>
          </cell>
          <cell r="E172">
            <v>3701</v>
          </cell>
          <cell r="F172" t="str">
            <v>N/A</v>
          </cell>
          <cell r="G172">
            <v>600</v>
          </cell>
          <cell r="H172">
            <v>50</v>
          </cell>
          <cell r="I172">
            <v>550</v>
          </cell>
          <cell r="J172" t="str">
            <v>N/A</v>
          </cell>
          <cell r="K172">
            <v>374.3</v>
          </cell>
          <cell r="L172">
            <v>0</v>
          </cell>
          <cell r="M172">
            <v>75</v>
          </cell>
          <cell r="N172">
            <v>0</v>
          </cell>
          <cell r="O172">
            <v>0</v>
          </cell>
          <cell r="P172">
            <v>0</v>
          </cell>
          <cell r="Q172">
            <v>0</v>
          </cell>
          <cell r="R172">
            <v>0</v>
          </cell>
          <cell r="S172">
            <v>0</v>
          </cell>
          <cell r="T172">
            <v>0</v>
          </cell>
          <cell r="U172">
            <v>0</v>
          </cell>
          <cell r="V172">
            <v>19</v>
          </cell>
          <cell r="W172">
            <v>0</v>
          </cell>
          <cell r="X172">
            <v>0</v>
          </cell>
          <cell r="Y172">
            <v>0</v>
          </cell>
          <cell r="Z172">
            <v>0</v>
          </cell>
          <cell r="AA172">
            <v>468.3</v>
          </cell>
        </row>
        <row r="173">
          <cell r="A173" t="str">
            <v>Southern Indiana Minerals, Inc.</v>
          </cell>
          <cell r="B173">
            <v>37104</v>
          </cell>
          <cell r="C173">
            <v>0</v>
          </cell>
          <cell r="D173">
            <v>0</v>
          </cell>
          <cell r="E173">
            <v>0</v>
          </cell>
          <cell r="F173" t="str">
            <v>N/A</v>
          </cell>
          <cell r="G173">
            <v>0</v>
          </cell>
          <cell r="H173">
            <v>0</v>
          </cell>
          <cell r="I173">
            <v>0</v>
          </cell>
          <cell r="J173" t="str">
            <v>N/A</v>
          </cell>
          <cell r="K173">
            <v>0</v>
          </cell>
          <cell r="L173">
            <v>0</v>
          </cell>
          <cell r="M173">
            <v>75</v>
          </cell>
          <cell r="N173">
            <v>0</v>
          </cell>
          <cell r="O173">
            <v>0</v>
          </cell>
          <cell r="P173">
            <v>0</v>
          </cell>
          <cell r="Q173">
            <v>0</v>
          </cell>
          <cell r="R173">
            <v>0</v>
          </cell>
          <cell r="S173">
            <v>0</v>
          </cell>
          <cell r="T173">
            <v>0</v>
          </cell>
          <cell r="U173">
            <v>0</v>
          </cell>
          <cell r="V173">
            <v>19</v>
          </cell>
          <cell r="W173">
            <v>0</v>
          </cell>
          <cell r="X173">
            <v>0</v>
          </cell>
          <cell r="Y173">
            <v>0</v>
          </cell>
          <cell r="Z173">
            <v>0</v>
          </cell>
          <cell r="AA173">
            <v>94</v>
          </cell>
        </row>
        <row r="174">
          <cell r="A174" t="str">
            <v>Southern Indiana Minerals, Inc.</v>
          </cell>
          <cell r="B174">
            <v>37135</v>
          </cell>
          <cell r="C174">
            <v>0</v>
          </cell>
          <cell r="D174">
            <v>0</v>
          </cell>
          <cell r="E174">
            <v>0</v>
          </cell>
          <cell r="F174" t="str">
            <v>N/A</v>
          </cell>
          <cell r="G174">
            <v>0</v>
          </cell>
          <cell r="H174">
            <v>0</v>
          </cell>
          <cell r="I174">
            <v>0</v>
          </cell>
          <cell r="J174" t="str">
            <v>N/A</v>
          </cell>
          <cell r="K174">
            <v>0</v>
          </cell>
          <cell r="L174">
            <v>0</v>
          </cell>
          <cell r="M174">
            <v>75</v>
          </cell>
          <cell r="N174">
            <v>0</v>
          </cell>
          <cell r="O174">
            <v>0</v>
          </cell>
          <cell r="P174">
            <v>0</v>
          </cell>
          <cell r="Q174">
            <v>0</v>
          </cell>
          <cell r="R174">
            <v>0</v>
          </cell>
          <cell r="S174">
            <v>0</v>
          </cell>
          <cell r="T174">
            <v>0</v>
          </cell>
          <cell r="U174">
            <v>0</v>
          </cell>
          <cell r="V174">
            <v>19</v>
          </cell>
          <cell r="W174">
            <v>0</v>
          </cell>
          <cell r="X174">
            <v>0</v>
          </cell>
          <cell r="Y174">
            <v>0</v>
          </cell>
          <cell r="Z174">
            <v>0</v>
          </cell>
          <cell r="AA174">
            <v>94</v>
          </cell>
        </row>
        <row r="175">
          <cell r="A175" t="str">
            <v>Southern Indiana Minerals, Inc.</v>
          </cell>
          <cell r="B175">
            <v>37165</v>
          </cell>
          <cell r="C175">
            <v>0</v>
          </cell>
          <cell r="D175">
            <v>0</v>
          </cell>
          <cell r="E175">
            <v>0</v>
          </cell>
          <cell r="F175" t="str">
            <v>N/A</v>
          </cell>
          <cell r="G175">
            <v>0</v>
          </cell>
          <cell r="H175">
            <v>0</v>
          </cell>
          <cell r="I175">
            <v>0</v>
          </cell>
          <cell r="J175" t="str">
            <v>N/A</v>
          </cell>
          <cell r="K175">
            <v>0</v>
          </cell>
          <cell r="L175">
            <v>0</v>
          </cell>
          <cell r="M175">
            <v>75</v>
          </cell>
          <cell r="N175">
            <v>0</v>
          </cell>
          <cell r="O175">
            <v>0</v>
          </cell>
          <cell r="P175">
            <v>0</v>
          </cell>
          <cell r="Q175">
            <v>0</v>
          </cell>
          <cell r="R175">
            <v>0</v>
          </cell>
          <cell r="S175">
            <v>0</v>
          </cell>
          <cell r="T175">
            <v>0</v>
          </cell>
          <cell r="U175">
            <v>0</v>
          </cell>
          <cell r="V175">
            <v>19</v>
          </cell>
          <cell r="W175">
            <v>0</v>
          </cell>
          <cell r="X175">
            <v>0</v>
          </cell>
          <cell r="Y175">
            <v>0</v>
          </cell>
          <cell r="Z175">
            <v>0</v>
          </cell>
          <cell r="AA175">
            <v>94</v>
          </cell>
        </row>
        <row r="176">
          <cell r="A176" t="str">
            <v>Southern Indiana Minerals, Inc.</v>
          </cell>
          <cell r="B176">
            <v>37196</v>
          </cell>
          <cell r="C176">
            <v>0</v>
          </cell>
          <cell r="D176">
            <v>0</v>
          </cell>
          <cell r="E176">
            <v>0</v>
          </cell>
          <cell r="F176" t="str">
            <v>N/A</v>
          </cell>
          <cell r="G176">
            <v>0</v>
          </cell>
          <cell r="H176">
            <v>0</v>
          </cell>
          <cell r="I176">
            <v>0</v>
          </cell>
          <cell r="J176" t="str">
            <v>N/A</v>
          </cell>
          <cell r="K176">
            <v>0</v>
          </cell>
          <cell r="L176">
            <v>0</v>
          </cell>
          <cell r="M176">
            <v>75</v>
          </cell>
          <cell r="N176">
            <v>0</v>
          </cell>
          <cell r="O176">
            <v>0</v>
          </cell>
          <cell r="P176">
            <v>0</v>
          </cell>
          <cell r="Q176">
            <v>0</v>
          </cell>
          <cell r="R176">
            <v>0</v>
          </cell>
          <cell r="S176">
            <v>0</v>
          </cell>
          <cell r="T176">
            <v>0</v>
          </cell>
          <cell r="U176">
            <v>0</v>
          </cell>
          <cell r="V176">
            <v>19</v>
          </cell>
          <cell r="W176">
            <v>0</v>
          </cell>
          <cell r="X176">
            <v>0</v>
          </cell>
          <cell r="Y176">
            <v>0</v>
          </cell>
          <cell r="Z176">
            <v>0</v>
          </cell>
          <cell r="AA176">
            <v>94</v>
          </cell>
        </row>
        <row r="177">
          <cell r="A177" t="str">
            <v>Southern Indiana Minerals, Inc.</v>
          </cell>
          <cell r="B177">
            <v>37226</v>
          </cell>
          <cell r="C177">
            <v>0</v>
          </cell>
          <cell r="D177">
            <v>0</v>
          </cell>
          <cell r="E177">
            <v>0</v>
          </cell>
          <cell r="F177" t="str">
            <v>N/A</v>
          </cell>
          <cell r="G177">
            <v>0</v>
          </cell>
          <cell r="H177">
            <v>0</v>
          </cell>
          <cell r="I177">
            <v>0</v>
          </cell>
          <cell r="J177" t="str">
            <v>N/A</v>
          </cell>
          <cell r="K177">
            <v>0</v>
          </cell>
          <cell r="L177">
            <v>0</v>
          </cell>
          <cell r="M177">
            <v>75</v>
          </cell>
          <cell r="N177">
            <v>0</v>
          </cell>
          <cell r="O177">
            <v>0</v>
          </cell>
          <cell r="P177">
            <v>0</v>
          </cell>
          <cell r="Q177">
            <v>0</v>
          </cell>
          <cell r="R177">
            <v>0</v>
          </cell>
          <cell r="S177">
            <v>0</v>
          </cell>
          <cell r="T177">
            <v>0</v>
          </cell>
          <cell r="U177">
            <v>0</v>
          </cell>
          <cell r="V177">
            <v>19</v>
          </cell>
          <cell r="W177">
            <v>0</v>
          </cell>
          <cell r="X177">
            <v>0</v>
          </cell>
          <cell r="Y177">
            <v>0</v>
          </cell>
          <cell r="Z177">
            <v>0</v>
          </cell>
          <cell r="AA177">
            <v>94</v>
          </cell>
        </row>
        <row r="178">
          <cell r="A178" t="str">
            <v>Southern Indiana Minerals, Inc.</v>
          </cell>
          <cell r="B178">
            <v>37257</v>
          </cell>
          <cell r="C178">
            <v>1</v>
          </cell>
          <cell r="D178">
            <v>1</v>
          </cell>
          <cell r="E178">
            <v>0</v>
          </cell>
          <cell r="F178" t="str">
            <v>N/A</v>
          </cell>
          <cell r="G178">
            <v>1</v>
          </cell>
          <cell r="H178">
            <v>1</v>
          </cell>
          <cell r="I178">
            <v>0</v>
          </cell>
          <cell r="J178" t="str">
            <v>N/A</v>
          </cell>
          <cell r="K178">
            <v>0.85</v>
          </cell>
          <cell r="L178">
            <v>0</v>
          </cell>
          <cell r="M178">
            <v>75</v>
          </cell>
          <cell r="N178">
            <v>0</v>
          </cell>
          <cell r="O178">
            <v>0</v>
          </cell>
          <cell r="P178">
            <v>0</v>
          </cell>
          <cell r="Q178">
            <v>0</v>
          </cell>
          <cell r="R178">
            <v>0</v>
          </cell>
          <cell r="S178">
            <v>0</v>
          </cell>
          <cell r="T178">
            <v>0</v>
          </cell>
          <cell r="U178">
            <v>0</v>
          </cell>
          <cell r="V178">
            <v>19</v>
          </cell>
          <cell r="W178">
            <v>0</v>
          </cell>
          <cell r="X178">
            <v>0</v>
          </cell>
          <cell r="Y178">
            <v>0</v>
          </cell>
          <cell r="Z178">
            <v>0</v>
          </cell>
          <cell r="AA178">
            <v>94.85</v>
          </cell>
        </row>
        <row r="179">
          <cell r="A179" t="str">
            <v>Uniseal, Inc.</v>
          </cell>
          <cell r="B179">
            <v>37104</v>
          </cell>
          <cell r="C179">
            <v>1413</v>
          </cell>
          <cell r="D179">
            <v>50</v>
          </cell>
          <cell r="E179">
            <v>1363</v>
          </cell>
          <cell r="F179" t="str">
            <v>N/A</v>
          </cell>
          <cell r="G179">
            <v>1340</v>
          </cell>
          <cell r="H179">
            <v>50</v>
          </cell>
          <cell r="I179">
            <v>1290</v>
          </cell>
          <cell r="J179" t="str">
            <v>N/A</v>
          </cell>
          <cell r="K179">
            <v>820.52</v>
          </cell>
          <cell r="L179">
            <v>0</v>
          </cell>
          <cell r="M179">
            <v>75</v>
          </cell>
          <cell r="N179">
            <v>0</v>
          </cell>
          <cell r="O179">
            <v>0</v>
          </cell>
          <cell r="P179">
            <v>0</v>
          </cell>
          <cell r="Q179">
            <v>0</v>
          </cell>
          <cell r="R179">
            <v>0</v>
          </cell>
          <cell r="S179">
            <v>1340</v>
          </cell>
          <cell r="T179">
            <v>4.0199999999999996</v>
          </cell>
          <cell r="U179">
            <v>0</v>
          </cell>
          <cell r="V179">
            <v>19</v>
          </cell>
          <cell r="W179">
            <v>0.95</v>
          </cell>
          <cell r="X179">
            <v>0</v>
          </cell>
          <cell r="Y179">
            <v>0</v>
          </cell>
          <cell r="Z179">
            <v>0</v>
          </cell>
          <cell r="AA179">
            <v>919.49</v>
          </cell>
        </row>
        <row r="180">
          <cell r="A180" t="str">
            <v>Uniseal, Inc.</v>
          </cell>
          <cell r="B180">
            <v>37135</v>
          </cell>
          <cell r="C180">
            <v>1120</v>
          </cell>
          <cell r="D180">
            <v>50</v>
          </cell>
          <cell r="E180">
            <v>1070</v>
          </cell>
          <cell r="F180" t="str">
            <v>N/A</v>
          </cell>
          <cell r="G180">
            <v>1139</v>
          </cell>
          <cell r="H180">
            <v>50</v>
          </cell>
          <cell r="I180">
            <v>1089</v>
          </cell>
          <cell r="J180" t="str">
            <v>N/A</v>
          </cell>
          <cell r="K180">
            <v>699.32</v>
          </cell>
          <cell r="L180">
            <v>0</v>
          </cell>
          <cell r="M180">
            <v>75</v>
          </cell>
          <cell r="N180">
            <v>0</v>
          </cell>
          <cell r="O180">
            <v>0</v>
          </cell>
          <cell r="P180">
            <v>0</v>
          </cell>
          <cell r="Q180">
            <v>0</v>
          </cell>
          <cell r="R180">
            <v>0</v>
          </cell>
          <cell r="S180">
            <v>1139</v>
          </cell>
          <cell r="T180">
            <v>3.42</v>
          </cell>
          <cell r="U180">
            <v>0</v>
          </cell>
          <cell r="V180">
            <v>19</v>
          </cell>
          <cell r="W180">
            <v>0.95</v>
          </cell>
          <cell r="X180">
            <v>0</v>
          </cell>
          <cell r="Y180">
            <v>0</v>
          </cell>
          <cell r="Z180">
            <v>0</v>
          </cell>
          <cell r="AA180">
            <v>797.69</v>
          </cell>
        </row>
        <row r="181">
          <cell r="A181" t="str">
            <v>Uniseal, Inc.</v>
          </cell>
          <cell r="B181">
            <v>37165</v>
          </cell>
          <cell r="C181">
            <v>1533</v>
          </cell>
          <cell r="D181">
            <v>50</v>
          </cell>
          <cell r="E181">
            <v>1483</v>
          </cell>
          <cell r="F181" t="str">
            <v>N/A</v>
          </cell>
          <cell r="G181">
            <v>1600</v>
          </cell>
          <cell r="H181">
            <v>50</v>
          </cell>
          <cell r="I181">
            <v>1550</v>
          </cell>
          <cell r="J181" t="str">
            <v>N/A</v>
          </cell>
          <cell r="K181">
            <v>977.3</v>
          </cell>
          <cell r="L181">
            <v>0</v>
          </cell>
          <cell r="M181">
            <v>75</v>
          </cell>
          <cell r="N181">
            <v>0</v>
          </cell>
          <cell r="O181">
            <v>0</v>
          </cell>
          <cell r="P181">
            <v>0</v>
          </cell>
          <cell r="Q181">
            <v>0</v>
          </cell>
          <cell r="R181">
            <v>0</v>
          </cell>
          <cell r="S181">
            <v>1600</v>
          </cell>
          <cell r="T181">
            <v>4.8</v>
          </cell>
          <cell r="U181">
            <v>0</v>
          </cell>
          <cell r="V181">
            <v>19</v>
          </cell>
          <cell r="W181">
            <v>0.95</v>
          </cell>
          <cell r="X181">
            <v>0</v>
          </cell>
          <cell r="Y181">
            <v>0</v>
          </cell>
          <cell r="Z181">
            <v>0</v>
          </cell>
          <cell r="AA181">
            <v>1077.05</v>
          </cell>
        </row>
        <row r="182">
          <cell r="A182" t="str">
            <v>Uniseal, Inc.</v>
          </cell>
          <cell r="B182">
            <v>37196</v>
          </cell>
          <cell r="C182">
            <v>1035</v>
          </cell>
          <cell r="D182">
            <v>50</v>
          </cell>
          <cell r="E182">
            <v>985</v>
          </cell>
          <cell r="F182" t="str">
            <v>N/A</v>
          </cell>
          <cell r="G182">
            <v>1500</v>
          </cell>
          <cell r="H182">
            <v>50</v>
          </cell>
          <cell r="I182">
            <v>1450</v>
          </cell>
          <cell r="J182" t="str">
            <v>N/A</v>
          </cell>
          <cell r="K182">
            <v>917</v>
          </cell>
          <cell r="L182">
            <v>0</v>
          </cell>
          <cell r="M182">
            <v>75</v>
          </cell>
          <cell r="N182">
            <v>0</v>
          </cell>
          <cell r="O182">
            <v>0</v>
          </cell>
          <cell r="P182">
            <v>0</v>
          </cell>
          <cell r="Q182">
            <v>0</v>
          </cell>
          <cell r="R182">
            <v>0</v>
          </cell>
          <cell r="S182">
            <v>1500</v>
          </cell>
          <cell r="T182">
            <v>4.5</v>
          </cell>
          <cell r="U182">
            <v>0</v>
          </cell>
          <cell r="V182">
            <v>19</v>
          </cell>
          <cell r="W182">
            <v>0.95</v>
          </cell>
          <cell r="X182">
            <v>0</v>
          </cell>
          <cell r="Y182">
            <v>0</v>
          </cell>
          <cell r="Z182">
            <v>0</v>
          </cell>
          <cell r="AA182">
            <v>1016.45</v>
          </cell>
        </row>
        <row r="183">
          <cell r="A183" t="str">
            <v>Uniseal, Inc.</v>
          </cell>
          <cell r="B183">
            <v>37226</v>
          </cell>
          <cell r="C183">
            <v>1533</v>
          </cell>
          <cell r="D183">
            <v>50</v>
          </cell>
          <cell r="E183">
            <v>1483</v>
          </cell>
          <cell r="F183" t="str">
            <v>N/A</v>
          </cell>
          <cell r="G183">
            <v>2900</v>
          </cell>
          <cell r="H183">
            <v>50</v>
          </cell>
          <cell r="I183">
            <v>2850</v>
          </cell>
          <cell r="J183" t="str">
            <v>N/A</v>
          </cell>
          <cell r="K183">
            <v>1761.2</v>
          </cell>
          <cell r="L183">
            <v>0</v>
          </cell>
          <cell r="M183">
            <v>75</v>
          </cell>
          <cell r="N183">
            <v>0</v>
          </cell>
          <cell r="O183">
            <v>0</v>
          </cell>
          <cell r="P183">
            <v>0</v>
          </cell>
          <cell r="Q183">
            <v>0</v>
          </cell>
          <cell r="R183">
            <v>0</v>
          </cell>
          <cell r="S183">
            <v>2900</v>
          </cell>
          <cell r="T183">
            <v>8.6999999999999993</v>
          </cell>
          <cell r="U183">
            <v>0</v>
          </cell>
          <cell r="V183">
            <v>19</v>
          </cell>
          <cell r="W183">
            <v>0.95</v>
          </cell>
          <cell r="X183">
            <v>0</v>
          </cell>
          <cell r="Y183">
            <v>0</v>
          </cell>
          <cell r="Z183">
            <v>0</v>
          </cell>
          <cell r="AA183">
            <v>1864.85</v>
          </cell>
        </row>
        <row r="184">
          <cell r="A184" t="str">
            <v>Uniseal, Inc.</v>
          </cell>
          <cell r="B184">
            <v>37257</v>
          </cell>
          <cell r="C184">
            <v>1658</v>
          </cell>
          <cell r="D184">
            <v>50</v>
          </cell>
          <cell r="E184">
            <v>1608</v>
          </cell>
          <cell r="F184" t="str">
            <v>N/A</v>
          </cell>
          <cell r="G184">
            <v>2000</v>
          </cell>
          <cell r="H184">
            <v>50</v>
          </cell>
          <cell r="I184">
            <v>1950</v>
          </cell>
          <cell r="J184" t="str">
            <v>N/A</v>
          </cell>
          <cell r="K184">
            <v>1218.5</v>
          </cell>
          <cell r="L184">
            <v>0</v>
          </cell>
          <cell r="M184">
            <v>75</v>
          </cell>
          <cell r="N184">
            <v>0</v>
          </cell>
          <cell r="O184">
            <v>0</v>
          </cell>
          <cell r="P184">
            <v>0</v>
          </cell>
          <cell r="Q184">
            <v>0</v>
          </cell>
          <cell r="R184">
            <v>0</v>
          </cell>
          <cell r="S184">
            <v>2000</v>
          </cell>
          <cell r="T184">
            <v>6</v>
          </cell>
          <cell r="U184">
            <v>0</v>
          </cell>
          <cell r="V184">
            <v>19</v>
          </cell>
          <cell r="W184">
            <v>0.95</v>
          </cell>
          <cell r="X184">
            <v>0</v>
          </cell>
          <cell r="Y184">
            <v>0</v>
          </cell>
          <cell r="Z184">
            <v>0</v>
          </cell>
          <cell r="AA184">
            <v>1319.45</v>
          </cell>
        </row>
        <row r="185">
          <cell r="A185" t="str">
            <v>Uniseal, Inc.</v>
          </cell>
          <cell r="B185">
            <v>37288</v>
          </cell>
          <cell r="C185">
            <v>1512</v>
          </cell>
          <cell r="D185">
            <v>50</v>
          </cell>
          <cell r="E185">
            <v>1462</v>
          </cell>
          <cell r="F185" t="str">
            <v>N/A</v>
          </cell>
          <cell r="G185">
            <v>1600</v>
          </cell>
          <cell r="H185">
            <v>50</v>
          </cell>
          <cell r="I185">
            <v>1550</v>
          </cell>
          <cell r="J185" t="str">
            <v>N/A</v>
          </cell>
          <cell r="K185">
            <v>977.3</v>
          </cell>
          <cell r="L185">
            <v>0</v>
          </cell>
          <cell r="M185">
            <v>75</v>
          </cell>
          <cell r="N185">
            <v>0</v>
          </cell>
          <cell r="O185">
            <v>0</v>
          </cell>
          <cell r="P185">
            <v>0</v>
          </cell>
          <cell r="Q185">
            <v>0</v>
          </cell>
          <cell r="R185">
            <v>0</v>
          </cell>
          <cell r="S185">
            <v>1600</v>
          </cell>
          <cell r="T185">
            <v>-1.6</v>
          </cell>
          <cell r="U185">
            <v>0</v>
          </cell>
          <cell r="V185">
            <v>19</v>
          </cell>
          <cell r="W185">
            <v>0.95</v>
          </cell>
          <cell r="X185">
            <v>0</v>
          </cell>
          <cell r="Y185">
            <v>0</v>
          </cell>
          <cell r="Z185">
            <v>0</v>
          </cell>
          <cell r="AA185">
            <v>1070.6500000000001</v>
          </cell>
        </row>
        <row r="186">
          <cell r="A186" t="str">
            <v>Uniseal, Inc.</v>
          </cell>
          <cell r="B186">
            <v>37316</v>
          </cell>
          <cell r="C186">
            <v>1450</v>
          </cell>
          <cell r="D186">
            <v>50</v>
          </cell>
          <cell r="E186">
            <v>1400</v>
          </cell>
          <cell r="F186" t="str">
            <v>N/A</v>
          </cell>
          <cell r="G186">
            <v>1705</v>
          </cell>
          <cell r="H186">
            <v>50</v>
          </cell>
          <cell r="I186">
            <v>1655</v>
          </cell>
          <cell r="J186" t="str">
            <v>N/A</v>
          </cell>
          <cell r="K186">
            <v>1040.6199999999999</v>
          </cell>
          <cell r="L186">
            <v>0</v>
          </cell>
          <cell r="M186">
            <v>75</v>
          </cell>
          <cell r="N186">
            <v>0</v>
          </cell>
          <cell r="O186">
            <v>0</v>
          </cell>
          <cell r="P186">
            <v>0</v>
          </cell>
          <cell r="Q186">
            <v>0</v>
          </cell>
          <cell r="R186">
            <v>0</v>
          </cell>
          <cell r="S186">
            <v>1705</v>
          </cell>
          <cell r="T186">
            <v>-1.71</v>
          </cell>
          <cell r="U186">
            <v>0</v>
          </cell>
          <cell r="V186">
            <v>19</v>
          </cell>
          <cell r="W186">
            <v>0.95</v>
          </cell>
          <cell r="X186">
            <v>0</v>
          </cell>
          <cell r="Y186">
            <v>0</v>
          </cell>
          <cell r="Z186">
            <v>0</v>
          </cell>
          <cell r="AA186">
            <v>1133.8599999999999</v>
          </cell>
        </row>
        <row r="187">
          <cell r="A187" t="str">
            <v>Uniseal, Inc.</v>
          </cell>
          <cell r="B187">
            <v>37347</v>
          </cell>
          <cell r="C187">
            <v>1162</v>
          </cell>
          <cell r="D187">
            <v>50</v>
          </cell>
          <cell r="E187">
            <v>1112</v>
          </cell>
          <cell r="F187" t="str">
            <v>N/A</v>
          </cell>
          <cell r="G187">
            <v>1600</v>
          </cell>
          <cell r="H187">
            <v>50</v>
          </cell>
          <cell r="I187">
            <v>1550</v>
          </cell>
          <cell r="J187" t="str">
            <v>N/A</v>
          </cell>
          <cell r="K187">
            <v>977.3</v>
          </cell>
          <cell r="L187">
            <v>0</v>
          </cell>
          <cell r="M187">
            <v>75</v>
          </cell>
          <cell r="N187">
            <v>0</v>
          </cell>
          <cell r="O187">
            <v>0</v>
          </cell>
          <cell r="P187">
            <v>0</v>
          </cell>
          <cell r="Q187">
            <v>0</v>
          </cell>
          <cell r="R187">
            <v>0</v>
          </cell>
          <cell r="S187">
            <v>1600</v>
          </cell>
          <cell r="T187">
            <v>-1.6</v>
          </cell>
          <cell r="U187">
            <v>0</v>
          </cell>
          <cell r="V187">
            <v>19</v>
          </cell>
          <cell r="W187">
            <v>0.95</v>
          </cell>
          <cell r="X187">
            <v>0</v>
          </cell>
          <cell r="Y187">
            <v>0</v>
          </cell>
          <cell r="Z187">
            <v>0</v>
          </cell>
          <cell r="AA187">
            <v>1070.6500000000001</v>
          </cell>
        </row>
        <row r="188">
          <cell r="A188" t="str">
            <v>Uniseal, Inc.</v>
          </cell>
          <cell r="B188">
            <v>37377</v>
          </cell>
          <cell r="C188">
            <v>913</v>
          </cell>
          <cell r="D188">
            <v>50</v>
          </cell>
          <cell r="E188">
            <v>863</v>
          </cell>
          <cell r="F188" t="str">
            <v>N/A</v>
          </cell>
          <cell r="G188">
            <v>1300</v>
          </cell>
          <cell r="H188">
            <v>50</v>
          </cell>
          <cell r="I188">
            <v>1250</v>
          </cell>
          <cell r="J188" t="str">
            <v>N/A</v>
          </cell>
          <cell r="K188">
            <v>796.4</v>
          </cell>
          <cell r="L188">
            <v>0</v>
          </cell>
          <cell r="M188">
            <v>75</v>
          </cell>
          <cell r="N188">
            <v>0</v>
          </cell>
          <cell r="O188">
            <v>0</v>
          </cell>
          <cell r="P188">
            <v>0</v>
          </cell>
          <cell r="Q188">
            <v>0</v>
          </cell>
          <cell r="R188">
            <v>0</v>
          </cell>
          <cell r="S188">
            <v>0</v>
          </cell>
          <cell r="T188">
            <v>0</v>
          </cell>
          <cell r="U188">
            <v>0</v>
          </cell>
          <cell r="V188">
            <v>19</v>
          </cell>
          <cell r="W188">
            <v>0.95</v>
          </cell>
          <cell r="X188">
            <v>0</v>
          </cell>
          <cell r="Y188">
            <v>0</v>
          </cell>
          <cell r="Z188">
            <v>0</v>
          </cell>
          <cell r="AA188">
            <v>891.35</v>
          </cell>
        </row>
        <row r="189">
          <cell r="A189" t="str">
            <v>Uniseal, Inc.</v>
          </cell>
          <cell r="B189">
            <v>37408</v>
          </cell>
          <cell r="C189">
            <v>766</v>
          </cell>
          <cell r="D189">
            <v>50</v>
          </cell>
          <cell r="E189">
            <v>716</v>
          </cell>
          <cell r="F189" t="str">
            <v>N/A</v>
          </cell>
          <cell r="G189">
            <v>1100</v>
          </cell>
          <cell r="H189">
            <v>50</v>
          </cell>
          <cell r="I189">
            <v>1050</v>
          </cell>
          <cell r="J189" t="str">
            <v>N/A</v>
          </cell>
          <cell r="K189">
            <v>675.8</v>
          </cell>
          <cell r="L189">
            <v>0</v>
          </cell>
          <cell r="M189">
            <v>75</v>
          </cell>
          <cell r="N189">
            <v>0</v>
          </cell>
          <cell r="O189">
            <v>0</v>
          </cell>
          <cell r="P189">
            <v>0</v>
          </cell>
          <cell r="Q189">
            <v>0</v>
          </cell>
          <cell r="R189">
            <v>0</v>
          </cell>
          <cell r="S189">
            <v>0</v>
          </cell>
          <cell r="T189">
            <v>0</v>
          </cell>
          <cell r="U189">
            <v>0</v>
          </cell>
          <cell r="V189">
            <v>19</v>
          </cell>
          <cell r="W189">
            <v>0.95</v>
          </cell>
          <cell r="X189">
            <v>0</v>
          </cell>
          <cell r="Y189">
            <v>0</v>
          </cell>
          <cell r="Z189">
            <v>0</v>
          </cell>
          <cell r="AA189">
            <v>770.75</v>
          </cell>
        </row>
        <row r="190">
          <cell r="A190" t="str">
            <v>Uniseal, Inc.</v>
          </cell>
          <cell r="B190">
            <v>37438</v>
          </cell>
          <cell r="C190">
            <v>982</v>
          </cell>
          <cell r="D190">
            <v>50</v>
          </cell>
          <cell r="E190">
            <v>932</v>
          </cell>
          <cell r="F190" t="str">
            <v>N/A</v>
          </cell>
          <cell r="G190">
            <v>1000</v>
          </cell>
          <cell r="H190">
            <v>50</v>
          </cell>
          <cell r="I190">
            <v>950</v>
          </cell>
          <cell r="J190" t="str">
            <v>N/A</v>
          </cell>
          <cell r="K190">
            <v>615.5</v>
          </cell>
          <cell r="L190">
            <v>0</v>
          </cell>
          <cell r="M190">
            <v>75</v>
          </cell>
          <cell r="N190">
            <v>0</v>
          </cell>
          <cell r="O190">
            <v>0</v>
          </cell>
          <cell r="P190">
            <v>0</v>
          </cell>
          <cell r="Q190">
            <v>0</v>
          </cell>
          <cell r="R190">
            <v>0</v>
          </cell>
          <cell r="S190">
            <v>0</v>
          </cell>
          <cell r="T190">
            <v>0</v>
          </cell>
          <cell r="U190">
            <v>0</v>
          </cell>
          <cell r="V190">
            <v>19</v>
          </cell>
          <cell r="W190">
            <v>0.95</v>
          </cell>
          <cell r="X190">
            <v>0</v>
          </cell>
          <cell r="Y190">
            <v>0</v>
          </cell>
          <cell r="Z190">
            <v>0</v>
          </cell>
          <cell r="AA190">
            <v>710.45</v>
          </cell>
        </row>
        <row r="192">
          <cell r="A192" t="str">
            <v>Total Rate B</v>
          </cell>
          <cell r="C192">
            <v>346208</v>
          </cell>
          <cell r="D192">
            <v>8302</v>
          </cell>
          <cell r="E192">
            <v>337906</v>
          </cell>
          <cell r="F192" t="str">
            <v>N/A</v>
          </cell>
          <cell r="G192">
            <v>382539</v>
          </cell>
          <cell r="H192">
            <v>8108</v>
          </cell>
          <cell r="I192">
            <v>374431</v>
          </cell>
          <cell r="J192" t="str">
            <v>N/A</v>
          </cell>
          <cell r="K192">
            <v>232697.94999999984</v>
          </cell>
          <cell r="L192">
            <v>19726.46</v>
          </cell>
          <cell r="M192">
            <v>13800</v>
          </cell>
          <cell r="N192">
            <v>15971</v>
          </cell>
          <cell r="O192">
            <v>4459.579999999999</v>
          </cell>
          <cell r="P192">
            <v>16381</v>
          </cell>
          <cell r="Q192">
            <v>39902.80999999999</v>
          </cell>
          <cell r="R192">
            <v>-766.14999999999986</v>
          </cell>
          <cell r="S192">
            <v>311984</v>
          </cell>
          <cell r="T192">
            <v>528.16999999999996</v>
          </cell>
          <cell r="U192">
            <v>0</v>
          </cell>
          <cell r="V192">
            <v>3496</v>
          </cell>
          <cell r="W192">
            <v>-1971.5799999999972</v>
          </cell>
          <cell r="X192">
            <v>65184.7</v>
          </cell>
          <cell r="Y192">
            <v>847</v>
          </cell>
          <cell r="Z192">
            <v>10692.53</v>
          </cell>
          <cell r="AA192">
            <v>379223.29999999976</v>
          </cell>
        </row>
        <row r="193">
          <cell r="C193">
            <v>0</v>
          </cell>
        </row>
        <row r="198">
          <cell r="A198" t="str">
            <v>Rate OPT</v>
          </cell>
        </row>
        <row r="199">
          <cell r="A199" t="str">
            <v>J. H. Rudolph</v>
          </cell>
          <cell r="B199">
            <v>37104</v>
          </cell>
          <cell r="C199">
            <v>17853</v>
          </cell>
          <cell r="D199">
            <v>17853</v>
          </cell>
          <cell r="E199" t="str">
            <v>N/A</v>
          </cell>
          <cell r="F199" t="str">
            <v>N/A</v>
          </cell>
          <cell r="G199">
            <v>18000</v>
          </cell>
          <cell r="H199">
            <v>18000</v>
          </cell>
          <cell r="I199" t="str">
            <v>N/A</v>
          </cell>
          <cell r="J199" t="str">
            <v>N/A</v>
          </cell>
          <cell r="K199">
            <v>5238</v>
          </cell>
          <cell r="L199">
            <v>0</v>
          </cell>
          <cell r="M199">
            <v>120</v>
          </cell>
          <cell r="N199">
            <v>0</v>
          </cell>
          <cell r="O199">
            <v>0</v>
          </cell>
          <cell r="P199">
            <v>0</v>
          </cell>
          <cell r="Q199">
            <v>0</v>
          </cell>
          <cell r="R199">
            <v>0</v>
          </cell>
          <cell r="S199">
            <v>18000</v>
          </cell>
          <cell r="T199">
            <v>54</v>
          </cell>
          <cell r="U199">
            <v>0</v>
          </cell>
          <cell r="V199">
            <v>19</v>
          </cell>
          <cell r="W199">
            <v>0.95</v>
          </cell>
          <cell r="X199">
            <v>0</v>
          </cell>
          <cell r="Y199">
            <v>0</v>
          </cell>
          <cell r="Z199">
            <v>0</v>
          </cell>
          <cell r="AA199">
            <v>5431.95</v>
          </cell>
        </row>
        <row r="200">
          <cell r="A200" t="str">
            <v>J. H. Rudolph</v>
          </cell>
          <cell r="B200">
            <v>37135</v>
          </cell>
          <cell r="C200">
            <v>11934</v>
          </cell>
          <cell r="D200">
            <v>11934</v>
          </cell>
          <cell r="E200" t="str">
            <v>N/A</v>
          </cell>
          <cell r="F200" t="str">
            <v>N/A</v>
          </cell>
          <cell r="G200">
            <v>12000</v>
          </cell>
          <cell r="H200">
            <v>12000</v>
          </cell>
          <cell r="I200" t="str">
            <v>N/A</v>
          </cell>
          <cell r="J200" t="str">
            <v>N/A</v>
          </cell>
          <cell r="K200">
            <v>3492</v>
          </cell>
          <cell r="L200">
            <v>0</v>
          </cell>
          <cell r="M200">
            <v>120</v>
          </cell>
          <cell r="N200">
            <v>0</v>
          </cell>
          <cell r="O200">
            <v>0</v>
          </cell>
          <cell r="P200">
            <v>0</v>
          </cell>
          <cell r="Q200">
            <v>0</v>
          </cell>
          <cell r="R200">
            <v>0</v>
          </cell>
          <cell r="S200">
            <v>12000</v>
          </cell>
          <cell r="T200">
            <v>36</v>
          </cell>
          <cell r="U200">
            <v>0</v>
          </cell>
          <cell r="V200">
            <v>19</v>
          </cell>
          <cell r="W200">
            <v>0.95</v>
          </cell>
          <cell r="X200">
            <v>0</v>
          </cell>
          <cell r="Y200">
            <v>0</v>
          </cell>
          <cell r="Z200">
            <v>0</v>
          </cell>
          <cell r="AA200">
            <v>3667.95</v>
          </cell>
        </row>
        <row r="201">
          <cell r="A201" t="str">
            <v>J. H. Rudolph</v>
          </cell>
          <cell r="B201">
            <v>37165</v>
          </cell>
          <cell r="C201">
            <v>10533</v>
          </cell>
          <cell r="D201">
            <v>10533</v>
          </cell>
          <cell r="E201" t="str">
            <v>N/A</v>
          </cell>
          <cell r="F201" t="str">
            <v>N/A</v>
          </cell>
          <cell r="G201">
            <v>15000</v>
          </cell>
          <cell r="H201">
            <v>15000</v>
          </cell>
          <cell r="I201" t="str">
            <v>N/A</v>
          </cell>
          <cell r="J201" t="str">
            <v>N/A</v>
          </cell>
          <cell r="K201">
            <v>4365</v>
          </cell>
          <cell r="L201">
            <v>0</v>
          </cell>
          <cell r="M201">
            <v>120</v>
          </cell>
          <cell r="N201">
            <v>0</v>
          </cell>
          <cell r="O201">
            <v>0</v>
          </cell>
          <cell r="P201">
            <v>0</v>
          </cell>
          <cell r="Q201">
            <v>0</v>
          </cell>
          <cell r="R201">
            <v>0</v>
          </cell>
          <cell r="S201">
            <v>15000</v>
          </cell>
          <cell r="T201">
            <v>45</v>
          </cell>
          <cell r="U201">
            <v>0</v>
          </cell>
          <cell r="V201">
            <v>19</v>
          </cell>
          <cell r="W201">
            <v>0.95</v>
          </cell>
          <cell r="X201">
            <v>0</v>
          </cell>
          <cell r="Y201">
            <v>0</v>
          </cell>
          <cell r="Z201">
            <v>0</v>
          </cell>
          <cell r="AA201">
            <v>4549.95</v>
          </cell>
        </row>
        <row r="202">
          <cell r="A202" t="str">
            <v>J. H. Rudolph</v>
          </cell>
          <cell r="B202">
            <v>37196</v>
          </cell>
          <cell r="C202">
            <v>6361</v>
          </cell>
          <cell r="D202">
            <v>6361</v>
          </cell>
          <cell r="E202" t="str">
            <v>N/A</v>
          </cell>
          <cell r="F202" t="str">
            <v>N/A</v>
          </cell>
          <cell r="G202">
            <v>9000</v>
          </cell>
          <cell r="H202">
            <v>9000</v>
          </cell>
          <cell r="I202" t="str">
            <v>N/A</v>
          </cell>
          <cell r="J202" t="str">
            <v>N/A</v>
          </cell>
          <cell r="K202">
            <v>2619</v>
          </cell>
          <cell r="L202">
            <v>0</v>
          </cell>
          <cell r="M202">
            <v>120</v>
          </cell>
          <cell r="N202">
            <v>0</v>
          </cell>
          <cell r="O202">
            <v>0</v>
          </cell>
          <cell r="P202">
            <v>0</v>
          </cell>
          <cell r="Q202">
            <v>0</v>
          </cell>
          <cell r="R202">
            <v>0</v>
          </cell>
          <cell r="S202">
            <v>9000</v>
          </cell>
          <cell r="T202">
            <v>27</v>
          </cell>
          <cell r="U202">
            <v>0</v>
          </cell>
          <cell r="V202">
            <v>19</v>
          </cell>
          <cell r="W202">
            <v>0.95</v>
          </cell>
          <cell r="X202">
            <v>0</v>
          </cell>
          <cell r="Y202">
            <v>0</v>
          </cell>
          <cell r="Z202">
            <v>0</v>
          </cell>
          <cell r="AA202">
            <v>2785.95</v>
          </cell>
        </row>
        <row r="203">
          <cell r="A203" t="str">
            <v>J. H. Rudolph</v>
          </cell>
          <cell r="B203">
            <v>37226</v>
          </cell>
          <cell r="C203">
            <v>4180</v>
          </cell>
          <cell r="D203">
            <v>4180</v>
          </cell>
          <cell r="E203" t="str">
            <v>N/A</v>
          </cell>
          <cell r="F203" t="str">
            <v>N/A</v>
          </cell>
          <cell r="G203">
            <v>1500</v>
          </cell>
          <cell r="H203">
            <v>1500</v>
          </cell>
          <cell r="I203" t="str">
            <v>N/A</v>
          </cell>
          <cell r="J203" t="str">
            <v>N/A</v>
          </cell>
          <cell r="K203">
            <v>436.5</v>
          </cell>
          <cell r="L203">
            <v>0</v>
          </cell>
          <cell r="M203">
            <v>120</v>
          </cell>
          <cell r="N203">
            <v>0</v>
          </cell>
          <cell r="O203">
            <v>0</v>
          </cell>
          <cell r="P203">
            <v>0</v>
          </cell>
          <cell r="Q203">
            <v>0</v>
          </cell>
          <cell r="R203">
            <v>0</v>
          </cell>
          <cell r="S203">
            <v>1500</v>
          </cell>
          <cell r="T203">
            <v>4.5</v>
          </cell>
          <cell r="U203">
            <v>0</v>
          </cell>
          <cell r="V203">
            <v>19</v>
          </cell>
          <cell r="W203">
            <v>0.95</v>
          </cell>
          <cell r="X203">
            <v>0</v>
          </cell>
          <cell r="Y203">
            <v>0</v>
          </cell>
          <cell r="Z203">
            <v>0</v>
          </cell>
          <cell r="AA203">
            <v>580.95000000000005</v>
          </cell>
        </row>
        <row r="204">
          <cell r="A204" t="str">
            <v>J. H. Rudolph</v>
          </cell>
          <cell r="B204">
            <v>37257</v>
          </cell>
          <cell r="C204">
            <v>1837</v>
          </cell>
          <cell r="D204">
            <v>1837</v>
          </cell>
          <cell r="E204" t="str">
            <v>N/A</v>
          </cell>
          <cell r="F204" t="str">
            <v>N/A</v>
          </cell>
          <cell r="G204">
            <v>1000</v>
          </cell>
          <cell r="H204">
            <v>1000</v>
          </cell>
          <cell r="I204" t="str">
            <v>N/A</v>
          </cell>
          <cell r="J204" t="str">
            <v>N/A</v>
          </cell>
          <cell r="K204">
            <v>291</v>
          </cell>
          <cell r="L204">
            <v>0</v>
          </cell>
          <cell r="M204">
            <v>120</v>
          </cell>
          <cell r="N204">
            <v>0</v>
          </cell>
          <cell r="O204">
            <v>0</v>
          </cell>
          <cell r="P204">
            <v>0</v>
          </cell>
          <cell r="Q204">
            <v>0</v>
          </cell>
          <cell r="R204">
            <v>0</v>
          </cell>
          <cell r="S204">
            <v>1000</v>
          </cell>
          <cell r="T204">
            <v>3</v>
          </cell>
          <cell r="U204">
            <v>0</v>
          </cell>
          <cell r="V204">
            <v>19</v>
          </cell>
          <cell r="W204">
            <v>0.95</v>
          </cell>
          <cell r="X204">
            <v>0</v>
          </cell>
          <cell r="Y204">
            <v>0</v>
          </cell>
          <cell r="Z204">
            <v>0</v>
          </cell>
          <cell r="AA204">
            <v>433.95</v>
          </cell>
        </row>
        <row r="205">
          <cell r="A205" t="str">
            <v>J. H. Rudolph</v>
          </cell>
          <cell r="B205">
            <v>37288</v>
          </cell>
          <cell r="C205">
            <v>1228</v>
          </cell>
          <cell r="D205">
            <v>1228</v>
          </cell>
          <cell r="E205" t="str">
            <v>N/A</v>
          </cell>
          <cell r="F205" t="str">
            <v>N/A</v>
          </cell>
          <cell r="G205">
            <v>1000</v>
          </cell>
          <cell r="H205">
            <v>1000</v>
          </cell>
          <cell r="I205" t="str">
            <v>N/A</v>
          </cell>
          <cell r="J205" t="str">
            <v>N/A</v>
          </cell>
          <cell r="K205">
            <v>291</v>
          </cell>
          <cell r="L205">
            <v>0</v>
          </cell>
          <cell r="M205">
            <v>120</v>
          </cell>
          <cell r="N205">
            <v>0</v>
          </cell>
          <cell r="O205">
            <v>0</v>
          </cell>
          <cell r="P205">
            <v>0</v>
          </cell>
          <cell r="Q205">
            <v>0</v>
          </cell>
          <cell r="R205">
            <v>0</v>
          </cell>
          <cell r="S205">
            <v>1000</v>
          </cell>
          <cell r="T205">
            <v>-1</v>
          </cell>
          <cell r="U205">
            <v>0</v>
          </cell>
          <cell r="V205">
            <v>19</v>
          </cell>
          <cell r="W205">
            <v>0.95</v>
          </cell>
          <cell r="X205">
            <v>0</v>
          </cell>
          <cell r="Y205">
            <v>0</v>
          </cell>
          <cell r="Z205">
            <v>0</v>
          </cell>
          <cell r="AA205">
            <v>429.95</v>
          </cell>
        </row>
        <row r="206">
          <cell r="A206" t="str">
            <v>J. H. Rudolph</v>
          </cell>
          <cell r="B206">
            <v>37316</v>
          </cell>
          <cell r="C206">
            <v>2857</v>
          </cell>
          <cell r="D206">
            <v>2857</v>
          </cell>
          <cell r="E206" t="str">
            <v>N/A</v>
          </cell>
          <cell r="F206" t="str">
            <v>N/A</v>
          </cell>
          <cell r="G206">
            <v>2015</v>
          </cell>
          <cell r="H206">
            <v>2015</v>
          </cell>
          <cell r="I206" t="str">
            <v>N/A</v>
          </cell>
          <cell r="J206" t="str">
            <v>N/A</v>
          </cell>
          <cell r="K206">
            <v>586.36</v>
          </cell>
          <cell r="L206">
            <v>0</v>
          </cell>
          <cell r="M206">
            <v>120</v>
          </cell>
          <cell r="N206">
            <v>0</v>
          </cell>
          <cell r="O206">
            <v>0</v>
          </cell>
          <cell r="P206">
            <v>0</v>
          </cell>
          <cell r="Q206">
            <v>0</v>
          </cell>
          <cell r="R206">
            <v>0</v>
          </cell>
          <cell r="S206">
            <v>2015</v>
          </cell>
          <cell r="T206">
            <v>-2.02</v>
          </cell>
          <cell r="U206">
            <v>0</v>
          </cell>
          <cell r="V206">
            <v>19</v>
          </cell>
          <cell r="W206">
            <v>0.95</v>
          </cell>
          <cell r="X206">
            <v>0</v>
          </cell>
          <cell r="Y206">
            <v>0</v>
          </cell>
          <cell r="Z206">
            <v>0</v>
          </cell>
          <cell r="AA206">
            <v>724.29</v>
          </cell>
        </row>
        <row r="207">
          <cell r="A207" t="str">
            <v>J. H. Rudolph</v>
          </cell>
          <cell r="B207">
            <v>37347</v>
          </cell>
          <cell r="C207">
            <v>5374</v>
          </cell>
          <cell r="D207">
            <v>5374</v>
          </cell>
          <cell r="E207" t="str">
            <v>N/A</v>
          </cell>
          <cell r="F207" t="str">
            <v>N/A</v>
          </cell>
          <cell r="G207">
            <v>3500</v>
          </cell>
          <cell r="H207">
            <v>3500</v>
          </cell>
          <cell r="I207" t="str">
            <v>N/A</v>
          </cell>
          <cell r="J207" t="str">
            <v>N/A</v>
          </cell>
          <cell r="K207">
            <v>1018.5</v>
          </cell>
          <cell r="L207">
            <v>0</v>
          </cell>
          <cell r="M207">
            <v>120</v>
          </cell>
          <cell r="N207">
            <v>0</v>
          </cell>
          <cell r="O207">
            <v>0</v>
          </cell>
          <cell r="P207">
            <v>0</v>
          </cell>
          <cell r="Q207">
            <v>0</v>
          </cell>
          <cell r="R207">
            <v>0</v>
          </cell>
          <cell r="S207">
            <v>3500</v>
          </cell>
          <cell r="T207">
            <v>-3.5</v>
          </cell>
          <cell r="U207">
            <v>0</v>
          </cell>
          <cell r="V207">
            <v>19</v>
          </cell>
          <cell r="W207">
            <v>0.95</v>
          </cell>
          <cell r="X207">
            <v>0</v>
          </cell>
          <cell r="Y207">
            <v>0</v>
          </cell>
          <cell r="Z207">
            <v>0</v>
          </cell>
          <cell r="AA207">
            <v>1154.95</v>
          </cell>
        </row>
        <row r="208">
          <cell r="A208" t="str">
            <v>J. H. Rudolph</v>
          </cell>
          <cell r="B208">
            <v>37377</v>
          </cell>
          <cell r="C208">
            <v>8921</v>
          </cell>
          <cell r="D208">
            <v>8921</v>
          </cell>
          <cell r="E208" t="str">
            <v>N/A</v>
          </cell>
          <cell r="F208" t="str">
            <v>N/A</v>
          </cell>
          <cell r="G208">
            <v>9137</v>
          </cell>
          <cell r="H208">
            <v>9137</v>
          </cell>
          <cell r="I208" t="str">
            <v>N/A</v>
          </cell>
          <cell r="J208" t="str">
            <v>N/A</v>
          </cell>
          <cell r="K208">
            <v>2658.87</v>
          </cell>
          <cell r="L208">
            <v>0</v>
          </cell>
          <cell r="M208">
            <v>120</v>
          </cell>
          <cell r="N208">
            <v>0</v>
          </cell>
          <cell r="O208">
            <v>0</v>
          </cell>
          <cell r="P208">
            <v>0</v>
          </cell>
          <cell r="Q208">
            <v>0</v>
          </cell>
          <cell r="R208">
            <v>0</v>
          </cell>
          <cell r="S208">
            <v>9137</v>
          </cell>
          <cell r="T208">
            <v>-9.14</v>
          </cell>
          <cell r="U208">
            <v>0</v>
          </cell>
          <cell r="V208">
            <v>19</v>
          </cell>
          <cell r="W208">
            <v>0.95</v>
          </cell>
          <cell r="X208">
            <v>0</v>
          </cell>
          <cell r="Y208">
            <v>0</v>
          </cell>
          <cell r="Z208">
            <v>0</v>
          </cell>
          <cell r="AA208">
            <v>2789.68</v>
          </cell>
        </row>
        <row r="209">
          <cell r="A209" t="str">
            <v>J. H. Rudolph</v>
          </cell>
          <cell r="B209">
            <v>37408</v>
          </cell>
          <cell r="C209">
            <v>7827</v>
          </cell>
          <cell r="D209">
            <v>7827</v>
          </cell>
          <cell r="E209" t="str">
            <v>N/A</v>
          </cell>
          <cell r="F209" t="str">
            <v>N/A</v>
          </cell>
          <cell r="G209">
            <v>12000</v>
          </cell>
          <cell r="H209">
            <v>12000</v>
          </cell>
          <cell r="I209" t="str">
            <v>N/A</v>
          </cell>
          <cell r="J209" t="str">
            <v>N/A</v>
          </cell>
          <cell r="K209">
            <v>3492</v>
          </cell>
          <cell r="L209">
            <v>0</v>
          </cell>
          <cell r="M209">
            <v>120</v>
          </cell>
          <cell r="N209">
            <v>0</v>
          </cell>
          <cell r="O209">
            <v>0</v>
          </cell>
          <cell r="P209">
            <v>0</v>
          </cell>
          <cell r="Q209">
            <v>0</v>
          </cell>
          <cell r="R209">
            <v>0</v>
          </cell>
          <cell r="S209">
            <v>12000</v>
          </cell>
          <cell r="T209">
            <v>-12</v>
          </cell>
          <cell r="U209">
            <v>0</v>
          </cell>
          <cell r="V209">
            <v>19</v>
          </cell>
          <cell r="W209">
            <v>0.95</v>
          </cell>
          <cell r="X209">
            <v>0</v>
          </cell>
          <cell r="Y209">
            <v>0</v>
          </cell>
          <cell r="Z209">
            <v>0</v>
          </cell>
          <cell r="AA209">
            <v>3619.95</v>
          </cell>
        </row>
        <row r="210">
          <cell r="A210" t="str">
            <v>J. H. Rudolph</v>
          </cell>
          <cell r="B210">
            <v>37438</v>
          </cell>
          <cell r="C210">
            <v>18367</v>
          </cell>
          <cell r="D210">
            <v>18367</v>
          </cell>
          <cell r="E210" t="str">
            <v>N/A</v>
          </cell>
          <cell r="F210" t="str">
            <v>N/A</v>
          </cell>
          <cell r="G210">
            <v>16290</v>
          </cell>
          <cell r="H210">
            <v>16290</v>
          </cell>
          <cell r="I210" t="str">
            <v>N/A</v>
          </cell>
          <cell r="J210" t="str">
            <v>N/A</v>
          </cell>
          <cell r="K210">
            <v>4740.3900000000003</v>
          </cell>
          <cell r="L210">
            <v>0</v>
          </cell>
          <cell r="M210">
            <v>120</v>
          </cell>
          <cell r="N210">
            <v>0</v>
          </cell>
          <cell r="O210">
            <v>0</v>
          </cell>
          <cell r="P210">
            <v>0</v>
          </cell>
          <cell r="Q210">
            <v>0</v>
          </cell>
          <cell r="R210">
            <v>0</v>
          </cell>
          <cell r="S210">
            <v>16290</v>
          </cell>
          <cell r="T210">
            <v>-16.29</v>
          </cell>
          <cell r="U210">
            <v>0</v>
          </cell>
          <cell r="V210">
            <v>19</v>
          </cell>
          <cell r="W210">
            <v>0.95</v>
          </cell>
          <cell r="X210">
            <v>0</v>
          </cell>
          <cell r="Y210">
            <v>0</v>
          </cell>
          <cell r="Z210">
            <v>0</v>
          </cell>
          <cell r="AA210">
            <v>4864.05</v>
          </cell>
        </row>
        <row r="212">
          <cell r="A212" t="str">
            <v>Subtotal Rate OPT</v>
          </cell>
          <cell r="C212">
            <v>97272</v>
          </cell>
          <cell r="D212">
            <v>97272</v>
          </cell>
          <cell r="E212">
            <v>0</v>
          </cell>
          <cell r="G212">
            <v>100442</v>
          </cell>
          <cell r="H212">
            <v>100442</v>
          </cell>
          <cell r="I212">
            <v>0</v>
          </cell>
          <cell r="K212">
            <v>29228.62</v>
          </cell>
          <cell r="L212">
            <v>0</v>
          </cell>
          <cell r="M212">
            <v>1440</v>
          </cell>
          <cell r="N212">
            <v>0</v>
          </cell>
          <cell r="O212">
            <v>0</v>
          </cell>
          <cell r="P212">
            <v>0</v>
          </cell>
          <cell r="Q212">
            <v>0</v>
          </cell>
          <cell r="R212">
            <v>0</v>
          </cell>
          <cell r="S212">
            <v>100442</v>
          </cell>
          <cell r="T212">
            <v>125.54999999999998</v>
          </cell>
          <cell r="U212">
            <v>0</v>
          </cell>
          <cell r="V212">
            <v>228</v>
          </cell>
          <cell r="W212">
            <v>11.399999999999999</v>
          </cell>
          <cell r="X212">
            <v>0</v>
          </cell>
          <cell r="Y212">
            <v>0</v>
          </cell>
          <cell r="Z212">
            <v>0</v>
          </cell>
          <cell r="AA212">
            <v>31033.570000000003</v>
          </cell>
        </row>
        <row r="218">
          <cell r="A218" t="str">
            <v>Rate C</v>
          </cell>
        </row>
        <row r="219">
          <cell r="A219" t="str">
            <v>Ameriqual Foods, Inc.</v>
          </cell>
          <cell r="B219">
            <v>37104</v>
          </cell>
          <cell r="C219">
            <v>4258</v>
          </cell>
          <cell r="D219">
            <v>4258</v>
          </cell>
          <cell r="E219" t="str">
            <v>N/A</v>
          </cell>
          <cell r="F219" t="str">
            <v>N/A</v>
          </cell>
          <cell r="G219">
            <v>7000</v>
          </cell>
          <cell r="H219">
            <v>7000</v>
          </cell>
          <cell r="I219" t="str">
            <v>N/A</v>
          </cell>
          <cell r="J219" t="str">
            <v>N/A</v>
          </cell>
          <cell r="K219">
            <v>2842</v>
          </cell>
          <cell r="L219">
            <v>0</v>
          </cell>
          <cell r="M219">
            <v>75</v>
          </cell>
          <cell r="N219">
            <v>0</v>
          </cell>
          <cell r="O219">
            <v>0</v>
          </cell>
          <cell r="P219">
            <v>0</v>
          </cell>
          <cell r="Q219">
            <v>0</v>
          </cell>
          <cell r="R219">
            <v>0</v>
          </cell>
          <cell r="S219">
            <v>7000</v>
          </cell>
          <cell r="T219">
            <v>21</v>
          </cell>
          <cell r="U219">
            <v>0</v>
          </cell>
          <cell r="V219">
            <v>35</v>
          </cell>
          <cell r="W219">
            <v>0</v>
          </cell>
          <cell r="X219">
            <v>0</v>
          </cell>
          <cell r="Y219">
            <v>0</v>
          </cell>
          <cell r="Z219">
            <v>0</v>
          </cell>
          <cell r="AA219">
            <v>2973</v>
          </cell>
        </row>
        <row r="220">
          <cell r="A220" t="str">
            <v>Ameriqual Foods, Inc.</v>
          </cell>
          <cell r="B220">
            <v>37135</v>
          </cell>
          <cell r="C220">
            <v>5631</v>
          </cell>
          <cell r="D220">
            <v>5631</v>
          </cell>
          <cell r="E220" t="str">
            <v>N/A</v>
          </cell>
          <cell r="F220" t="str">
            <v>N/A</v>
          </cell>
          <cell r="G220">
            <v>7000</v>
          </cell>
          <cell r="H220">
            <v>7000</v>
          </cell>
          <cell r="I220" t="str">
            <v>N/A</v>
          </cell>
          <cell r="J220" t="str">
            <v>N/A</v>
          </cell>
          <cell r="K220">
            <v>2842</v>
          </cell>
          <cell r="L220">
            <v>0</v>
          </cell>
          <cell r="M220">
            <v>75</v>
          </cell>
          <cell r="N220">
            <v>0</v>
          </cell>
          <cell r="O220">
            <v>0</v>
          </cell>
          <cell r="P220">
            <v>0</v>
          </cell>
          <cell r="Q220">
            <v>0</v>
          </cell>
          <cell r="R220">
            <v>0</v>
          </cell>
          <cell r="S220">
            <v>7000</v>
          </cell>
          <cell r="T220">
            <v>21</v>
          </cell>
          <cell r="U220">
            <v>0</v>
          </cell>
          <cell r="V220">
            <v>35</v>
          </cell>
          <cell r="W220">
            <v>0</v>
          </cell>
          <cell r="X220">
            <v>0</v>
          </cell>
          <cell r="Y220">
            <v>0</v>
          </cell>
          <cell r="Z220">
            <v>0</v>
          </cell>
          <cell r="AA220">
            <v>2973</v>
          </cell>
        </row>
        <row r="221">
          <cell r="A221" t="str">
            <v>Ameriqual Foods, Inc.</v>
          </cell>
          <cell r="B221">
            <v>37165</v>
          </cell>
          <cell r="C221">
            <v>7326</v>
          </cell>
          <cell r="D221">
            <v>7326</v>
          </cell>
          <cell r="E221" t="str">
            <v>N/A</v>
          </cell>
          <cell r="F221" t="str">
            <v>N/A</v>
          </cell>
          <cell r="G221">
            <v>7000</v>
          </cell>
          <cell r="H221">
            <v>7000</v>
          </cell>
          <cell r="I221" t="str">
            <v>N/A</v>
          </cell>
          <cell r="J221" t="str">
            <v>N/A</v>
          </cell>
          <cell r="K221">
            <v>2842</v>
          </cell>
          <cell r="L221">
            <v>0</v>
          </cell>
          <cell r="M221">
            <v>75</v>
          </cell>
          <cell r="N221">
            <v>0</v>
          </cell>
          <cell r="O221">
            <v>0</v>
          </cell>
          <cell r="P221">
            <v>0</v>
          </cell>
          <cell r="Q221">
            <v>0</v>
          </cell>
          <cell r="R221">
            <v>0</v>
          </cell>
          <cell r="S221">
            <v>7000</v>
          </cell>
          <cell r="T221">
            <v>21</v>
          </cell>
          <cell r="U221">
            <v>0</v>
          </cell>
          <cell r="V221">
            <v>35</v>
          </cell>
          <cell r="W221">
            <v>0</v>
          </cell>
          <cell r="X221">
            <v>0</v>
          </cell>
          <cell r="Y221">
            <v>0</v>
          </cell>
          <cell r="Z221">
            <v>0</v>
          </cell>
          <cell r="AA221">
            <v>2973</v>
          </cell>
        </row>
        <row r="222">
          <cell r="A222" t="str">
            <v>Ameriqual Foods, Inc.</v>
          </cell>
          <cell r="B222">
            <v>37196</v>
          </cell>
          <cell r="C222">
            <v>8187</v>
          </cell>
          <cell r="D222">
            <v>8187</v>
          </cell>
          <cell r="E222" t="str">
            <v>N/A</v>
          </cell>
          <cell r="F222" t="str">
            <v>N/A</v>
          </cell>
          <cell r="G222">
            <v>7000</v>
          </cell>
          <cell r="H222">
            <v>7000</v>
          </cell>
          <cell r="I222" t="str">
            <v>N/A</v>
          </cell>
          <cell r="J222" t="str">
            <v>N/A</v>
          </cell>
          <cell r="K222">
            <v>2842</v>
          </cell>
          <cell r="L222">
            <v>0</v>
          </cell>
          <cell r="M222">
            <v>75</v>
          </cell>
          <cell r="N222">
            <v>0</v>
          </cell>
          <cell r="O222">
            <v>0</v>
          </cell>
          <cell r="P222">
            <v>0</v>
          </cell>
          <cell r="Q222">
            <v>0</v>
          </cell>
          <cell r="R222">
            <v>0</v>
          </cell>
          <cell r="S222">
            <v>7000</v>
          </cell>
          <cell r="T222">
            <v>21</v>
          </cell>
          <cell r="U222">
            <v>0</v>
          </cell>
          <cell r="V222">
            <v>35</v>
          </cell>
          <cell r="W222">
            <v>0</v>
          </cell>
          <cell r="X222">
            <v>0</v>
          </cell>
          <cell r="Y222">
            <v>0</v>
          </cell>
          <cell r="Z222">
            <v>0</v>
          </cell>
          <cell r="AA222">
            <v>2973</v>
          </cell>
        </row>
        <row r="223">
          <cell r="A223" t="str">
            <v>Ameriqual Foods, Inc.</v>
          </cell>
          <cell r="B223">
            <v>37226</v>
          </cell>
          <cell r="C223">
            <v>6530</v>
          </cell>
          <cell r="D223">
            <v>6530</v>
          </cell>
          <cell r="E223" t="str">
            <v>N/A</v>
          </cell>
          <cell r="F223" t="str">
            <v>N/A</v>
          </cell>
          <cell r="G223">
            <v>7000</v>
          </cell>
          <cell r="H223">
            <v>7000</v>
          </cell>
          <cell r="I223" t="str">
            <v>N/A</v>
          </cell>
          <cell r="J223" t="str">
            <v>N/A</v>
          </cell>
          <cell r="K223">
            <v>2842</v>
          </cell>
          <cell r="L223">
            <v>0</v>
          </cell>
          <cell r="M223">
            <v>75</v>
          </cell>
          <cell r="N223">
            <v>0</v>
          </cell>
          <cell r="O223">
            <v>0</v>
          </cell>
          <cell r="P223">
            <v>0</v>
          </cell>
          <cell r="Q223">
            <v>0</v>
          </cell>
          <cell r="R223">
            <v>0</v>
          </cell>
          <cell r="S223">
            <v>7000</v>
          </cell>
          <cell r="T223">
            <v>21</v>
          </cell>
          <cell r="U223">
            <v>0</v>
          </cell>
          <cell r="V223">
            <v>35</v>
          </cell>
          <cell r="W223">
            <v>0</v>
          </cell>
          <cell r="X223">
            <v>0</v>
          </cell>
          <cell r="Y223">
            <v>0</v>
          </cell>
          <cell r="Z223">
            <v>0</v>
          </cell>
          <cell r="AA223">
            <v>2973</v>
          </cell>
        </row>
        <row r="224">
          <cell r="A224" t="str">
            <v>Ameriqual Foods, Inc.</v>
          </cell>
          <cell r="B224">
            <v>37257</v>
          </cell>
          <cell r="C224">
            <v>8406</v>
          </cell>
          <cell r="D224">
            <v>8406</v>
          </cell>
          <cell r="E224" t="str">
            <v>N/A</v>
          </cell>
          <cell r="F224" t="str">
            <v>N/A</v>
          </cell>
          <cell r="G224">
            <v>7000</v>
          </cell>
          <cell r="H224">
            <v>7000</v>
          </cell>
          <cell r="I224" t="str">
            <v>N/A</v>
          </cell>
          <cell r="J224" t="str">
            <v>N/A</v>
          </cell>
          <cell r="K224">
            <v>2842</v>
          </cell>
          <cell r="L224">
            <v>0</v>
          </cell>
          <cell r="M224">
            <v>75</v>
          </cell>
          <cell r="N224">
            <v>0</v>
          </cell>
          <cell r="O224">
            <v>0</v>
          </cell>
          <cell r="P224">
            <v>0</v>
          </cell>
          <cell r="Q224">
            <v>0</v>
          </cell>
          <cell r="R224">
            <v>0</v>
          </cell>
          <cell r="S224">
            <v>7000</v>
          </cell>
          <cell r="T224">
            <v>21</v>
          </cell>
          <cell r="U224">
            <v>0</v>
          </cell>
          <cell r="V224">
            <v>35</v>
          </cell>
          <cell r="W224">
            <v>0</v>
          </cell>
          <cell r="X224">
            <v>0</v>
          </cell>
          <cell r="Y224">
            <v>0</v>
          </cell>
          <cell r="Z224">
            <v>0</v>
          </cell>
          <cell r="AA224">
            <v>2973</v>
          </cell>
        </row>
        <row r="225">
          <cell r="A225" t="str">
            <v>Ameriqual Foods, Inc.</v>
          </cell>
          <cell r="B225">
            <v>37288</v>
          </cell>
          <cell r="C225">
            <v>6625</v>
          </cell>
          <cell r="D225">
            <v>6625</v>
          </cell>
          <cell r="E225" t="str">
            <v>N/A</v>
          </cell>
          <cell r="F225" t="str">
            <v>N/A</v>
          </cell>
          <cell r="G225">
            <v>7074</v>
          </cell>
          <cell r="H225">
            <v>7074</v>
          </cell>
          <cell r="I225" t="str">
            <v>N/A</v>
          </cell>
          <cell r="J225" t="str">
            <v>N/A</v>
          </cell>
          <cell r="K225">
            <v>2872.04</v>
          </cell>
          <cell r="L225">
            <v>0</v>
          </cell>
          <cell r="M225">
            <v>75</v>
          </cell>
          <cell r="N225">
            <v>0</v>
          </cell>
          <cell r="O225">
            <v>0</v>
          </cell>
          <cell r="P225">
            <v>0</v>
          </cell>
          <cell r="Q225">
            <v>0</v>
          </cell>
          <cell r="R225">
            <v>0</v>
          </cell>
          <cell r="S225">
            <v>7074</v>
          </cell>
          <cell r="T225">
            <v>-7.07</v>
          </cell>
          <cell r="U225">
            <v>0</v>
          </cell>
          <cell r="V225">
            <v>35</v>
          </cell>
          <cell r="W225">
            <v>0</v>
          </cell>
          <cell r="X225">
            <v>0</v>
          </cell>
          <cell r="Y225">
            <v>0</v>
          </cell>
          <cell r="Z225">
            <v>0</v>
          </cell>
          <cell r="AA225">
            <v>2974.97</v>
          </cell>
        </row>
        <row r="226">
          <cell r="A226" t="str">
            <v>Ameriqual Foods, Inc.</v>
          </cell>
          <cell r="B226">
            <v>37316</v>
          </cell>
          <cell r="C226">
            <v>6527</v>
          </cell>
          <cell r="D226">
            <v>6527</v>
          </cell>
          <cell r="E226" t="str">
            <v>N/A</v>
          </cell>
          <cell r="F226" t="str">
            <v>N/A</v>
          </cell>
          <cell r="G226">
            <v>7006</v>
          </cell>
          <cell r="H226">
            <v>7006</v>
          </cell>
          <cell r="I226" t="str">
            <v>N/A</v>
          </cell>
          <cell r="J226" t="str">
            <v>N/A</v>
          </cell>
          <cell r="K226">
            <v>2844.44</v>
          </cell>
          <cell r="L226">
            <v>0</v>
          </cell>
          <cell r="M226">
            <v>75</v>
          </cell>
          <cell r="N226">
            <v>0</v>
          </cell>
          <cell r="O226">
            <v>0</v>
          </cell>
          <cell r="P226">
            <v>0</v>
          </cell>
          <cell r="Q226">
            <v>0</v>
          </cell>
          <cell r="R226">
            <v>0</v>
          </cell>
          <cell r="S226">
            <v>7006</v>
          </cell>
          <cell r="T226">
            <v>-7.01</v>
          </cell>
          <cell r="U226">
            <v>0</v>
          </cell>
          <cell r="V226">
            <v>35</v>
          </cell>
          <cell r="W226">
            <v>0</v>
          </cell>
          <cell r="X226">
            <v>0</v>
          </cell>
          <cell r="Y226">
            <v>0</v>
          </cell>
          <cell r="Z226">
            <v>0</v>
          </cell>
          <cell r="AA226">
            <v>2947.43</v>
          </cell>
        </row>
        <row r="227">
          <cell r="A227" t="str">
            <v>Ameriqual Foods, Inc.</v>
          </cell>
          <cell r="B227">
            <v>37347</v>
          </cell>
          <cell r="C227">
            <v>5278</v>
          </cell>
          <cell r="D227">
            <v>5278</v>
          </cell>
          <cell r="E227" t="str">
            <v>N/A</v>
          </cell>
          <cell r="F227" t="str">
            <v>N/A</v>
          </cell>
          <cell r="G227">
            <v>7000</v>
          </cell>
          <cell r="H227">
            <v>7000</v>
          </cell>
          <cell r="I227" t="str">
            <v>N/A</v>
          </cell>
          <cell r="J227" t="str">
            <v>N/A</v>
          </cell>
          <cell r="K227">
            <v>2842</v>
          </cell>
          <cell r="L227">
            <v>0</v>
          </cell>
          <cell r="M227">
            <v>75</v>
          </cell>
          <cell r="N227">
            <v>0</v>
          </cell>
          <cell r="O227">
            <v>0</v>
          </cell>
          <cell r="P227">
            <v>0</v>
          </cell>
          <cell r="Q227">
            <v>0</v>
          </cell>
          <cell r="R227">
            <v>0</v>
          </cell>
          <cell r="S227">
            <v>7000</v>
          </cell>
          <cell r="T227">
            <v>-7</v>
          </cell>
          <cell r="U227">
            <v>0</v>
          </cell>
          <cell r="V227">
            <v>35</v>
          </cell>
          <cell r="W227">
            <v>0</v>
          </cell>
          <cell r="X227">
            <v>0</v>
          </cell>
          <cell r="Y227">
            <v>0</v>
          </cell>
          <cell r="Z227">
            <v>0</v>
          </cell>
          <cell r="AA227">
            <v>2945</v>
          </cell>
        </row>
        <row r="228">
          <cell r="A228" t="str">
            <v>Ameriqual Foods, Inc.</v>
          </cell>
          <cell r="B228">
            <v>37377</v>
          </cell>
          <cell r="C228">
            <v>5489</v>
          </cell>
          <cell r="D228">
            <v>5489</v>
          </cell>
          <cell r="E228" t="str">
            <v>N/A</v>
          </cell>
          <cell r="F228" t="str">
            <v>N/A</v>
          </cell>
          <cell r="G228">
            <v>7000</v>
          </cell>
          <cell r="H228">
            <v>7000</v>
          </cell>
          <cell r="I228" t="str">
            <v>N/A</v>
          </cell>
          <cell r="J228" t="str">
            <v>N/A</v>
          </cell>
          <cell r="K228">
            <v>2842</v>
          </cell>
          <cell r="L228">
            <v>0</v>
          </cell>
          <cell r="M228">
            <v>75</v>
          </cell>
          <cell r="N228">
            <v>0</v>
          </cell>
          <cell r="O228">
            <v>0</v>
          </cell>
          <cell r="P228">
            <v>0</v>
          </cell>
          <cell r="Q228">
            <v>0</v>
          </cell>
          <cell r="R228">
            <v>0</v>
          </cell>
          <cell r="S228">
            <v>0</v>
          </cell>
          <cell r="T228">
            <v>0</v>
          </cell>
          <cell r="U228">
            <v>0</v>
          </cell>
          <cell r="V228">
            <v>35</v>
          </cell>
          <cell r="W228">
            <v>0</v>
          </cell>
          <cell r="X228">
            <v>0</v>
          </cell>
          <cell r="Y228">
            <v>0</v>
          </cell>
          <cell r="Z228">
            <v>0</v>
          </cell>
          <cell r="AA228">
            <v>2952</v>
          </cell>
        </row>
        <row r="229">
          <cell r="A229" t="str">
            <v>Ameriqual Foods, Inc.</v>
          </cell>
          <cell r="B229">
            <v>37408</v>
          </cell>
          <cell r="C229">
            <v>4538</v>
          </cell>
          <cell r="D229">
            <v>4538</v>
          </cell>
          <cell r="E229" t="str">
            <v>N/A</v>
          </cell>
          <cell r="F229" t="str">
            <v>N/A</v>
          </cell>
          <cell r="G229">
            <v>7000</v>
          </cell>
          <cell r="H229">
            <v>7000</v>
          </cell>
          <cell r="I229" t="str">
            <v>N/A</v>
          </cell>
          <cell r="J229" t="str">
            <v>N/A</v>
          </cell>
          <cell r="K229">
            <v>2842</v>
          </cell>
          <cell r="L229">
            <v>0</v>
          </cell>
          <cell r="M229">
            <v>75</v>
          </cell>
          <cell r="N229">
            <v>0</v>
          </cell>
          <cell r="O229">
            <v>0</v>
          </cell>
          <cell r="P229">
            <v>0</v>
          </cell>
          <cell r="Q229">
            <v>0</v>
          </cell>
          <cell r="R229">
            <v>0</v>
          </cell>
          <cell r="S229">
            <v>0</v>
          </cell>
          <cell r="T229">
            <v>0</v>
          </cell>
          <cell r="U229">
            <v>0</v>
          </cell>
          <cell r="V229">
            <v>35</v>
          </cell>
          <cell r="W229">
            <v>0</v>
          </cell>
          <cell r="X229">
            <v>0</v>
          </cell>
          <cell r="Y229">
            <v>0</v>
          </cell>
          <cell r="Z229">
            <v>0</v>
          </cell>
          <cell r="AA229">
            <v>2952</v>
          </cell>
        </row>
        <row r="230">
          <cell r="A230" t="str">
            <v>Ameriqual Foods, Inc.</v>
          </cell>
          <cell r="B230">
            <v>37438</v>
          </cell>
          <cell r="C230">
            <v>4101</v>
          </cell>
          <cell r="D230">
            <v>4101</v>
          </cell>
          <cell r="E230" t="str">
            <v>N/A</v>
          </cell>
          <cell r="F230" t="str">
            <v>N/A</v>
          </cell>
          <cell r="G230">
            <v>7000</v>
          </cell>
          <cell r="H230">
            <v>7000</v>
          </cell>
          <cell r="I230" t="str">
            <v>N/A</v>
          </cell>
          <cell r="J230" t="str">
            <v>N/A</v>
          </cell>
          <cell r="K230">
            <v>2842</v>
          </cell>
          <cell r="L230">
            <v>0</v>
          </cell>
          <cell r="M230">
            <v>75</v>
          </cell>
          <cell r="N230">
            <v>0</v>
          </cell>
          <cell r="O230">
            <v>0</v>
          </cell>
          <cell r="P230">
            <v>0</v>
          </cell>
          <cell r="Q230">
            <v>0</v>
          </cell>
          <cell r="R230">
            <v>0</v>
          </cell>
          <cell r="S230">
            <v>0</v>
          </cell>
          <cell r="T230">
            <v>0</v>
          </cell>
          <cell r="U230">
            <v>0</v>
          </cell>
          <cell r="V230">
            <v>35</v>
          </cell>
          <cell r="W230">
            <v>0</v>
          </cell>
          <cell r="X230">
            <v>0</v>
          </cell>
          <cell r="Y230">
            <v>0</v>
          </cell>
          <cell r="Z230">
            <v>0</v>
          </cell>
          <cell r="AA230">
            <v>2952</v>
          </cell>
        </row>
        <row r="231">
          <cell r="A231" t="str">
            <v>AMROX</v>
          </cell>
          <cell r="B231">
            <v>37104</v>
          </cell>
          <cell r="C231">
            <v>17583</v>
          </cell>
          <cell r="D231">
            <v>17583</v>
          </cell>
          <cell r="E231" t="str">
            <v>N/A</v>
          </cell>
          <cell r="F231" t="str">
            <v>N/A</v>
          </cell>
          <cell r="G231">
            <v>15700</v>
          </cell>
          <cell r="H231">
            <v>15700</v>
          </cell>
          <cell r="I231" t="str">
            <v>N/A</v>
          </cell>
          <cell r="J231" t="str">
            <v>N/A</v>
          </cell>
          <cell r="K231">
            <v>6374.2</v>
          </cell>
          <cell r="L231">
            <v>0</v>
          </cell>
          <cell r="M231">
            <v>75</v>
          </cell>
          <cell r="N231">
            <v>0</v>
          </cell>
          <cell r="O231">
            <v>0</v>
          </cell>
          <cell r="P231">
            <v>0</v>
          </cell>
          <cell r="Q231">
            <v>0</v>
          </cell>
          <cell r="R231">
            <v>0</v>
          </cell>
          <cell r="S231">
            <v>15700</v>
          </cell>
          <cell r="T231">
            <v>47.1</v>
          </cell>
          <cell r="U231">
            <v>0</v>
          </cell>
          <cell r="V231">
            <v>35</v>
          </cell>
          <cell r="W231">
            <v>1.75</v>
          </cell>
          <cell r="X231">
            <v>0</v>
          </cell>
          <cell r="Y231">
            <v>0</v>
          </cell>
          <cell r="Z231">
            <v>0</v>
          </cell>
          <cell r="AA231">
            <v>6533.05</v>
          </cell>
        </row>
        <row r="232">
          <cell r="A232" t="str">
            <v>AMROX</v>
          </cell>
          <cell r="B232">
            <v>37135</v>
          </cell>
          <cell r="C232">
            <v>16772</v>
          </cell>
          <cell r="D232">
            <v>16772</v>
          </cell>
          <cell r="E232" t="str">
            <v>N/A</v>
          </cell>
          <cell r="F232" t="str">
            <v>N/A</v>
          </cell>
          <cell r="G232">
            <v>17400</v>
          </cell>
          <cell r="H232">
            <v>17400</v>
          </cell>
          <cell r="I232" t="str">
            <v>N/A</v>
          </cell>
          <cell r="J232" t="str">
            <v>N/A</v>
          </cell>
          <cell r="K232">
            <v>7064.4</v>
          </cell>
          <cell r="L232">
            <v>0</v>
          </cell>
          <cell r="M232">
            <v>75</v>
          </cell>
          <cell r="N232">
            <v>0</v>
          </cell>
          <cell r="O232">
            <v>0</v>
          </cell>
          <cell r="P232">
            <v>0</v>
          </cell>
          <cell r="Q232">
            <v>0</v>
          </cell>
          <cell r="R232">
            <v>0</v>
          </cell>
          <cell r="S232">
            <v>17400</v>
          </cell>
          <cell r="T232">
            <v>52.2</v>
          </cell>
          <cell r="U232">
            <v>0</v>
          </cell>
          <cell r="V232">
            <v>35</v>
          </cell>
          <cell r="W232">
            <v>1.75</v>
          </cell>
          <cell r="X232">
            <v>0</v>
          </cell>
          <cell r="Y232">
            <v>0</v>
          </cell>
          <cell r="Z232">
            <v>0</v>
          </cell>
          <cell r="AA232">
            <v>7228.35</v>
          </cell>
        </row>
        <row r="233">
          <cell r="A233" t="str">
            <v>AMROX</v>
          </cell>
          <cell r="B233">
            <v>37165</v>
          </cell>
          <cell r="C233">
            <v>17353</v>
          </cell>
          <cell r="D233">
            <v>17353</v>
          </cell>
          <cell r="E233" t="str">
            <v>N/A</v>
          </cell>
          <cell r="F233" t="str">
            <v>N/A</v>
          </cell>
          <cell r="G233">
            <v>18600</v>
          </cell>
          <cell r="H233">
            <v>18600</v>
          </cell>
          <cell r="I233" t="str">
            <v>N/A</v>
          </cell>
          <cell r="J233" t="str">
            <v>N/A</v>
          </cell>
          <cell r="K233">
            <v>7551.6</v>
          </cell>
          <cell r="L233">
            <v>0</v>
          </cell>
          <cell r="M233">
            <v>75</v>
          </cell>
          <cell r="N233">
            <v>0</v>
          </cell>
          <cell r="O233">
            <v>0</v>
          </cell>
          <cell r="P233">
            <v>0</v>
          </cell>
          <cell r="Q233">
            <v>0</v>
          </cell>
          <cell r="R233">
            <v>0</v>
          </cell>
          <cell r="S233">
            <v>18600</v>
          </cell>
          <cell r="T233">
            <v>55.8</v>
          </cell>
          <cell r="U233">
            <v>0</v>
          </cell>
          <cell r="V233">
            <v>35</v>
          </cell>
          <cell r="W233">
            <v>1.75</v>
          </cell>
          <cell r="X233">
            <v>0</v>
          </cell>
          <cell r="Y233">
            <v>0</v>
          </cell>
          <cell r="Z233">
            <v>0</v>
          </cell>
          <cell r="AA233">
            <v>7719.15</v>
          </cell>
        </row>
        <row r="234">
          <cell r="A234" t="str">
            <v>AMROX</v>
          </cell>
          <cell r="B234">
            <v>37196</v>
          </cell>
          <cell r="C234">
            <v>16137</v>
          </cell>
          <cell r="D234">
            <v>16137</v>
          </cell>
          <cell r="E234" t="str">
            <v>N/A</v>
          </cell>
          <cell r="F234" t="str">
            <v>N/A</v>
          </cell>
          <cell r="G234">
            <v>17200</v>
          </cell>
          <cell r="H234">
            <v>17200</v>
          </cell>
          <cell r="I234" t="str">
            <v>N/A</v>
          </cell>
          <cell r="J234" t="str">
            <v>N/A</v>
          </cell>
          <cell r="K234">
            <v>6983.2</v>
          </cell>
          <cell r="L234">
            <v>0</v>
          </cell>
          <cell r="M234">
            <v>75</v>
          </cell>
          <cell r="N234">
            <v>0</v>
          </cell>
          <cell r="O234">
            <v>0</v>
          </cell>
          <cell r="P234">
            <v>0</v>
          </cell>
          <cell r="Q234">
            <v>0</v>
          </cell>
          <cell r="R234">
            <v>0</v>
          </cell>
          <cell r="S234">
            <v>17200</v>
          </cell>
          <cell r="T234">
            <v>51.6</v>
          </cell>
          <cell r="U234">
            <v>0</v>
          </cell>
          <cell r="V234">
            <v>35</v>
          </cell>
          <cell r="W234">
            <v>1.75</v>
          </cell>
          <cell r="X234">
            <v>31999.22</v>
          </cell>
          <cell r="Y234">
            <v>0</v>
          </cell>
          <cell r="Z234">
            <v>0</v>
          </cell>
          <cell r="AA234">
            <v>39145.769999999997</v>
          </cell>
        </row>
        <row r="235">
          <cell r="A235" t="str">
            <v>AMROX</v>
          </cell>
          <cell r="B235">
            <v>37226</v>
          </cell>
          <cell r="C235">
            <v>17267</v>
          </cell>
          <cell r="D235">
            <v>17267</v>
          </cell>
          <cell r="E235" t="str">
            <v>N/A</v>
          </cell>
          <cell r="F235" t="str">
            <v>N/A</v>
          </cell>
          <cell r="G235">
            <v>16600</v>
          </cell>
          <cell r="H235">
            <v>16600</v>
          </cell>
          <cell r="I235" t="str">
            <v>N/A</v>
          </cell>
          <cell r="J235" t="str">
            <v>N/A</v>
          </cell>
          <cell r="K235">
            <v>6739.6</v>
          </cell>
          <cell r="L235">
            <v>0</v>
          </cell>
          <cell r="M235">
            <v>75</v>
          </cell>
          <cell r="N235">
            <v>0</v>
          </cell>
          <cell r="O235">
            <v>0</v>
          </cell>
          <cell r="P235">
            <v>0</v>
          </cell>
          <cell r="Q235">
            <v>0</v>
          </cell>
          <cell r="R235">
            <v>0</v>
          </cell>
          <cell r="S235">
            <v>16600</v>
          </cell>
          <cell r="T235">
            <v>49.8</v>
          </cell>
          <cell r="U235">
            <v>0</v>
          </cell>
          <cell r="V235">
            <v>35</v>
          </cell>
          <cell r="W235">
            <v>1.75</v>
          </cell>
          <cell r="X235">
            <v>31426.62</v>
          </cell>
          <cell r="Y235">
            <v>0</v>
          </cell>
          <cell r="Z235">
            <v>0</v>
          </cell>
          <cell r="AA235">
            <v>38327.769999999997</v>
          </cell>
        </row>
        <row r="236">
          <cell r="A236" t="str">
            <v>AMROX</v>
          </cell>
          <cell r="B236">
            <v>37257</v>
          </cell>
          <cell r="C236">
            <v>18135</v>
          </cell>
          <cell r="D236">
            <v>18135</v>
          </cell>
          <cell r="E236" t="str">
            <v>N/A</v>
          </cell>
          <cell r="F236" t="str">
            <v>N/A</v>
          </cell>
          <cell r="G236">
            <v>18600</v>
          </cell>
          <cell r="H236">
            <v>18600</v>
          </cell>
          <cell r="I236" t="str">
            <v>N/A</v>
          </cell>
          <cell r="J236" t="str">
            <v>N/A</v>
          </cell>
          <cell r="K236">
            <v>7551.6</v>
          </cell>
          <cell r="L236">
            <v>0</v>
          </cell>
          <cell r="M236">
            <v>75</v>
          </cell>
          <cell r="N236">
            <v>0</v>
          </cell>
          <cell r="O236">
            <v>0</v>
          </cell>
          <cell r="P236">
            <v>0</v>
          </cell>
          <cell r="Q236">
            <v>0</v>
          </cell>
          <cell r="R236">
            <v>0</v>
          </cell>
          <cell r="S236">
            <v>18600</v>
          </cell>
          <cell r="T236">
            <v>55.8</v>
          </cell>
          <cell r="U236">
            <v>0</v>
          </cell>
          <cell r="V236">
            <v>35</v>
          </cell>
          <cell r="W236">
            <v>1.75</v>
          </cell>
          <cell r="X236">
            <v>31181.22</v>
          </cell>
          <cell r="Y236">
            <v>0</v>
          </cell>
          <cell r="Z236">
            <v>0</v>
          </cell>
          <cell r="AA236">
            <v>38900.370000000003</v>
          </cell>
        </row>
        <row r="237">
          <cell r="A237" t="str">
            <v>AMROX</v>
          </cell>
          <cell r="B237">
            <v>37288</v>
          </cell>
          <cell r="C237">
            <v>16522</v>
          </cell>
          <cell r="D237">
            <v>16522</v>
          </cell>
          <cell r="E237" t="str">
            <v>N/A</v>
          </cell>
          <cell r="F237" t="str">
            <v>N/A</v>
          </cell>
          <cell r="G237">
            <v>16800</v>
          </cell>
          <cell r="H237">
            <v>16800</v>
          </cell>
          <cell r="I237" t="str">
            <v>N/A</v>
          </cell>
          <cell r="J237" t="str">
            <v>N/A</v>
          </cell>
          <cell r="K237">
            <v>6820.8</v>
          </cell>
          <cell r="L237">
            <v>0</v>
          </cell>
          <cell r="M237">
            <v>75</v>
          </cell>
          <cell r="N237">
            <v>0</v>
          </cell>
          <cell r="O237">
            <v>0</v>
          </cell>
          <cell r="P237">
            <v>0</v>
          </cell>
          <cell r="Q237">
            <v>0</v>
          </cell>
          <cell r="R237">
            <v>0</v>
          </cell>
          <cell r="S237">
            <v>16800</v>
          </cell>
          <cell r="T237">
            <v>-16.8</v>
          </cell>
          <cell r="U237">
            <v>0</v>
          </cell>
          <cell r="V237">
            <v>35</v>
          </cell>
          <cell r="W237">
            <v>1.75</v>
          </cell>
          <cell r="X237">
            <v>31999.22</v>
          </cell>
          <cell r="Y237">
            <v>0</v>
          </cell>
          <cell r="Z237">
            <v>0</v>
          </cell>
          <cell r="AA237">
            <v>38914.97</v>
          </cell>
        </row>
        <row r="238">
          <cell r="A238" t="str">
            <v>AMROX</v>
          </cell>
          <cell r="B238">
            <v>37316</v>
          </cell>
          <cell r="C238">
            <v>16974</v>
          </cell>
          <cell r="D238">
            <v>16974</v>
          </cell>
          <cell r="E238" t="str">
            <v>N/A</v>
          </cell>
          <cell r="F238" t="str">
            <v>N/A</v>
          </cell>
          <cell r="G238">
            <v>16400</v>
          </cell>
          <cell r="H238">
            <v>16400</v>
          </cell>
          <cell r="I238" t="str">
            <v>N/A</v>
          </cell>
          <cell r="J238" t="str">
            <v>N/A</v>
          </cell>
          <cell r="K238">
            <v>6658.4</v>
          </cell>
          <cell r="L238">
            <v>0</v>
          </cell>
          <cell r="M238">
            <v>75</v>
          </cell>
          <cell r="N238">
            <v>0</v>
          </cell>
          <cell r="O238">
            <v>0</v>
          </cell>
          <cell r="P238">
            <v>0</v>
          </cell>
          <cell r="Q238">
            <v>0</v>
          </cell>
          <cell r="R238">
            <v>0</v>
          </cell>
          <cell r="S238">
            <v>16400</v>
          </cell>
          <cell r="T238">
            <v>-16.399999999999999</v>
          </cell>
          <cell r="U238">
            <v>0</v>
          </cell>
          <cell r="V238">
            <v>35</v>
          </cell>
          <cell r="W238">
            <v>1.75</v>
          </cell>
          <cell r="X238">
            <v>0</v>
          </cell>
          <cell r="Y238">
            <v>0</v>
          </cell>
          <cell r="Z238">
            <v>0</v>
          </cell>
          <cell r="AA238">
            <v>6753.75</v>
          </cell>
        </row>
        <row r="239">
          <cell r="A239" t="str">
            <v>AMROX</v>
          </cell>
          <cell r="B239">
            <v>37347</v>
          </cell>
          <cell r="C239">
            <v>18812</v>
          </cell>
          <cell r="D239">
            <v>18812</v>
          </cell>
          <cell r="E239" t="str">
            <v>N/A</v>
          </cell>
          <cell r="F239" t="str">
            <v>N/A</v>
          </cell>
          <cell r="G239">
            <v>18960</v>
          </cell>
          <cell r="H239">
            <v>18960</v>
          </cell>
          <cell r="I239" t="str">
            <v>N/A</v>
          </cell>
          <cell r="J239" t="str">
            <v>N/A</v>
          </cell>
          <cell r="K239">
            <v>7697.72</v>
          </cell>
          <cell r="L239">
            <v>0</v>
          </cell>
          <cell r="M239">
            <v>75</v>
          </cell>
          <cell r="N239">
            <v>0</v>
          </cell>
          <cell r="O239">
            <v>0</v>
          </cell>
          <cell r="P239">
            <v>0</v>
          </cell>
          <cell r="Q239">
            <v>0</v>
          </cell>
          <cell r="R239">
            <v>0</v>
          </cell>
          <cell r="S239">
            <v>18960</v>
          </cell>
          <cell r="T239">
            <v>-19.439999999999998</v>
          </cell>
          <cell r="U239">
            <v>0</v>
          </cell>
          <cell r="V239">
            <v>35</v>
          </cell>
          <cell r="W239">
            <v>1.75</v>
          </cell>
          <cell r="X239">
            <v>37949.660000000003</v>
          </cell>
          <cell r="Y239">
            <v>0</v>
          </cell>
          <cell r="Z239">
            <v>0</v>
          </cell>
          <cell r="AA239">
            <v>45740.509999999995</v>
          </cell>
        </row>
        <row r="240">
          <cell r="A240" t="str">
            <v>AMROX</v>
          </cell>
          <cell r="B240">
            <v>37377</v>
          </cell>
          <cell r="C240">
            <v>19068</v>
          </cell>
          <cell r="D240">
            <v>19068</v>
          </cell>
          <cell r="E240" t="str">
            <v>N/A</v>
          </cell>
          <cell r="F240" t="str">
            <v>N/A</v>
          </cell>
          <cell r="G240">
            <v>19800</v>
          </cell>
          <cell r="H240">
            <v>19800</v>
          </cell>
          <cell r="I240" t="str">
            <v>N/A</v>
          </cell>
          <cell r="J240" t="str">
            <v>N/A</v>
          </cell>
          <cell r="K240">
            <v>8038.8</v>
          </cell>
          <cell r="L240">
            <v>0</v>
          </cell>
          <cell r="M240">
            <v>75</v>
          </cell>
          <cell r="N240">
            <v>0</v>
          </cell>
          <cell r="O240">
            <v>0</v>
          </cell>
          <cell r="P240">
            <v>0</v>
          </cell>
          <cell r="Q240">
            <v>0</v>
          </cell>
          <cell r="R240">
            <v>0</v>
          </cell>
          <cell r="S240">
            <v>0</v>
          </cell>
          <cell r="T240">
            <v>0</v>
          </cell>
          <cell r="U240">
            <v>0</v>
          </cell>
          <cell r="V240">
            <v>35</v>
          </cell>
          <cell r="W240">
            <v>1.75</v>
          </cell>
          <cell r="X240">
            <v>0</v>
          </cell>
          <cell r="Y240">
            <v>0</v>
          </cell>
          <cell r="Z240">
            <v>0</v>
          </cell>
          <cell r="AA240">
            <v>8150.55</v>
          </cell>
        </row>
        <row r="241">
          <cell r="A241" t="str">
            <v>AMROX</v>
          </cell>
          <cell r="B241">
            <v>37408</v>
          </cell>
          <cell r="C241">
            <v>17874</v>
          </cell>
          <cell r="D241">
            <v>17874</v>
          </cell>
          <cell r="E241" t="str">
            <v>N/A</v>
          </cell>
          <cell r="F241" t="str">
            <v>N/A</v>
          </cell>
          <cell r="G241">
            <v>18000</v>
          </cell>
          <cell r="H241">
            <v>18000</v>
          </cell>
          <cell r="I241" t="str">
            <v>N/A</v>
          </cell>
          <cell r="J241" t="str">
            <v>N/A</v>
          </cell>
          <cell r="K241">
            <v>7308</v>
          </cell>
          <cell r="L241">
            <v>0</v>
          </cell>
          <cell r="M241">
            <v>75</v>
          </cell>
          <cell r="N241">
            <v>0</v>
          </cell>
          <cell r="O241">
            <v>0</v>
          </cell>
          <cell r="P241">
            <v>0</v>
          </cell>
          <cell r="Q241">
            <v>0</v>
          </cell>
          <cell r="R241">
            <v>0</v>
          </cell>
          <cell r="S241">
            <v>0</v>
          </cell>
          <cell r="T241">
            <v>0</v>
          </cell>
          <cell r="U241">
            <v>0</v>
          </cell>
          <cell r="V241">
            <v>35</v>
          </cell>
          <cell r="W241">
            <v>1.75</v>
          </cell>
          <cell r="X241">
            <v>0</v>
          </cell>
          <cell r="Y241">
            <v>0</v>
          </cell>
          <cell r="Z241">
            <v>0</v>
          </cell>
          <cell r="AA241">
            <v>7419.75</v>
          </cell>
        </row>
        <row r="242">
          <cell r="A242" t="str">
            <v>AMROX</v>
          </cell>
          <cell r="B242">
            <v>37438</v>
          </cell>
          <cell r="C242">
            <v>16725</v>
          </cell>
          <cell r="D242">
            <v>16725</v>
          </cell>
          <cell r="E242" t="str">
            <v>N/A</v>
          </cell>
          <cell r="F242" t="str">
            <v>N/A</v>
          </cell>
          <cell r="G242">
            <v>17900</v>
          </cell>
          <cell r="H242">
            <v>17900</v>
          </cell>
          <cell r="I242" t="str">
            <v>N/A</v>
          </cell>
          <cell r="J242" t="str">
            <v>N/A</v>
          </cell>
          <cell r="K242">
            <v>7267.4</v>
          </cell>
          <cell r="L242">
            <v>0</v>
          </cell>
          <cell r="M242">
            <v>75</v>
          </cell>
          <cell r="N242">
            <v>0</v>
          </cell>
          <cell r="O242">
            <v>0</v>
          </cell>
          <cell r="P242">
            <v>0</v>
          </cell>
          <cell r="Q242">
            <v>0</v>
          </cell>
          <cell r="R242">
            <v>0</v>
          </cell>
          <cell r="S242">
            <v>0</v>
          </cell>
          <cell r="T242">
            <v>0</v>
          </cell>
          <cell r="U242">
            <v>0</v>
          </cell>
          <cell r="V242">
            <v>35</v>
          </cell>
          <cell r="W242">
            <v>1.75</v>
          </cell>
          <cell r="X242">
            <v>0</v>
          </cell>
          <cell r="Y242">
            <v>0</v>
          </cell>
          <cell r="Z242">
            <v>0</v>
          </cell>
          <cell r="AA242">
            <v>7379.15</v>
          </cell>
        </row>
        <row r="243">
          <cell r="A243" t="str">
            <v>Azteca Milling Company</v>
          </cell>
          <cell r="B243">
            <v>37104</v>
          </cell>
          <cell r="C243">
            <v>35221</v>
          </cell>
          <cell r="D243">
            <v>35221</v>
          </cell>
          <cell r="E243" t="str">
            <v>N/A</v>
          </cell>
          <cell r="F243" t="str">
            <v>N/A</v>
          </cell>
          <cell r="G243">
            <v>37000</v>
          </cell>
          <cell r="H243">
            <v>37000</v>
          </cell>
          <cell r="I243" t="str">
            <v>N/A</v>
          </cell>
          <cell r="J243" t="str">
            <v>N/A</v>
          </cell>
          <cell r="K243">
            <v>15022</v>
          </cell>
          <cell r="L243">
            <v>0</v>
          </cell>
          <cell r="M243">
            <v>75</v>
          </cell>
          <cell r="N243">
            <v>0</v>
          </cell>
          <cell r="O243">
            <v>0</v>
          </cell>
          <cell r="P243">
            <v>0</v>
          </cell>
          <cell r="Q243">
            <v>0</v>
          </cell>
          <cell r="R243">
            <v>0</v>
          </cell>
          <cell r="S243">
            <v>37000</v>
          </cell>
          <cell r="T243">
            <v>111</v>
          </cell>
          <cell r="U243">
            <v>0</v>
          </cell>
          <cell r="V243">
            <v>35</v>
          </cell>
          <cell r="W243">
            <v>1.75</v>
          </cell>
          <cell r="X243">
            <v>0</v>
          </cell>
          <cell r="Y243">
            <v>0</v>
          </cell>
          <cell r="Z243">
            <v>0</v>
          </cell>
          <cell r="AA243">
            <v>15244.75</v>
          </cell>
        </row>
        <row r="244">
          <cell r="A244" t="str">
            <v>Azteca Milling Company</v>
          </cell>
          <cell r="B244">
            <v>37135</v>
          </cell>
          <cell r="C244">
            <v>33565</v>
          </cell>
          <cell r="D244">
            <v>33565</v>
          </cell>
          <cell r="E244" t="str">
            <v>N/A</v>
          </cell>
          <cell r="F244" t="str">
            <v>N/A</v>
          </cell>
          <cell r="G244">
            <v>37000</v>
          </cell>
          <cell r="H244">
            <v>37000</v>
          </cell>
          <cell r="I244" t="str">
            <v>N/A</v>
          </cell>
          <cell r="J244" t="str">
            <v>N/A</v>
          </cell>
          <cell r="K244">
            <v>15022</v>
          </cell>
          <cell r="L244">
            <v>0</v>
          </cell>
          <cell r="M244">
            <v>75</v>
          </cell>
          <cell r="N244">
            <v>0</v>
          </cell>
          <cell r="O244">
            <v>0</v>
          </cell>
          <cell r="P244">
            <v>0</v>
          </cell>
          <cell r="Q244">
            <v>0</v>
          </cell>
          <cell r="R244">
            <v>0</v>
          </cell>
          <cell r="S244">
            <v>37000</v>
          </cell>
          <cell r="T244">
            <v>111</v>
          </cell>
          <cell r="U244">
            <v>0</v>
          </cell>
          <cell r="V244">
            <v>35</v>
          </cell>
          <cell r="W244">
            <v>1.75</v>
          </cell>
          <cell r="X244">
            <v>0</v>
          </cell>
          <cell r="Y244">
            <v>0</v>
          </cell>
          <cell r="Z244">
            <v>0</v>
          </cell>
          <cell r="AA244">
            <v>15244.75</v>
          </cell>
        </row>
        <row r="245">
          <cell r="A245" t="str">
            <v>Azteca Milling Company</v>
          </cell>
          <cell r="B245">
            <v>37165</v>
          </cell>
          <cell r="C245">
            <v>32066</v>
          </cell>
          <cell r="D245">
            <v>32066</v>
          </cell>
          <cell r="E245" t="str">
            <v>N/A</v>
          </cell>
          <cell r="F245" t="str">
            <v>N/A</v>
          </cell>
          <cell r="G245">
            <v>37000</v>
          </cell>
          <cell r="H245">
            <v>37000</v>
          </cell>
          <cell r="I245" t="str">
            <v>N/A</v>
          </cell>
          <cell r="J245" t="str">
            <v>N/A</v>
          </cell>
          <cell r="K245">
            <v>15022</v>
          </cell>
          <cell r="L245">
            <v>0</v>
          </cell>
          <cell r="M245">
            <v>75</v>
          </cell>
          <cell r="N245">
            <v>0</v>
          </cell>
          <cell r="O245">
            <v>0</v>
          </cell>
          <cell r="P245">
            <v>0</v>
          </cell>
          <cell r="Q245">
            <v>0</v>
          </cell>
          <cell r="R245">
            <v>0</v>
          </cell>
          <cell r="S245">
            <v>37000</v>
          </cell>
          <cell r="T245">
            <v>111</v>
          </cell>
          <cell r="U245">
            <v>0</v>
          </cell>
          <cell r="V245">
            <v>35</v>
          </cell>
          <cell r="W245">
            <v>1.75</v>
          </cell>
          <cell r="X245">
            <v>0</v>
          </cell>
          <cell r="Y245">
            <v>0</v>
          </cell>
          <cell r="Z245">
            <v>0</v>
          </cell>
          <cell r="AA245">
            <v>15244.75</v>
          </cell>
        </row>
        <row r="246">
          <cell r="A246" t="str">
            <v>Azteca Milling Company</v>
          </cell>
          <cell r="B246">
            <v>37196</v>
          </cell>
          <cell r="C246">
            <v>30563</v>
          </cell>
          <cell r="D246">
            <v>30563</v>
          </cell>
          <cell r="E246" t="str">
            <v>N/A</v>
          </cell>
          <cell r="F246" t="str">
            <v>N/A</v>
          </cell>
          <cell r="G246">
            <v>37000</v>
          </cell>
          <cell r="H246">
            <v>37000</v>
          </cell>
          <cell r="I246" t="str">
            <v>N/A</v>
          </cell>
          <cell r="J246" t="str">
            <v>N/A</v>
          </cell>
          <cell r="K246">
            <v>15022</v>
          </cell>
          <cell r="L246">
            <v>0</v>
          </cell>
          <cell r="M246">
            <v>75</v>
          </cell>
          <cell r="N246">
            <v>0</v>
          </cell>
          <cell r="O246">
            <v>0</v>
          </cell>
          <cell r="P246">
            <v>0</v>
          </cell>
          <cell r="Q246">
            <v>0</v>
          </cell>
          <cell r="R246">
            <v>0</v>
          </cell>
          <cell r="S246">
            <v>37000</v>
          </cell>
          <cell r="T246">
            <v>111</v>
          </cell>
          <cell r="U246">
            <v>0</v>
          </cell>
          <cell r="V246">
            <v>35</v>
          </cell>
          <cell r="W246">
            <v>1.75</v>
          </cell>
          <cell r="X246">
            <v>0</v>
          </cell>
          <cell r="Y246">
            <v>0</v>
          </cell>
          <cell r="Z246">
            <v>0</v>
          </cell>
          <cell r="AA246">
            <v>15244.75</v>
          </cell>
        </row>
        <row r="247">
          <cell r="A247" t="str">
            <v>Azteca Milling Company</v>
          </cell>
          <cell r="B247">
            <v>37226</v>
          </cell>
          <cell r="C247">
            <v>35807</v>
          </cell>
          <cell r="D247">
            <v>35807</v>
          </cell>
          <cell r="E247" t="str">
            <v>N/A</v>
          </cell>
          <cell r="F247" t="str">
            <v>N/A</v>
          </cell>
          <cell r="G247">
            <v>36200</v>
          </cell>
          <cell r="H247">
            <v>36200</v>
          </cell>
          <cell r="I247" t="str">
            <v>N/A</v>
          </cell>
          <cell r="J247" t="str">
            <v>N/A</v>
          </cell>
          <cell r="K247">
            <v>14697.2</v>
          </cell>
          <cell r="L247">
            <v>0</v>
          </cell>
          <cell r="M247">
            <v>75</v>
          </cell>
          <cell r="N247">
            <v>0</v>
          </cell>
          <cell r="O247">
            <v>0</v>
          </cell>
          <cell r="P247">
            <v>0</v>
          </cell>
          <cell r="Q247">
            <v>0</v>
          </cell>
          <cell r="R247">
            <v>0</v>
          </cell>
          <cell r="S247">
            <v>36200</v>
          </cell>
          <cell r="T247">
            <v>108.6</v>
          </cell>
          <cell r="U247">
            <v>0</v>
          </cell>
          <cell r="V247">
            <v>35</v>
          </cell>
          <cell r="W247">
            <v>1.75</v>
          </cell>
          <cell r="X247">
            <v>0</v>
          </cell>
          <cell r="Y247">
            <v>0</v>
          </cell>
          <cell r="Z247">
            <v>0</v>
          </cell>
          <cell r="AA247">
            <v>14917.55</v>
          </cell>
        </row>
        <row r="248">
          <cell r="A248" t="str">
            <v>Azteca Milling Company</v>
          </cell>
          <cell r="B248">
            <v>37257</v>
          </cell>
          <cell r="C248">
            <v>34323</v>
          </cell>
          <cell r="D248">
            <v>34323</v>
          </cell>
          <cell r="E248" t="str">
            <v>N/A</v>
          </cell>
          <cell r="F248" t="str">
            <v>N/A</v>
          </cell>
          <cell r="G248">
            <v>30008</v>
          </cell>
          <cell r="H248">
            <v>30008</v>
          </cell>
          <cell r="I248" t="str">
            <v>N/A</v>
          </cell>
          <cell r="J248" t="str">
            <v>N/A</v>
          </cell>
          <cell r="K248">
            <v>12183.25</v>
          </cell>
          <cell r="L248">
            <v>0</v>
          </cell>
          <cell r="M248">
            <v>75</v>
          </cell>
          <cell r="N248">
            <v>0</v>
          </cell>
          <cell r="O248">
            <v>0</v>
          </cell>
          <cell r="P248">
            <v>0</v>
          </cell>
          <cell r="Q248">
            <v>0</v>
          </cell>
          <cell r="R248">
            <v>0</v>
          </cell>
          <cell r="S248">
            <v>30008</v>
          </cell>
          <cell r="T248">
            <v>90.02</v>
          </cell>
          <cell r="U248">
            <v>0</v>
          </cell>
          <cell r="V248">
            <v>35</v>
          </cell>
          <cell r="W248">
            <v>1.75</v>
          </cell>
          <cell r="X248">
            <v>0</v>
          </cell>
          <cell r="Y248">
            <v>0</v>
          </cell>
          <cell r="Z248">
            <v>0</v>
          </cell>
          <cell r="AA248">
            <v>12385.02</v>
          </cell>
        </row>
        <row r="249">
          <cell r="A249" t="str">
            <v>Azteca Milling Company</v>
          </cell>
          <cell r="B249">
            <v>37288</v>
          </cell>
          <cell r="C249">
            <v>31815</v>
          </cell>
          <cell r="D249">
            <v>31815</v>
          </cell>
          <cell r="E249" t="str">
            <v>N/A</v>
          </cell>
          <cell r="F249" t="str">
            <v>N/A</v>
          </cell>
          <cell r="G249">
            <v>30000</v>
          </cell>
          <cell r="H249">
            <v>30000</v>
          </cell>
          <cell r="I249" t="str">
            <v>N/A</v>
          </cell>
          <cell r="J249" t="str">
            <v>N/A</v>
          </cell>
          <cell r="K249">
            <v>12180</v>
          </cell>
          <cell r="L249">
            <v>0</v>
          </cell>
          <cell r="M249">
            <v>75</v>
          </cell>
          <cell r="N249">
            <v>0</v>
          </cell>
          <cell r="O249">
            <v>0</v>
          </cell>
          <cell r="P249">
            <v>0</v>
          </cell>
          <cell r="Q249">
            <v>0</v>
          </cell>
          <cell r="R249">
            <v>0</v>
          </cell>
          <cell r="S249">
            <v>30000</v>
          </cell>
          <cell r="T249">
            <v>-30</v>
          </cell>
          <cell r="U249">
            <v>0</v>
          </cell>
          <cell r="V249">
            <v>35</v>
          </cell>
          <cell r="W249">
            <v>1.75</v>
          </cell>
          <cell r="X249">
            <v>0</v>
          </cell>
          <cell r="Y249">
            <v>0</v>
          </cell>
          <cell r="Z249">
            <v>0</v>
          </cell>
          <cell r="AA249">
            <v>12261.75</v>
          </cell>
        </row>
        <row r="250">
          <cell r="A250" t="str">
            <v>Azteca Milling Company</v>
          </cell>
          <cell r="B250">
            <v>37316</v>
          </cell>
          <cell r="C250">
            <v>35777</v>
          </cell>
          <cell r="D250">
            <v>35777</v>
          </cell>
          <cell r="E250" t="str">
            <v>N/A</v>
          </cell>
          <cell r="F250" t="str">
            <v>N/A</v>
          </cell>
          <cell r="G250">
            <v>30008</v>
          </cell>
          <cell r="H250">
            <v>30008</v>
          </cell>
          <cell r="I250" t="str">
            <v>N/A</v>
          </cell>
          <cell r="J250" t="str">
            <v>N/A</v>
          </cell>
          <cell r="K250">
            <v>12183.25</v>
          </cell>
          <cell r="L250">
            <v>0</v>
          </cell>
          <cell r="M250">
            <v>75</v>
          </cell>
          <cell r="N250">
            <v>0</v>
          </cell>
          <cell r="O250">
            <v>0</v>
          </cell>
          <cell r="P250">
            <v>0</v>
          </cell>
          <cell r="Q250">
            <v>0</v>
          </cell>
          <cell r="R250">
            <v>0</v>
          </cell>
          <cell r="S250">
            <v>30008</v>
          </cell>
          <cell r="T250">
            <v>-30.01</v>
          </cell>
          <cell r="U250">
            <v>0</v>
          </cell>
          <cell r="V250">
            <v>35</v>
          </cell>
          <cell r="W250">
            <v>1.75</v>
          </cell>
          <cell r="X250">
            <v>0</v>
          </cell>
          <cell r="Y250">
            <v>0</v>
          </cell>
          <cell r="Z250">
            <v>0</v>
          </cell>
          <cell r="AA250">
            <v>12264.99</v>
          </cell>
        </row>
        <row r="251">
          <cell r="A251" t="str">
            <v>Azteca Milling Company</v>
          </cell>
          <cell r="B251">
            <v>37347</v>
          </cell>
          <cell r="C251">
            <v>31924</v>
          </cell>
          <cell r="D251">
            <v>31924</v>
          </cell>
          <cell r="E251" t="str">
            <v>N/A</v>
          </cell>
          <cell r="F251" t="str">
            <v>N/A</v>
          </cell>
          <cell r="G251">
            <v>34129</v>
          </cell>
          <cell r="H251">
            <v>34129</v>
          </cell>
          <cell r="I251" t="str">
            <v>N/A</v>
          </cell>
          <cell r="J251" t="str">
            <v>N/A</v>
          </cell>
          <cell r="K251">
            <v>13856.37</v>
          </cell>
          <cell r="L251">
            <v>0</v>
          </cell>
          <cell r="M251">
            <v>75</v>
          </cell>
          <cell r="N251">
            <v>0</v>
          </cell>
          <cell r="O251">
            <v>0</v>
          </cell>
          <cell r="P251">
            <v>0</v>
          </cell>
          <cell r="Q251">
            <v>0</v>
          </cell>
          <cell r="R251">
            <v>0</v>
          </cell>
          <cell r="S251">
            <v>34129</v>
          </cell>
          <cell r="T251">
            <v>-34.130000000000003</v>
          </cell>
          <cell r="U251">
            <v>0</v>
          </cell>
          <cell r="V251">
            <v>35</v>
          </cell>
          <cell r="W251">
            <v>1.75</v>
          </cell>
          <cell r="X251">
            <v>0</v>
          </cell>
          <cell r="Y251">
            <v>0</v>
          </cell>
          <cell r="Z251">
            <v>0</v>
          </cell>
          <cell r="AA251">
            <v>13933.99</v>
          </cell>
        </row>
        <row r="252">
          <cell r="A252" t="str">
            <v>Azteca Milling Company</v>
          </cell>
          <cell r="B252">
            <v>37377</v>
          </cell>
          <cell r="C252">
            <v>35617</v>
          </cell>
          <cell r="D252">
            <v>35617</v>
          </cell>
          <cell r="E252" t="str">
            <v>N/A</v>
          </cell>
          <cell r="F252" t="str">
            <v>N/A</v>
          </cell>
          <cell r="G252">
            <v>34000</v>
          </cell>
          <cell r="H252">
            <v>34000</v>
          </cell>
          <cell r="I252" t="str">
            <v>N/A</v>
          </cell>
          <cell r="J252" t="str">
            <v>N/A</v>
          </cell>
          <cell r="K252">
            <v>13804</v>
          </cell>
          <cell r="L252">
            <v>0</v>
          </cell>
          <cell r="M252">
            <v>75</v>
          </cell>
          <cell r="N252">
            <v>0</v>
          </cell>
          <cell r="O252">
            <v>0</v>
          </cell>
          <cell r="P252">
            <v>0</v>
          </cell>
          <cell r="Q252">
            <v>0</v>
          </cell>
          <cell r="R252">
            <v>0</v>
          </cell>
          <cell r="S252">
            <v>0</v>
          </cell>
          <cell r="T252">
            <v>0</v>
          </cell>
          <cell r="U252">
            <v>0</v>
          </cell>
          <cell r="V252">
            <v>35</v>
          </cell>
          <cell r="W252">
            <v>1.75</v>
          </cell>
          <cell r="X252">
            <v>0</v>
          </cell>
          <cell r="Y252">
            <v>0</v>
          </cell>
          <cell r="Z252">
            <v>0</v>
          </cell>
          <cell r="AA252">
            <v>13915.75</v>
          </cell>
        </row>
        <row r="253">
          <cell r="A253" t="str">
            <v>Azteca Milling Company</v>
          </cell>
          <cell r="B253">
            <v>37408</v>
          </cell>
          <cell r="C253">
            <v>31008</v>
          </cell>
          <cell r="D253">
            <v>31008</v>
          </cell>
          <cell r="E253" t="str">
            <v>N/A</v>
          </cell>
          <cell r="F253" t="str">
            <v>N/A</v>
          </cell>
          <cell r="G253">
            <v>30000</v>
          </cell>
          <cell r="H253">
            <v>30000</v>
          </cell>
          <cell r="I253" t="str">
            <v>N/A</v>
          </cell>
          <cell r="J253" t="str">
            <v>N/A</v>
          </cell>
          <cell r="K253">
            <v>12180</v>
          </cell>
          <cell r="L253">
            <v>0</v>
          </cell>
          <cell r="M253">
            <v>75</v>
          </cell>
          <cell r="N253">
            <v>0</v>
          </cell>
          <cell r="O253">
            <v>0</v>
          </cell>
          <cell r="P253">
            <v>0</v>
          </cell>
          <cell r="Q253">
            <v>0</v>
          </cell>
          <cell r="R253">
            <v>0</v>
          </cell>
          <cell r="S253">
            <v>0</v>
          </cell>
          <cell r="T253">
            <v>0</v>
          </cell>
          <cell r="U253">
            <v>0</v>
          </cell>
          <cell r="V253">
            <v>35</v>
          </cell>
          <cell r="W253">
            <v>1.75</v>
          </cell>
          <cell r="X253">
            <v>0</v>
          </cell>
          <cell r="Y253">
            <v>0</v>
          </cell>
          <cell r="Z253">
            <v>0</v>
          </cell>
          <cell r="AA253">
            <v>12291.75</v>
          </cell>
        </row>
        <row r="254">
          <cell r="A254" t="str">
            <v>Azteca Milling Company</v>
          </cell>
          <cell r="B254">
            <v>37438</v>
          </cell>
          <cell r="C254">
            <v>29666</v>
          </cell>
          <cell r="D254">
            <v>29666</v>
          </cell>
          <cell r="E254" t="str">
            <v>N/A</v>
          </cell>
          <cell r="F254" t="str">
            <v>N/A</v>
          </cell>
          <cell r="G254">
            <v>31400</v>
          </cell>
          <cell r="H254">
            <v>31400</v>
          </cell>
          <cell r="I254" t="str">
            <v>N/A</v>
          </cell>
          <cell r="J254" t="str">
            <v>N/A</v>
          </cell>
          <cell r="K254">
            <v>12748.4</v>
          </cell>
          <cell r="L254">
            <v>0</v>
          </cell>
          <cell r="M254">
            <v>75</v>
          </cell>
          <cell r="N254">
            <v>0</v>
          </cell>
          <cell r="O254">
            <v>0</v>
          </cell>
          <cell r="P254">
            <v>0</v>
          </cell>
          <cell r="Q254">
            <v>0</v>
          </cell>
          <cell r="R254">
            <v>0</v>
          </cell>
          <cell r="S254">
            <v>0</v>
          </cell>
          <cell r="T254">
            <v>0</v>
          </cell>
          <cell r="U254">
            <v>0</v>
          </cell>
          <cell r="V254">
            <v>35</v>
          </cell>
          <cell r="W254">
            <v>1.75</v>
          </cell>
          <cell r="X254">
            <v>0</v>
          </cell>
          <cell r="Y254">
            <v>0</v>
          </cell>
          <cell r="Z254">
            <v>0</v>
          </cell>
          <cell r="AA254">
            <v>12860.15</v>
          </cell>
        </row>
        <row r="255">
          <cell r="A255" t="str">
            <v>Bootz Manufacturing Company</v>
          </cell>
          <cell r="B255">
            <v>37104</v>
          </cell>
          <cell r="C255">
            <v>9668</v>
          </cell>
          <cell r="D255">
            <v>9668</v>
          </cell>
          <cell r="E255" t="str">
            <v>N/A</v>
          </cell>
          <cell r="F255" t="str">
            <v>N/A</v>
          </cell>
          <cell r="G255">
            <v>9800</v>
          </cell>
          <cell r="H255">
            <v>9800</v>
          </cell>
          <cell r="I255" t="str">
            <v>N/A</v>
          </cell>
          <cell r="J255" t="str">
            <v>N/A</v>
          </cell>
          <cell r="K255">
            <v>3978.8</v>
          </cell>
          <cell r="L255">
            <v>0</v>
          </cell>
          <cell r="M255">
            <v>75</v>
          </cell>
          <cell r="N255">
            <v>0</v>
          </cell>
          <cell r="O255">
            <v>0</v>
          </cell>
          <cell r="P255">
            <v>0</v>
          </cell>
          <cell r="Q255">
            <v>0</v>
          </cell>
          <cell r="R255">
            <v>0</v>
          </cell>
          <cell r="S255">
            <v>9800</v>
          </cell>
          <cell r="T255">
            <v>29.4</v>
          </cell>
          <cell r="U255">
            <v>0</v>
          </cell>
          <cell r="V255">
            <v>35</v>
          </cell>
          <cell r="W255">
            <v>0</v>
          </cell>
          <cell r="X255">
            <v>0</v>
          </cell>
          <cell r="Y255">
            <v>0</v>
          </cell>
          <cell r="Z255">
            <v>0</v>
          </cell>
          <cell r="AA255">
            <v>4118.2</v>
          </cell>
        </row>
        <row r="256">
          <cell r="A256" t="str">
            <v>Bootz Manufacturing Company</v>
          </cell>
          <cell r="B256">
            <v>37135</v>
          </cell>
          <cell r="C256">
            <v>8296</v>
          </cell>
          <cell r="D256">
            <v>8296</v>
          </cell>
          <cell r="E256" t="str">
            <v>N/A</v>
          </cell>
          <cell r="F256" t="str">
            <v>N/A</v>
          </cell>
          <cell r="G256">
            <v>8259</v>
          </cell>
          <cell r="H256">
            <v>8259</v>
          </cell>
          <cell r="I256" t="str">
            <v>N/A</v>
          </cell>
          <cell r="J256" t="str">
            <v>N/A</v>
          </cell>
          <cell r="K256">
            <v>3353.15</v>
          </cell>
          <cell r="L256">
            <v>0</v>
          </cell>
          <cell r="M256">
            <v>75</v>
          </cell>
          <cell r="N256">
            <v>0</v>
          </cell>
          <cell r="O256">
            <v>0</v>
          </cell>
          <cell r="P256">
            <v>0</v>
          </cell>
          <cell r="Q256">
            <v>0</v>
          </cell>
          <cell r="R256">
            <v>0</v>
          </cell>
          <cell r="S256">
            <v>8259</v>
          </cell>
          <cell r="T256">
            <v>24.78</v>
          </cell>
          <cell r="U256">
            <v>0</v>
          </cell>
          <cell r="V256">
            <v>35</v>
          </cell>
          <cell r="W256">
            <v>0</v>
          </cell>
          <cell r="X256">
            <v>0</v>
          </cell>
          <cell r="Y256">
            <v>0</v>
          </cell>
          <cell r="Z256">
            <v>0</v>
          </cell>
          <cell r="AA256">
            <v>3487.93</v>
          </cell>
        </row>
        <row r="257">
          <cell r="A257" t="str">
            <v>Bootz Manufacturing Company</v>
          </cell>
          <cell r="B257">
            <v>37165</v>
          </cell>
          <cell r="C257">
            <v>9861</v>
          </cell>
          <cell r="D257">
            <v>9861</v>
          </cell>
          <cell r="E257" t="str">
            <v>N/A</v>
          </cell>
          <cell r="F257" t="str">
            <v>N/A</v>
          </cell>
          <cell r="G257">
            <v>10000</v>
          </cell>
          <cell r="H257">
            <v>10000</v>
          </cell>
          <cell r="I257" t="str">
            <v>N/A</v>
          </cell>
          <cell r="J257" t="str">
            <v>N/A</v>
          </cell>
          <cell r="K257">
            <v>4060</v>
          </cell>
          <cell r="L257">
            <v>0</v>
          </cell>
          <cell r="M257">
            <v>75</v>
          </cell>
          <cell r="N257">
            <v>0</v>
          </cell>
          <cell r="O257">
            <v>0</v>
          </cell>
          <cell r="P257">
            <v>0</v>
          </cell>
          <cell r="Q257">
            <v>0</v>
          </cell>
          <cell r="R257">
            <v>0</v>
          </cell>
          <cell r="S257">
            <v>10000</v>
          </cell>
          <cell r="T257">
            <v>30</v>
          </cell>
          <cell r="U257">
            <v>0</v>
          </cell>
          <cell r="V257">
            <v>35</v>
          </cell>
          <cell r="W257">
            <v>0</v>
          </cell>
          <cell r="X257">
            <v>0</v>
          </cell>
          <cell r="Y257">
            <v>0</v>
          </cell>
          <cell r="Z257">
            <v>0</v>
          </cell>
          <cell r="AA257">
            <v>4200</v>
          </cell>
        </row>
        <row r="258">
          <cell r="A258" t="str">
            <v>Bootz Manufacturing Company</v>
          </cell>
          <cell r="B258">
            <v>37196</v>
          </cell>
          <cell r="C258">
            <v>10711</v>
          </cell>
          <cell r="D258">
            <v>10711</v>
          </cell>
          <cell r="E258" t="str">
            <v>N/A</v>
          </cell>
          <cell r="F258" t="str">
            <v>N/A</v>
          </cell>
          <cell r="G258">
            <v>11040</v>
          </cell>
          <cell r="H258">
            <v>11040</v>
          </cell>
          <cell r="I258" t="str">
            <v>N/A</v>
          </cell>
          <cell r="J258" t="str">
            <v>N/A</v>
          </cell>
          <cell r="K258">
            <v>4482.24</v>
          </cell>
          <cell r="L258">
            <v>0</v>
          </cell>
          <cell r="M258">
            <v>75</v>
          </cell>
          <cell r="N258">
            <v>0</v>
          </cell>
          <cell r="O258">
            <v>0</v>
          </cell>
          <cell r="P258">
            <v>0</v>
          </cell>
          <cell r="Q258">
            <v>0</v>
          </cell>
          <cell r="R258">
            <v>0</v>
          </cell>
          <cell r="S258">
            <v>11040</v>
          </cell>
          <cell r="T258">
            <v>33.119999999999997</v>
          </cell>
          <cell r="U258">
            <v>0</v>
          </cell>
          <cell r="V258">
            <v>35</v>
          </cell>
          <cell r="W258">
            <v>0</v>
          </cell>
          <cell r="X258">
            <v>0</v>
          </cell>
          <cell r="Y258">
            <v>0</v>
          </cell>
          <cell r="Z258">
            <v>0</v>
          </cell>
          <cell r="AA258">
            <v>4625.3599999999997</v>
          </cell>
        </row>
        <row r="259">
          <cell r="A259" t="str">
            <v>Bootz Manufacturing Company</v>
          </cell>
          <cell r="B259">
            <v>37226</v>
          </cell>
          <cell r="C259">
            <v>9137</v>
          </cell>
          <cell r="D259">
            <v>9137</v>
          </cell>
          <cell r="E259" t="str">
            <v>N/A</v>
          </cell>
          <cell r="F259" t="str">
            <v>N/A</v>
          </cell>
          <cell r="G259">
            <v>11000</v>
          </cell>
          <cell r="H259">
            <v>11000</v>
          </cell>
          <cell r="I259" t="str">
            <v>N/A</v>
          </cell>
          <cell r="J259" t="str">
            <v>N/A</v>
          </cell>
          <cell r="K259">
            <v>4466</v>
          </cell>
          <cell r="L259">
            <v>0</v>
          </cell>
          <cell r="M259">
            <v>75</v>
          </cell>
          <cell r="N259">
            <v>0</v>
          </cell>
          <cell r="O259">
            <v>0</v>
          </cell>
          <cell r="P259">
            <v>0</v>
          </cell>
          <cell r="Q259">
            <v>0</v>
          </cell>
          <cell r="R259">
            <v>0</v>
          </cell>
          <cell r="S259">
            <v>11000</v>
          </cell>
          <cell r="T259">
            <v>33</v>
          </cell>
          <cell r="U259">
            <v>0</v>
          </cell>
          <cell r="V259">
            <v>35</v>
          </cell>
          <cell r="W259">
            <v>0</v>
          </cell>
          <cell r="X259">
            <v>0</v>
          </cell>
          <cell r="Y259">
            <v>0</v>
          </cell>
          <cell r="Z259">
            <v>0</v>
          </cell>
          <cell r="AA259">
            <v>4609</v>
          </cell>
        </row>
        <row r="260">
          <cell r="A260" t="str">
            <v>Bootz Manufacturing Company</v>
          </cell>
          <cell r="B260">
            <v>37257</v>
          </cell>
          <cell r="C260">
            <v>12090</v>
          </cell>
          <cell r="D260">
            <v>12090</v>
          </cell>
          <cell r="E260" t="str">
            <v>N/A</v>
          </cell>
          <cell r="F260" t="str">
            <v>N/A</v>
          </cell>
          <cell r="G260">
            <v>10590</v>
          </cell>
          <cell r="H260">
            <v>10590</v>
          </cell>
          <cell r="I260" t="str">
            <v>N/A</v>
          </cell>
          <cell r="J260" t="str">
            <v>N/A</v>
          </cell>
          <cell r="K260">
            <v>4299.54</v>
          </cell>
          <cell r="L260">
            <v>0</v>
          </cell>
          <cell r="M260">
            <v>75</v>
          </cell>
          <cell r="N260">
            <v>0</v>
          </cell>
          <cell r="O260">
            <v>0</v>
          </cell>
          <cell r="P260">
            <v>0</v>
          </cell>
          <cell r="Q260">
            <v>0</v>
          </cell>
          <cell r="R260">
            <v>0</v>
          </cell>
          <cell r="S260">
            <v>10590</v>
          </cell>
          <cell r="T260">
            <v>31.77</v>
          </cell>
          <cell r="U260">
            <v>0</v>
          </cell>
          <cell r="V260">
            <v>35</v>
          </cell>
          <cell r="W260">
            <v>0</v>
          </cell>
          <cell r="X260">
            <v>0</v>
          </cell>
          <cell r="Y260">
            <v>0</v>
          </cell>
          <cell r="Z260">
            <v>0</v>
          </cell>
          <cell r="AA260">
            <v>4441.3100000000004</v>
          </cell>
        </row>
        <row r="261">
          <cell r="A261" t="str">
            <v>Bootz Manufacturing Company</v>
          </cell>
          <cell r="B261">
            <v>37288</v>
          </cell>
          <cell r="C261">
            <v>10031</v>
          </cell>
          <cell r="D261">
            <v>10031</v>
          </cell>
          <cell r="E261" t="str">
            <v>N/A</v>
          </cell>
          <cell r="F261" t="str">
            <v>N/A</v>
          </cell>
          <cell r="G261">
            <v>10000</v>
          </cell>
          <cell r="H261">
            <v>10000</v>
          </cell>
          <cell r="I261" t="str">
            <v>N/A</v>
          </cell>
          <cell r="J261" t="str">
            <v>N/A</v>
          </cell>
          <cell r="K261">
            <v>4060</v>
          </cell>
          <cell r="L261">
            <v>0</v>
          </cell>
          <cell r="M261">
            <v>75</v>
          </cell>
          <cell r="N261">
            <v>0</v>
          </cell>
          <cell r="O261">
            <v>0</v>
          </cell>
          <cell r="P261">
            <v>0</v>
          </cell>
          <cell r="Q261">
            <v>0</v>
          </cell>
          <cell r="R261">
            <v>0</v>
          </cell>
          <cell r="S261">
            <v>10000</v>
          </cell>
          <cell r="T261">
            <v>-10</v>
          </cell>
          <cell r="U261">
            <v>0</v>
          </cell>
          <cell r="V261">
            <v>35</v>
          </cell>
          <cell r="W261">
            <v>0</v>
          </cell>
          <cell r="X261">
            <v>0</v>
          </cell>
          <cell r="Y261">
            <v>0</v>
          </cell>
          <cell r="Z261">
            <v>0</v>
          </cell>
          <cell r="AA261">
            <v>4160</v>
          </cell>
        </row>
        <row r="262">
          <cell r="A262" t="str">
            <v>Bootz Manufacturing Company</v>
          </cell>
          <cell r="B262">
            <v>37316</v>
          </cell>
          <cell r="C262">
            <v>9721</v>
          </cell>
          <cell r="D262">
            <v>9721</v>
          </cell>
          <cell r="E262" t="str">
            <v>N/A</v>
          </cell>
          <cell r="F262" t="str">
            <v>N/A</v>
          </cell>
          <cell r="G262">
            <v>9900</v>
          </cell>
          <cell r="H262">
            <v>9900</v>
          </cell>
          <cell r="I262" t="str">
            <v>N/A</v>
          </cell>
          <cell r="J262" t="str">
            <v>N/A</v>
          </cell>
          <cell r="K262">
            <v>4019.4</v>
          </cell>
          <cell r="L262">
            <v>0</v>
          </cell>
          <cell r="M262">
            <v>75</v>
          </cell>
          <cell r="N262">
            <v>0</v>
          </cell>
          <cell r="O262">
            <v>0</v>
          </cell>
          <cell r="P262">
            <v>0</v>
          </cell>
          <cell r="Q262">
            <v>0</v>
          </cell>
          <cell r="R262">
            <v>0</v>
          </cell>
          <cell r="S262">
            <v>9900</v>
          </cell>
          <cell r="T262">
            <v>-9.9</v>
          </cell>
          <cell r="U262">
            <v>0</v>
          </cell>
          <cell r="V262">
            <v>35</v>
          </cell>
          <cell r="W262">
            <v>0</v>
          </cell>
          <cell r="X262">
            <v>0</v>
          </cell>
          <cell r="Y262">
            <v>0</v>
          </cell>
          <cell r="Z262">
            <v>0</v>
          </cell>
          <cell r="AA262">
            <v>4119.5</v>
          </cell>
        </row>
        <row r="263">
          <cell r="A263" t="str">
            <v>Bootz Manufacturing Company</v>
          </cell>
          <cell r="B263">
            <v>37347</v>
          </cell>
          <cell r="C263">
            <v>9901</v>
          </cell>
          <cell r="D263">
            <v>9901</v>
          </cell>
          <cell r="E263" t="str">
            <v>N/A</v>
          </cell>
          <cell r="F263" t="str">
            <v>N/A</v>
          </cell>
          <cell r="G263">
            <v>10200</v>
          </cell>
          <cell r="H263">
            <v>10200</v>
          </cell>
          <cell r="I263" t="str">
            <v>N/A</v>
          </cell>
          <cell r="J263" t="str">
            <v>N/A</v>
          </cell>
          <cell r="K263">
            <v>4141.2</v>
          </cell>
          <cell r="L263">
            <v>0</v>
          </cell>
          <cell r="M263">
            <v>75</v>
          </cell>
          <cell r="N263">
            <v>0</v>
          </cell>
          <cell r="O263">
            <v>0</v>
          </cell>
          <cell r="P263">
            <v>0</v>
          </cell>
          <cell r="Q263">
            <v>0</v>
          </cell>
          <cell r="R263">
            <v>0</v>
          </cell>
          <cell r="S263">
            <v>10200</v>
          </cell>
          <cell r="T263">
            <v>-10.199999999999999</v>
          </cell>
          <cell r="U263">
            <v>0</v>
          </cell>
          <cell r="V263">
            <v>35</v>
          </cell>
          <cell r="W263">
            <v>0</v>
          </cell>
          <cell r="X263">
            <v>0</v>
          </cell>
          <cell r="Y263">
            <v>0</v>
          </cell>
          <cell r="Z263">
            <v>0</v>
          </cell>
          <cell r="AA263">
            <v>4241</v>
          </cell>
        </row>
        <row r="264">
          <cell r="A264" t="str">
            <v>Bootz Manufacturing Company</v>
          </cell>
          <cell r="B264">
            <v>37377</v>
          </cell>
          <cell r="C264">
            <v>9442</v>
          </cell>
          <cell r="D264">
            <v>9442</v>
          </cell>
          <cell r="E264" t="str">
            <v>N/A</v>
          </cell>
          <cell r="F264" t="str">
            <v>N/A</v>
          </cell>
          <cell r="G264">
            <v>9650</v>
          </cell>
          <cell r="H264">
            <v>9650</v>
          </cell>
          <cell r="I264" t="str">
            <v>N/A</v>
          </cell>
          <cell r="J264" t="str">
            <v>N/A</v>
          </cell>
          <cell r="K264">
            <v>3917.9</v>
          </cell>
          <cell r="L264">
            <v>0</v>
          </cell>
          <cell r="M264">
            <v>75</v>
          </cell>
          <cell r="N264">
            <v>0</v>
          </cell>
          <cell r="O264">
            <v>0</v>
          </cell>
          <cell r="P264">
            <v>0</v>
          </cell>
          <cell r="Q264">
            <v>0</v>
          </cell>
          <cell r="R264">
            <v>0</v>
          </cell>
          <cell r="S264">
            <v>0</v>
          </cell>
          <cell r="T264">
            <v>0</v>
          </cell>
          <cell r="U264">
            <v>0</v>
          </cell>
          <cell r="V264">
            <v>35</v>
          </cell>
          <cell r="W264">
            <v>0</v>
          </cell>
          <cell r="X264">
            <v>0</v>
          </cell>
          <cell r="Y264">
            <v>0</v>
          </cell>
          <cell r="Z264">
            <v>0</v>
          </cell>
          <cell r="AA264">
            <v>4027.9</v>
          </cell>
        </row>
        <row r="265">
          <cell r="A265" t="str">
            <v>Bootz Manufacturing Company</v>
          </cell>
          <cell r="B265">
            <v>37408</v>
          </cell>
          <cell r="C265">
            <v>10158</v>
          </cell>
          <cell r="D265">
            <v>10158</v>
          </cell>
          <cell r="E265" t="str">
            <v>N/A</v>
          </cell>
          <cell r="F265" t="str">
            <v>N/A</v>
          </cell>
          <cell r="G265">
            <v>10300</v>
          </cell>
          <cell r="H265">
            <v>10300</v>
          </cell>
          <cell r="I265" t="str">
            <v>N/A</v>
          </cell>
          <cell r="J265" t="str">
            <v>N/A</v>
          </cell>
          <cell r="K265">
            <v>4181.8</v>
          </cell>
          <cell r="L265">
            <v>0</v>
          </cell>
          <cell r="M265">
            <v>75</v>
          </cell>
          <cell r="N265">
            <v>0</v>
          </cell>
          <cell r="O265">
            <v>0</v>
          </cell>
          <cell r="P265">
            <v>0</v>
          </cell>
          <cell r="Q265">
            <v>0</v>
          </cell>
          <cell r="R265">
            <v>0</v>
          </cell>
          <cell r="S265">
            <v>0</v>
          </cell>
          <cell r="T265">
            <v>0</v>
          </cell>
          <cell r="U265">
            <v>0</v>
          </cell>
          <cell r="V265">
            <v>35</v>
          </cell>
          <cell r="W265">
            <v>0</v>
          </cell>
          <cell r="X265">
            <v>0</v>
          </cell>
          <cell r="Y265">
            <v>0</v>
          </cell>
          <cell r="Z265">
            <v>0</v>
          </cell>
          <cell r="AA265">
            <v>4291.8</v>
          </cell>
        </row>
        <row r="266">
          <cell r="A266" t="str">
            <v>Bootz Manufacturing Company</v>
          </cell>
          <cell r="B266">
            <v>37438</v>
          </cell>
          <cell r="C266">
            <v>9538</v>
          </cell>
          <cell r="D266">
            <v>9538</v>
          </cell>
          <cell r="E266" t="str">
            <v>N/A</v>
          </cell>
          <cell r="F266" t="str">
            <v>N/A</v>
          </cell>
          <cell r="G266">
            <v>9800</v>
          </cell>
          <cell r="H266">
            <v>9800</v>
          </cell>
          <cell r="I266" t="str">
            <v>N/A</v>
          </cell>
          <cell r="J266" t="str">
            <v>N/A</v>
          </cell>
          <cell r="K266">
            <v>3978.8</v>
          </cell>
          <cell r="L266">
            <v>0</v>
          </cell>
          <cell r="M266">
            <v>75</v>
          </cell>
          <cell r="N266">
            <v>0</v>
          </cell>
          <cell r="O266">
            <v>0</v>
          </cell>
          <cell r="P266">
            <v>0</v>
          </cell>
          <cell r="Q266">
            <v>0</v>
          </cell>
          <cell r="R266">
            <v>0</v>
          </cell>
          <cell r="S266">
            <v>0</v>
          </cell>
          <cell r="T266">
            <v>0</v>
          </cell>
          <cell r="U266">
            <v>0</v>
          </cell>
          <cell r="V266">
            <v>35</v>
          </cell>
          <cell r="W266">
            <v>0</v>
          </cell>
          <cell r="X266">
            <v>0</v>
          </cell>
          <cell r="Y266">
            <v>0</v>
          </cell>
          <cell r="Z266">
            <v>0</v>
          </cell>
          <cell r="AA266">
            <v>4088.8</v>
          </cell>
        </row>
        <row r="267">
          <cell r="A267" t="str">
            <v>BWX Technologies, Inc.</v>
          </cell>
          <cell r="B267">
            <v>37104</v>
          </cell>
          <cell r="C267">
            <v>208</v>
          </cell>
          <cell r="D267">
            <v>208</v>
          </cell>
          <cell r="E267" t="str">
            <v>N/A</v>
          </cell>
          <cell r="F267" t="str">
            <v>N/A</v>
          </cell>
          <cell r="G267">
            <v>615</v>
          </cell>
          <cell r="H267">
            <v>615</v>
          </cell>
          <cell r="I267" t="str">
            <v>N/A</v>
          </cell>
          <cell r="J267" t="str">
            <v>N/A</v>
          </cell>
          <cell r="K267">
            <v>249.69</v>
          </cell>
          <cell r="L267">
            <v>0</v>
          </cell>
          <cell r="M267">
            <v>75</v>
          </cell>
          <cell r="N267">
            <v>0</v>
          </cell>
          <cell r="O267">
            <v>0</v>
          </cell>
          <cell r="P267">
            <v>0</v>
          </cell>
          <cell r="Q267">
            <v>0</v>
          </cell>
          <cell r="R267">
            <v>0</v>
          </cell>
          <cell r="S267">
            <v>615</v>
          </cell>
          <cell r="T267">
            <v>1.84</v>
          </cell>
          <cell r="U267">
            <v>0</v>
          </cell>
          <cell r="V267">
            <v>35</v>
          </cell>
          <cell r="W267">
            <v>0</v>
          </cell>
          <cell r="X267">
            <v>0</v>
          </cell>
          <cell r="Y267">
            <v>0</v>
          </cell>
          <cell r="Z267">
            <v>0</v>
          </cell>
          <cell r="AA267">
            <v>361.53</v>
          </cell>
        </row>
        <row r="268">
          <cell r="A268" t="str">
            <v>BWX Technologies, Inc.</v>
          </cell>
          <cell r="B268">
            <v>37135</v>
          </cell>
          <cell r="C268">
            <v>742</v>
          </cell>
          <cell r="D268">
            <v>742</v>
          </cell>
          <cell r="E268" t="str">
            <v>N/A</v>
          </cell>
          <cell r="F268" t="str">
            <v>N/A</v>
          </cell>
          <cell r="G268">
            <v>2050</v>
          </cell>
          <cell r="H268">
            <v>2050</v>
          </cell>
          <cell r="I268" t="str">
            <v>N/A</v>
          </cell>
          <cell r="J268" t="str">
            <v>N/A</v>
          </cell>
          <cell r="K268">
            <v>832.3</v>
          </cell>
          <cell r="L268">
            <v>0</v>
          </cell>
          <cell r="M268">
            <v>75</v>
          </cell>
          <cell r="N268">
            <v>0</v>
          </cell>
          <cell r="O268">
            <v>0</v>
          </cell>
          <cell r="P268">
            <v>0</v>
          </cell>
          <cell r="Q268">
            <v>0</v>
          </cell>
          <cell r="R268">
            <v>0</v>
          </cell>
          <cell r="S268">
            <v>2050</v>
          </cell>
          <cell r="T268">
            <v>6.15</v>
          </cell>
          <cell r="U268">
            <v>0</v>
          </cell>
          <cell r="V268">
            <v>35</v>
          </cell>
          <cell r="W268">
            <v>0</v>
          </cell>
          <cell r="X268">
            <v>0</v>
          </cell>
          <cell r="Y268">
            <v>0</v>
          </cell>
          <cell r="Z268">
            <v>0</v>
          </cell>
          <cell r="AA268">
            <v>948.45</v>
          </cell>
        </row>
        <row r="269">
          <cell r="A269" t="str">
            <v>BWX Technologies, Inc.</v>
          </cell>
          <cell r="B269">
            <v>37165</v>
          </cell>
          <cell r="C269">
            <v>3631</v>
          </cell>
          <cell r="D269">
            <v>3631</v>
          </cell>
          <cell r="E269" t="str">
            <v>N/A</v>
          </cell>
          <cell r="F269" t="str">
            <v>N/A</v>
          </cell>
          <cell r="G269">
            <v>3075</v>
          </cell>
          <cell r="H269">
            <v>3075</v>
          </cell>
          <cell r="I269" t="str">
            <v>N/A</v>
          </cell>
          <cell r="J269" t="str">
            <v>N/A</v>
          </cell>
          <cell r="K269">
            <v>1248.45</v>
          </cell>
          <cell r="L269">
            <v>0</v>
          </cell>
          <cell r="M269">
            <v>75</v>
          </cell>
          <cell r="N269">
            <v>0</v>
          </cell>
          <cell r="O269">
            <v>0</v>
          </cell>
          <cell r="P269">
            <v>0</v>
          </cell>
          <cell r="Q269">
            <v>0</v>
          </cell>
          <cell r="R269">
            <v>0</v>
          </cell>
          <cell r="S269">
            <v>3075</v>
          </cell>
          <cell r="T269">
            <v>9.2200000000000006</v>
          </cell>
          <cell r="U269">
            <v>0</v>
          </cell>
          <cell r="V269">
            <v>35</v>
          </cell>
          <cell r="W269">
            <v>0</v>
          </cell>
          <cell r="X269">
            <v>0</v>
          </cell>
          <cell r="Y269">
            <v>0</v>
          </cell>
          <cell r="Z269">
            <v>0</v>
          </cell>
          <cell r="AA269">
            <v>1367.67</v>
          </cell>
        </row>
        <row r="270">
          <cell r="A270" t="str">
            <v>BWX Technologies, Inc.</v>
          </cell>
          <cell r="B270">
            <v>37196</v>
          </cell>
          <cell r="C270">
            <v>4860</v>
          </cell>
          <cell r="D270">
            <v>4860</v>
          </cell>
          <cell r="E270" t="str">
            <v>N/A</v>
          </cell>
          <cell r="F270" t="str">
            <v>N/A</v>
          </cell>
          <cell r="G270">
            <v>3588</v>
          </cell>
          <cell r="H270">
            <v>3588</v>
          </cell>
          <cell r="I270" t="str">
            <v>N/A</v>
          </cell>
          <cell r="J270" t="str">
            <v>N/A</v>
          </cell>
          <cell r="K270">
            <v>1456.73</v>
          </cell>
          <cell r="L270">
            <v>0</v>
          </cell>
          <cell r="M270">
            <v>75</v>
          </cell>
          <cell r="N270">
            <v>0</v>
          </cell>
          <cell r="O270">
            <v>0</v>
          </cell>
          <cell r="P270">
            <v>0</v>
          </cell>
          <cell r="Q270">
            <v>0</v>
          </cell>
          <cell r="R270">
            <v>0</v>
          </cell>
          <cell r="S270">
            <v>3588</v>
          </cell>
          <cell r="T270">
            <v>10.76</v>
          </cell>
          <cell r="U270">
            <v>0</v>
          </cell>
          <cell r="V270">
            <v>35</v>
          </cell>
          <cell r="W270">
            <v>0</v>
          </cell>
          <cell r="X270">
            <v>0</v>
          </cell>
          <cell r="Y270">
            <v>0</v>
          </cell>
          <cell r="Z270">
            <v>0</v>
          </cell>
          <cell r="AA270">
            <v>1577.49</v>
          </cell>
        </row>
        <row r="271">
          <cell r="A271" t="str">
            <v>BWX Technologies, Inc.</v>
          </cell>
          <cell r="B271">
            <v>37226</v>
          </cell>
          <cell r="C271">
            <v>6346</v>
          </cell>
          <cell r="D271">
            <v>6346</v>
          </cell>
          <cell r="E271" t="str">
            <v>N/A</v>
          </cell>
          <cell r="F271" t="str">
            <v>N/A</v>
          </cell>
          <cell r="G271">
            <v>8200</v>
          </cell>
          <cell r="H271">
            <v>8200</v>
          </cell>
          <cell r="I271" t="str">
            <v>N/A</v>
          </cell>
          <cell r="J271" t="str">
            <v>N/A</v>
          </cell>
          <cell r="K271">
            <v>3329.2</v>
          </cell>
          <cell r="L271">
            <v>0</v>
          </cell>
          <cell r="M271">
            <v>75</v>
          </cell>
          <cell r="N271">
            <v>0</v>
          </cell>
          <cell r="O271">
            <v>0</v>
          </cell>
          <cell r="P271">
            <v>0</v>
          </cell>
          <cell r="Q271">
            <v>0</v>
          </cell>
          <cell r="R271">
            <v>0</v>
          </cell>
          <cell r="S271">
            <v>8200</v>
          </cell>
          <cell r="T271">
            <v>24.6</v>
          </cell>
          <cell r="U271">
            <v>0</v>
          </cell>
          <cell r="V271">
            <v>35</v>
          </cell>
          <cell r="W271">
            <v>0</v>
          </cell>
          <cell r="X271">
            <v>0</v>
          </cell>
          <cell r="Y271">
            <v>0</v>
          </cell>
          <cell r="Z271">
            <v>0</v>
          </cell>
          <cell r="AA271">
            <v>3463.8</v>
          </cell>
        </row>
        <row r="272">
          <cell r="A272" t="str">
            <v>BWX Technologies, Inc.</v>
          </cell>
          <cell r="B272">
            <v>37257</v>
          </cell>
          <cell r="C272">
            <v>7877</v>
          </cell>
          <cell r="D272">
            <v>7877</v>
          </cell>
          <cell r="E272" t="str">
            <v>N/A</v>
          </cell>
          <cell r="F272" t="str">
            <v>N/A</v>
          </cell>
          <cell r="G272">
            <v>6100</v>
          </cell>
          <cell r="H272">
            <v>6100</v>
          </cell>
          <cell r="I272" t="str">
            <v>N/A</v>
          </cell>
          <cell r="J272" t="str">
            <v>N/A</v>
          </cell>
          <cell r="K272">
            <v>2476.6</v>
          </cell>
          <cell r="L272">
            <v>0</v>
          </cell>
          <cell r="M272">
            <v>75</v>
          </cell>
          <cell r="N272">
            <v>0</v>
          </cell>
          <cell r="O272">
            <v>0</v>
          </cell>
          <cell r="P272">
            <v>0</v>
          </cell>
          <cell r="Q272">
            <v>0</v>
          </cell>
          <cell r="R272">
            <v>0</v>
          </cell>
          <cell r="S272">
            <v>6100</v>
          </cell>
          <cell r="T272">
            <v>18.3</v>
          </cell>
          <cell r="U272">
            <v>0</v>
          </cell>
          <cell r="V272">
            <v>35</v>
          </cell>
          <cell r="W272">
            <v>0</v>
          </cell>
          <cell r="X272">
            <v>0</v>
          </cell>
          <cell r="Y272">
            <v>0</v>
          </cell>
          <cell r="Z272">
            <v>0</v>
          </cell>
          <cell r="AA272">
            <v>2604.9</v>
          </cell>
        </row>
        <row r="273">
          <cell r="A273" t="str">
            <v>BWX Technologies, Inc.</v>
          </cell>
          <cell r="B273">
            <v>37288</v>
          </cell>
          <cell r="C273">
            <v>6066</v>
          </cell>
          <cell r="D273">
            <v>6066</v>
          </cell>
          <cell r="E273" t="str">
            <v>N/A</v>
          </cell>
          <cell r="F273" t="str">
            <v>N/A</v>
          </cell>
          <cell r="G273">
            <v>6185</v>
          </cell>
          <cell r="H273">
            <v>6185</v>
          </cell>
          <cell r="I273" t="str">
            <v>N/A</v>
          </cell>
          <cell r="J273" t="str">
            <v>N/A</v>
          </cell>
          <cell r="K273">
            <v>2511.11</v>
          </cell>
          <cell r="L273">
            <v>0</v>
          </cell>
          <cell r="M273">
            <v>75</v>
          </cell>
          <cell r="N273">
            <v>0</v>
          </cell>
          <cell r="O273">
            <v>0</v>
          </cell>
          <cell r="P273">
            <v>0</v>
          </cell>
          <cell r="Q273">
            <v>0</v>
          </cell>
          <cell r="R273">
            <v>0</v>
          </cell>
          <cell r="S273">
            <v>6185</v>
          </cell>
          <cell r="T273">
            <v>-6.18</v>
          </cell>
          <cell r="U273">
            <v>0</v>
          </cell>
          <cell r="V273">
            <v>35</v>
          </cell>
          <cell r="W273">
            <v>0</v>
          </cell>
          <cell r="X273">
            <v>0</v>
          </cell>
          <cell r="Y273">
            <v>0</v>
          </cell>
          <cell r="Z273">
            <v>0</v>
          </cell>
          <cell r="AA273">
            <v>2614.9299999999998</v>
          </cell>
        </row>
        <row r="274">
          <cell r="A274" t="str">
            <v>BWX Technologies, Inc.</v>
          </cell>
          <cell r="B274">
            <v>37316</v>
          </cell>
          <cell r="C274">
            <v>5176</v>
          </cell>
          <cell r="D274">
            <v>5176</v>
          </cell>
          <cell r="E274" t="str">
            <v>N/A</v>
          </cell>
          <cell r="F274" t="str">
            <v>N/A</v>
          </cell>
          <cell r="G274">
            <v>5266</v>
          </cell>
          <cell r="H274">
            <v>5266</v>
          </cell>
          <cell r="I274" t="str">
            <v>N/A</v>
          </cell>
          <cell r="J274" t="str">
            <v>N/A</v>
          </cell>
          <cell r="K274">
            <v>2138</v>
          </cell>
          <cell r="L274">
            <v>0</v>
          </cell>
          <cell r="M274">
            <v>75</v>
          </cell>
          <cell r="N274">
            <v>0</v>
          </cell>
          <cell r="O274">
            <v>0</v>
          </cell>
          <cell r="P274">
            <v>0</v>
          </cell>
          <cell r="Q274">
            <v>0</v>
          </cell>
          <cell r="R274">
            <v>0</v>
          </cell>
          <cell r="S274">
            <v>5266</v>
          </cell>
          <cell r="T274">
            <v>-5.27</v>
          </cell>
          <cell r="U274">
            <v>0</v>
          </cell>
          <cell r="V274">
            <v>35</v>
          </cell>
          <cell r="W274">
            <v>0</v>
          </cell>
          <cell r="X274">
            <v>0</v>
          </cell>
          <cell r="Y274">
            <v>0</v>
          </cell>
          <cell r="Z274">
            <v>0</v>
          </cell>
          <cell r="AA274">
            <v>2242.73</v>
          </cell>
        </row>
        <row r="275">
          <cell r="A275" t="str">
            <v>BWX Technologies, Inc.</v>
          </cell>
          <cell r="B275">
            <v>37347</v>
          </cell>
          <cell r="C275">
            <v>2034</v>
          </cell>
          <cell r="D275">
            <v>2034</v>
          </cell>
          <cell r="E275" t="str">
            <v>N/A</v>
          </cell>
          <cell r="F275" t="str">
            <v>N/A</v>
          </cell>
          <cell r="G275">
            <v>2152</v>
          </cell>
          <cell r="H275">
            <v>2152</v>
          </cell>
          <cell r="I275" t="str">
            <v>N/A</v>
          </cell>
          <cell r="J275" t="str">
            <v>N/A</v>
          </cell>
          <cell r="K275">
            <v>873.71</v>
          </cell>
          <cell r="L275">
            <v>0</v>
          </cell>
          <cell r="M275">
            <v>75</v>
          </cell>
          <cell r="N275">
            <v>0</v>
          </cell>
          <cell r="O275">
            <v>0</v>
          </cell>
          <cell r="P275">
            <v>0</v>
          </cell>
          <cell r="Q275">
            <v>0</v>
          </cell>
          <cell r="R275">
            <v>0</v>
          </cell>
          <cell r="S275">
            <v>2152</v>
          </cell>
          <cell r="T275">
            <v>-2.15</v>
          </cell>
          <cell r="U275">
            <v>0</v>
          </cell>
          <cell r="V275">
            <v>35</v>
          </cell>
          <cell r="W275">
            <v>0</v>
          </cell>
          <cell r="X275">
            <v>0</v>
          </cell>
          <cell r="Y275">
            <v>0</v>
          </cell>
          <cell r="Z275">
            <v>0</v>
          </cell>
          <cell r="AA275">
            <v>981.56</v>
          </cell>
        </row>
        <row r="276">
          <cell r="A276" t="str">
            <v>BWX Technologies, Inc.</v>
          </cell>
          <cell r="B276">
            <v>37377</v>
          </cell>
          <cell r="C276">
            <v>922</v>
          </cell>
          <cell r="D276">
            <v>922</v>
          </cell>
          <cell r="E276" t="str">
            <v>N/A</v>
          </cell>
          <cell r="F276" t="str">
            <v>N/A</v>
          </cell>
          <cell r="G276">
            <v>1025</v>
          </cell>
          <cell r="H276">
            <v>1025</v>
          </cell>
          <cell r="I276" t="str">
            <v>N/A</v>
          </cell>
          <cell r="J276" t="str">
            <v>N/A</v>
          </cell>
          <cell r="K276">
            <v>416.15</v>
          </cell>
          <cell r="L276">
            <v>0</v>
          </cell>
          <cell r="M276">
            <v>75</v>
          </cell>
          <cell r="N276">
            <v>0</v>
          </cell>
          <cell r="O276">
            <v>0</v>
          </cell>
          <cell r="P276">
            <v>0</v>
          </cell>
          <cell r="Q276">
            <v>0</v>
          </cell>
          <cell r="R276">
            <v>0</v>
          </cell>
          <cell r="S276">
            <v>0</v>
          </cell>
          <cell r="T276">
            <v>0</v>
          </cell>
          <cell r="U276">
            <v>0</v>
          </cell>
          <cell r="V276">
            <v>35</v>
          </cell>
          <cell r="W276">
            <v>0</v>
          </cell>
          <cell r="X276">
            <v>0</v>
          </cell>
          <cell r="Y276">
            <v>0</v>
          </cell>
          <cell r="Z276">
            <v>0</v>
          </cell>
          <cell r="AA276">
            <v>526.15</v>
          </cell>
        </row>
        <row r="277">
          <cell r="A277" t="str">
            <v>BWX Technologies, Inc.</v>
          </cell>
          <cell r="B277">
            <v>37408</v>
          </cell>
          <cell r="C277">
            <v>337</v>
          </cell>
          <cell r="D277">
            <v>337</v>
          </cell>
          <cell r="E277" t="str">
            <v>N/A</v>
          </cell>
          <cell r="F277" t="str">
            <v>N/A</v>
          </cell>
          <cell r="G277">
            <v>410</v>
          </cell>
          <cell r="H277">
            <v>410</v>
          </cell>
          <cell r="I277" t="str">
            <v>N/A</v>
          </cell>
          <cell r="J277" t="str">
            <v>N/A</v>
          </cell>
          <cell r="K277">
            <v>166.46</v>
          </cell>
          <cell r="L277">
            <v>0</v>
          </cell>
          <cell r="M277">
            <v>75</v>
          </cell>
          <cell r="N277">
            <v>0</v>
          </cell>
          <cell r="O277">
            <v>0</v>
          </cell>
          <cell r="P277">
            <v>0</v>
          </cell>
          <cell r="Q277">
            <v>0</v>
          </cell>
          <cell r="R277">
            <v>0</v>
          </cell>
          <cell r="S277">
            <v>0</v>
          </cell>
          <cell r="T277">
            <v>0</v>
          </cell>
          <cell r="U277">
            <v>0</v>
          </cell>
          <cell r="V277">
            <v>35</v>
          </cell>
          <cell r="W277">
            <v>0</v>
          </cell>
          <cell r="X277">
            <v>0</v>
          </cell>
          <cell r="Y277">
            <v>0</v>
          </cell>
          <cell r="Z277">
            <v>0</v>
          </cell>
          <cell r="AA277">
            <v>276.45999999999998</v>
          </cell>
        </row>
        <row r="278">
          <cell r="A278" t="str">
            <v>BWX Technologies, Inc.</v>
          </cell>
          <cell r="B278">
            <v>37438</v>
          </cell>
          <cell r="C278">
            <v>1262</v>
          </cell>
          <cell r="D278">
            <v>1262</v>
          </cell>
          <cell r="E278" t="str">
            <v>N/A</v>
          </cell>
          <cell r="F278" t="str">
            <v>N/A</v>
          </cell>
          <cell r="G278">
            <v>1080</v>
          </cell>
          <cell r="H278">
            <v>1080</v>
          </cell>
          <cell r="I278" t="str">
            <v>N/A</v>
          </cell>
          <cell r="J278" t="str">
            <v>N/A</v>
          </cell>
          <cell r="K278">
            <v>438.48</v>
          </cell>
          <cell r="L278">
            <v>0</v>
          </cell>
          <cell r="M278">
            <v>75</v>
          </cell>
          <cell r="N278">
            <v>0</v>
          </cell>
          <cell r="O278">
            <v>0</v>
          </cell>
          <cell r="P278">
            <v>0</v>
          </cell>
          <cell r="Q278">
            <v>0</v>
          </cell>
          <cell r="R278">
            <v>0</v>
          </cell>
          <cell r="S278">
            <v>0</v>
          </cell>
          <cell r="T278">
            <v>0</v>
          </cell>
          <cell r="U278">
            <v>0</v>
          </cell>
          <cell r="V278">
            <v>35</v>
          </cell>
          <cell r="W278">
            <v>0</v>
          </cell>
          <cell r="X278">
            <v>0</v>
          </cell>
          <cell r="Y278">
            <v>0</v>
          </cell>
          <cell r="Z278">
            <v>0</v>
          </cell>
          <cell r="AA278">
            <v>548.48</v>
          </cell>
        </row>
        <row r="279">
          <cell r="A279" t="str">
            <v>Consolidated Grain &amp; Barge - Soybean Plant</v>
          </cell>
          <cell r="B279">
            <v>37104</v>
          </cell>
          <cell r="C279">
            <v>31925</v>
          </cell>
          <cell r="D279">
            <v>31925</v>
          </cell>
          <cell r="E279" t="str">
            <v>N/A</v>
          </cell>
          <cell r="F279" t="str">
            <v>N/A</v>
          </cell>
          <cell r="G279">
            <v>35200</v>
          </cell>
          <cell r="H279">
            <v>35200</v>
          </cell>
          <cell r="I279" t="str">
            <v>N/A</v>
          </cell>
          <cell r="J279" t="str">
            <v>N/A</v>
          </cell>
          <cell r="K279">
            <v>14291.2</v>
          </cell>
          <cell r="L279">
            <v>0</v>
          </cell>
          <cell r="M279">
            <v>75</v>
          </cell>
          <cell r="N279">
            <v>0</v>
          </cell>
          <cell r="O279">
            <v>0</v>
          </cell>
          <cell r="P279">
            <v>0</v>
          </cell>
          <cell r="Q279">
            <v>0</v>
          </cell>
          <cell r="R279">
            <v>0</v>
          </cell>
          <cell r="S279">
            <v>35200</v>
          </cell>
          <cell r="T279">
            <v>105.6</v>
          </cell>
          <cell r="U279">
            <v>0</v>
          </cell>
          <cell r="V279">
            <v>35</v>
          </cell>
          <cell r="W279">
            <v>1.75</v>
          </cell>
          <cell r="X279">
            <v>0</v>
          </cell>
          <cell r="Y279">
            <v>0</v>
          </cell>
          <cell r="Z279">
            <v>0</v>
          </cell>
          <cell r="AA279">
            <v>14508.55</v>
          </cell>
        </row>
        <row r="280">
          <cell r="A280" t="str">
            <v>Consolidated Grain &amp; Barge - Soybean Plant</v>
          </cell>
          <cell r="B280">
            <v>37135</v>
          </cell>
          <cell r="C280">
            <v>41185</v>
          </cell>
          <cell r="D280">
            <v>41185</v>
          </cell>
          <cell r="E280" t="str">
            <v>N/A</v>
          </cell>
          <cell r="F280" t="str">
            <v>N/A</v>
          </cell>
          <cell r="G280">
            <v>39300</v>
          </cell>
          <cell r="H280">
            <v>39300</v>
          </cell>
          <cell r="I280" t="str">
            <v>N/A</v>
          </cell>
          <cell r="J280" t="str">
            <v>N/A</v>
          </cell>
          <cell r="K280">
            <v>15955.8</v>
          </cell>
          <cell r="L280">
            <v>0</v>
          </cell>
          <cell r="M280">
            <v>75</v>
          </cell>
          <cell r="N280">
            <v>0</v>
          </cell>
          <cell r="O280">
            <v>0</v>
          </cell>
          <cell r="P280">
            <v>0</v>
          </cell>
          <cell r="Q280">
            <v>0</v>
          </cell>
          <cell r="R280">
            <v>0</v>
          </cell>
          <cell r="S280">
            <v>39300</v>
          </cell>
          <cell r="T280">
            <v>117.9</v>
          </cell>
          <cell r="U280">
            <v>0</v>
          </cell>
          <cell r="V280">
            <v>35</v>
          </cell>
          <cell r="W280">
            <v>1.75</v>
          </cell>
          <cell r="X280">
            <v>0</v>
          </cell>
          <cell r="Y280">
            <v>0</v>
          </cell>
          <cell r="Z280">
            <v>0</v>
          </cell>
          <cell r="AA280">
            <v>16185.45</v>
          </cell>
        </row>
        <row r="281">
          <cell r="A281" t="str">
            <v>Consolidated Grain &amp; Barge - Soybean Plant</v>
          </cell>
          <cell r="B281">
            <v>37165</v>
          </cell>
          <cell r="C281">
            <v>48011</v>
          </cell>
          <cell r="D281">
            <v>48011</v>
          </cell>
          <cell r="E281" t="str">
            <v>N/A</v>
          </cell>
          <cell r="F281" t="str">
            <v>N/A</v>
          </cell>
          <cell r="G281">
            <v>47500</v>
          </cell>
          <cell r="H281">
            <v>47500</v>
          </cell>
          <cell r="I281" t="str">
            <v>N/A</v>
          </cell>
          <cell r="J281" t="str">
            <v>N/A</v>
          </cell>
          <cell r="K281">
            <v>19285</v>
          </cell>
          <cell r="L281">
            <v>0</v>
          </cell>
          <cell r="M281">
            <v>75</v>
          </cell>
          <cell r="N281">
            <v>0</v>
          </cell>
          <cell r="O281">
            <v>0</v>
          </cell>
          <cell r="P281">
            <v>0</v>
          </cell>
          <cell r="Q281">
            <v>0</v>
          </cell>
          <cell r="R281">
            <v>0</v>
          </cell>
          <cell r="S281">
            <v>47500</v>
          </cell>
          <cell r="T281">
            <v>142.5</v>
          </cell>
          <cell r="U281">
            <v>0</v>
          </cell>
          <cell r="V281">
            <v>35</v>
          </cell>
          <cell r="W281">
            <v>1.75</v>
          </cell>
          <cell r="X281">
            <v>0</v>
          </cell>
          <cell r="Y281">
            <v>0</v>
          </cell>
          <cell r="Z281">
            <v>0</v>
          </cell>
          <cell r="AA281">
            <v>19539.25</v>
          </cell>
        </row>
        <row r="282">
          <cell r="A282" t="str">
            <v>Consolidated Grain &amp; Barge - Soybean Plant</v>
          </cell>
          <cell r="B282">
            <v>37196</v>
          </cell>
          <cell r="C282">
            <v>50372</v>
          </cell>
          <cell r="D282">
            <v>50372</v>
          </cell>
          <cell r="E282" t="str">
            <v>N/A</v>
          </cell>
          <cell r="F282" t="str">
            <v>N/A</v>
          </cell>
          <cell r="G282">
            <v>51000</v>
          </cell>
          <cell r="H282">
            <v>51000</v>
          </cell>
          <cell r="I282" t="str">
            <v>N/A</v>
          </cell>
          <cell r="J282" t="str">
            <v>N/A</v>
          </cell>
          <cell r="K282">
            <v>20706</v>
          </cell>
          <cell r="L282">
            <v>0</v>
          </cell>
          <cell r="M282">
            <v>75</v>
          </cell>
          <cell r="N282">
            <v>0</v>
          </cell>
          <cell r="O282">
            <v>0</v>
          </cell>
          <cell r="P282">
            <v>0</v>
          </cell>
          <cell r="Q282">
            <v>0</v>
          </cell>
          <cell r="R282">
            <v>0</v>
          </cell>
          <cell r="S282">
            <v>51000</v>
          </cell>
          <cell r="T282">
            <v>153</v>
          </cell>
          <cell r="U282">
            <v>0</v>
          </cell>
          <cell r="V282">
            <v>35</v>
          </cell>
          <cell r="W282">
            <v>1.75</v>
          </cell>
          <cell r="X282">
            <v>0</v>
          </cell>
          <cell r="Y282">
            <v>0</v>
          </cell>
          <cell r="Z282">
            <v>0</v>
          </cell>
          <cell r="AA282">
            <v>20970.75</v>
          </cell>
        </row>
        <row r="283">
          <cell r="A283" t="str">
            <v>Consolidated Grain &amp; Barge - Soybean Plant</v>
          </cell>
          <cell r="B283">
            <v>37226</v>
          </cell>
          <cell r="C283">
            <v>53078</v>
          </cell>
          <cell r="D283">
            <v>53078</v>
          </cell>
          <cell r="E283" t="str">
            <v>N/A</v>
          </cell>
          <cell r="F283" t="str">
            <v>N/A</v>
          </cell>
          <cell r="G283">
            <v>54000</v>
          </cell>
          <cell r="H283">
            <v>54000</v>
          </cell>
          <cell r="I283" t="str">
            <v>N/A</v>
          </cell>
          <cell r="J283" t="str">
            <v>N/A</v>
          </cell>
          <cell r="K283">
            <v>21924</v>
          </cell>
          <cell r="L283">
            <v>0</v>
          </cell>
          <cell r="M283">
            <v>75</v>
          </cell>
          <cell r="N283">
            <v>0</v>
          </cell>
          <cell r="O283">
            <v>0</v>
          </cell>
          <cell r="P283">
            <v>0</v>
          </cell>
          <cell r="Q283">
            <v>0</v>
          </cell>
          <cell r="R283">
            <v>0</v>
          </cell>
          <cell r="S283">
            <v>54000</v>
          </cell>
          <cell r="T283">
            <v>162</v>
          </cell>
          <cell r="U283">
            <v>0</v>
          </cell>
          <cell r="V283">
            <v>35</v>
          </cell>
          <cell r="W283">
            <v>1.75</v>
          </cell>
          <cell r="X283">
            <v>0</v>
          </cell>
          <cell r="Y283">
            <v>0</v>
          </cell>
          <cell r="Z283">
            <v>0</v>
          </cell>
          <cell r="AA283">
            <v>22197.75</v>
          </cell>
        </row>
        <row r="284">
          <cell r="A284" t="str">
            <v>Consolidated Grain &amp; Barge - Soybean Plant</v>
          </cell>
          <cell r="B284">
            <v>37257</v>
          </cell>
          <cell r="C284">
            <v>50934</v>
          </cell>
          <cell r="D284">
            <v>50934</v>
          </cell>
          <cell r="E284" t="str">
            <v>N/A</v>
          </cell>
          <cell r="F284" t="str">
            <v>N/A</v>
          </cell>
          <cell r="G284">
            <v>51772</v>
          </cell>
          <cell r="H284">
            <v>51772</v>
          </cell>
          <cell r="I284" t="str">
            <v>N/A</v>
          </cell>
          <cell r="J284" t="str">
            <v>N/A</v>
          </cell>
          <cell r="K284">
            <v>21019.43</v>
          </cell>
          <cell r="L284">
            <v>0</v>
          </cell>
          <cell r="M284">
            <v>75</v>
          </cell>
          <cell r="N284">
            <v>0</v>
          </cell>
          <cell r="O284">
            <v>0</v>
          </cell>
          <cell r="P284">
            <v>0</v>
          </cell>
          <cell r="Q284">
            <v>0</v>
          </cell>
          <cell r="R284">
            <v>0</v>
          </cell>
          <cell r="S284">
            <v>51772</v>
          </cell>
          <cell r="T284">
            <v>155.32</v>
          </cell>
          <cell r="U284">
            <v>0</v>
          </cell>
          <cell r="V284">
            <v>35</v>
          </cell>
          <cell r="W284">
            <v>1.75</v>
          </cell>
          <cell r="X284">
            <v>0</v>
          </cell>
          <cell r="Y284">
            <v>0</v>
          </cell>
          <cell r="Z284">
            <v>0</v>
          </cell>
          <cell r="AA284">
            <v>21286.5</v>
          </cell>
        </row>
        <row r="285">
          <cell r="A285" t="str">
            <v>Consolidated Grain &amp; Barge - Soybean Plant</v>
          </cell>
          <cell r="B285">
            <v>37288</v>
          </cell>
          <cell r="C285">
            <v>47767</v>
          </cell>
          <cell r="D285">
            <v>47767</v>
          </cell>
          <cell r="E285" t="str">
            <v>N/A</v>
          </cell>
          <cell r="F285" t="str">
            <v>N/A</v>
          </cell>
          <cell r="G285">
            <v>49857</v>
          </cell>
          <cell r="H285">
            <v>49857</v>
          </cell>
          <cell r="I285" t="str">
            <v>N/A</v>
          </cell>
          <cell r="J285" t="str">
            <v>N/A</v>
          </cell>
          <cell r="K285">
            <v>20241.939999999999</v>
          </cell>
          <cell r="L285">
            <v>0</v>
          </cell>
          <cell r="M285">
            <v>75</v>
          </cell>
          <cell r="N285">
            <v>0</v>
          </cell>
          <cell r="O285">
            <v>0</v>
          </cell>
          <cell r="P285">
            <v>0</v>
          </cell>
          <cell r="Q285">
            <v>0</v>
          </cell>
          <cell r="R285">
            <v>0</v>
          </cell>
          <cell r="S285">
            <v>49857</v>
          </cell>
          <cell r="T285">
            <v>-49.86</v>
          </cell>
          <cell r="U285">
            <v>0</v>
          </cell>
          <cell r="V285">
            <v>35</v>
          </cell>
          <cell r="W285">
            <v>1.75</v>
          </cell>
          <cell r="X285">
            <v>0</v>
          </cell>
          <cell r="Y285">
            <v>0</v>
          </cell>
          <cell r="Z285">
            <v>0</v>
          </cell>
          <cell r="AA285">
            <v>20303.830000000002</v>
          </cell>
        </row>
        <row r="286">
          <cell r="A286" t="str">
            <v>Consolidated Grain &amp; Barge - Soybean Plant</v>
          </cell>
          <cell r="B286">
            <v>37316</v>
          </cell>
          <cell r="C286">
            <v>52088</v>
          </cell>
          <cell r="D286">
            <v>52088</v>
          </cell>
          <cell r="E286" t="str">
            <v>N/A</v>
          </cell>
          <cell r="F286" t="str">
            <v>N/A</v>
          </cell>
          <cell r="G286">
            <v>51407</v>
          </cell>
          <cell r="H286">
            <v>51407</v>
          </cell>
          <cell r="I286" t="str">
            <v>N/A</v>
          </cell>
          <cell r="J286" t="str">
            <v>N/A</v>
          </cell>
          <cell r="K286">
            <v>20871.240000000002</v>
          </cell>
          <cell r="L286">
            <v>0</v>
          </cell>
          <cell r="M286">
            <v>75</v>
          </cell>
          <cell r="N286">
            <v>0</v>
          </cell>
          <cell r="O286">
            <v>0</v>
          </cell>
          <cell r="P286">
            <v>0</v>
          </cell>
          <cell r="Q286">
            <v>0</v>
          </cell>
          <cell r="R286">
            <v>0</v>
          </cell>
          <cell r="S286">
            <v>51407</v>
          </cell>
          <cell r="T286">
            <v>-51.41</v>
          </cell>
          <cell r="U286">
            <v>0</v>
          </cell>
          <cell r="V286">
            <v>35</v>
          </cell>
          <cell r="W286">
            <v>1.75</v>
          </cell>
          <cell r="X286">
            <v>0</v>
          </cell>
          <cell r="Y286">
            <v>0</v>
          </cell>
          <cell r="Z286">
            <v>0</v>
          </cell>
          <cell r="AA286">
            <v>20931.580000000002</v>
          </cell>
        </row>
        <row r="287">
          <cell r="A287" t="str">
            <v>Consolidated Grain &amp; Barge - Soybean Plant</v>
          </cell>
          <cell r="B287">
            <v>37347</v>
          </cell>
          <cell r="C287">
            <v>47047</v>
          </cell>
          <cell r="D287">
            <v>47047</v>
          </cell>
          <cell r="E287" t="str">
            <v>N/A</v>
          </cell>
          <cell r="F287" t="str">
            <v>N/A</v>
          </cell>
          <cell r="G287">
            <v>48666</v>
          </cell>
          <cell r="H287">
            <v>48666</v>
          </cell>
          <cell r="I287" t="str">
            <v>N/A</v>
          </cell>
          <cell r="J287" t="str">
            <v>N/A</v>
          </cell>
          <cell r="K287">
            <v>19758.400000000001</v>
          </cell>
          <cell r="L287">
            <v>0</v>
          </cell>
          <cell r="M287">
            <v>75</v>
          </cell>
          <cell r="N287">
            <v>0</v>
          </cell>
          <cell r="O287">
            <v>0</v>
          </cell>
          <cell r="P287">
            <v>0</v>
          </cell>
          <cell r="Q287">
            <v>0</v>
          </cell>
          <cell r="R287">
            <v>0</v>
          </cell>
          <cell r="S287">
            <v>48666</v>
          </cell>
          <cell r="T287">
            <v>-48.67</v>
          </cell>
          <cell r="U287">
            <v>0</v>
          </cell>
          <cell r="V287">
            <v>35</v>
          </cell>
          <cell r="W287">
            <v>1.75</v>
          </cell>
          <cell r="X287">
            <v>0</v>
          </cell>
          <cell r="Y287">
            <v>0</v>
          </cell>
          <cell r="Z287">
            <v>0</v>
          </cell>
          <cell r="AA287">
            <v>19821.48</v>
          </cell>
        </row>
        <row r="288">
          <cell r="A288" t="str">
            <v>Consolidated Grain &amp; Barge - Soybean Plant</v>
          </cell>
          <cell r="B288">
            <v>37377</v>
          </cell>
          <cell r="C288">
            <v>46851</v>
          </cell>
          <cell r="D288">
            <v>46851</v>
          </cell>
          <cell r="E288" t="str">
            <v>N/A</v>
          </cell>
          <cell r="F288" t="str">
            <v>N/A</v>
          </cell>
          <cell r="G288">
            <v>47680</v>
          </cell>
          <cell r="H288">
            <v>47680</v>
          </cell>
          <cell r="I288" t="str">
            <v>N/A</v>
          </cell>
          <cell r="J288" t="str">
            <v>N/A</v>
          </cell>
          <cell r="K288">
            <v>19358.080000000002</v>
          </cell>
          <cell r="L288">
            <v>0</v>
          </cell>
          <cell r="M288">
            <v>75</v>
          </cell>
          <cell r="N288">
            <v>0</v>
          </cell>
          <cell r="O288">
            <v>0</v>
          </cell>
          <cell r="P288">
            <v>0</v>
          </cell>
          <cell r="Q288">
            <v>0</v>
          </cell>
          <cell r="R288">
            <v>0</v>
          </cell>
          <cell r="S288">
            <v>0</v>
          </cell>
          <cell r="T288">
            <v>0</v>
          </cell>
          <cell r="U288">
            <v>0</v>
          </cell>
          <cell r="V288">
            <v>35</v>
          </cell>
          <cell r="W288">
            <v>1.75</v>
          </cell>
          <cell r="X288">
            <v>0</v>
          </cell>
          <cell r="Y288">
            <v>0</v>
          </cell>
          <cell r="Z288">
            <v>0</v>
          </cell>
          <cell r="AA288">
            <v>19469.830000000002</v>
          </cell>
        </row>
        <row r="289">
          <cell r="A289" t="str">
            <v>Consolidated Grain &amp; Barge - Soybean Plant</v>
          </cell>
          <cell r="B289">
            <v>37408</v>
          </cell>
          <cell r="C289">
            <v>43689</v>
          </cell>
          <cell r="D289">
            <v>43689</v>
          </cell>
          <cell r="E289" t="str">
            <v>N/A</v>
          </cell>
          <cell r="F289" t="str">
            <v>N/A</v>
          </cell>
          <cell r="G289">
            <v>44943</v>
          </cell>
          <cell r="H289">
            <v>44943</v>
          </cell>
          <cell r="I289" t="str">
            <v>N/A</v>
          </cell>
          <cell r="J289" t="str">
            <v>N/A</v>
          </cell>
          <cell r="K289">
            <v>18246.86</v>
          </cell>
          <cell r="L289">
            <v>0</v>
          </cell>
          <cell r="M289">
            <v>75</v>
          </cell>
          <cell r="N289">
            <v>0</v>
          </cell>
          <cell r="O289">
            <v>0</v>
          </cell>
          <cell r="P289">
            <v>0</v>
          </cell>
          <cell r="Q289">
            <v>0</v>
          </cell>
          <cell r="R289">
            <v>0</v>
          </cell>
          <cell r="S289">
            <v>0</v>
          </cell>
          <cell r="T289">
            <v>0</v>
          </cell>
          <cell r="U289">
            <v>0</v>
          </cell>
          <cell r="V289">
            <v>35</v>
          </cell>
          <cell r="W289">
            <v>1.75</v>
          </cell>
          <cell r="X289">
            <v>0</v>
          </cell>
          <cell r="Y289">
            <v>0</v>
          </cell>
          <cell r="Z289">
            <v>0</v>
          </cell>
          <cell r="AA289">
            <v>18358.61</v>
          </cell>
        </row>
        <row r="290">
          <cell r="A290" t="str">
            <v>Consolidated Grain &amp; Barge - Soybean Plant</v>
          </cell>
          <cell r="B290">
            <v>37438</v>
          </cell>
          <cell r="C290">
            <v>36696</v>
          </cell>
          <cell r="D290">
            <v>36696</v>
          </cell>
          <cell r="E290" t="str">
            <v>N/A</v>
          </cell>
          <cell r="F290" t="str">
            <v>N/A</v>
          </cell>
          <cell r="G290">
            <v>37310</v>
          </cell>
          <cell r="H290">
            <v>37310</v>
          </cell>
          <cell r="I290" t="str">
            <v>N/A</v>
          </cell>
          <cell r="J290" t="str">
            <v>N/A</v>
          </cell>
          <cell r="K290">
            <v>15147.86</v>
          </cell>
          <cell r="L290">
            <v>0</v>
          </cell>
          <cell r="M290">
            <v>75</v>
          </cell>
          <cell r="N290">
            <v>0</v>
          </cell>
          <cell r="O290">
            <v>0</v>
          </cell>
          <cell r="P290">
            <v>0</v>
          </cell>
          <cell r="Q290">
            <v>0</v>
          </cell>
          <cell r="R290">
            <v>0</v>
          </cell>
          <cell r="S290">
            <v>0</v>
          </cell>
          <cell r="T290">
            <v>0</v>
          </cell>
          <cell r="U290">
            <v>0</v>
          </cell>
          <cell r="V290">
            <v>35</v>
          </cell>
          <cell r="W290">
            <v>1.75</v>
          </cell>
          <cell r="X290">
            <v>0</v>
          </cell>
          <cell r="Y290">
            <v>0</v>
          </cell>
          <cell r="Z290">
            <v>0</v>
          </cell>
          <cell r="AA290">
            <v>15259.61</v>
          </cell>
        </row>
        <row r="291">
          <cell r="A291" t="str">
            <v>CountryMark Cooperative, Inc.</v>
          </cell>
          <cell r="B291">
            <v>37104</v>
          </cell>
          <cell r="C291">
            <v>3669</v>
          </cell>
          <cell r="D291">
            <v>3669</v>
          </cell>
          <cell r="E291" t="str">
            <v>N/A</v>
          </cell>
          <cell r="F291" t="str">
            <v>N/A</v>
          </cell>
          <cell r="G291">
            <v>6000</v>
          </cell>
          <cell r="H291">
            <v>6000</v>
          </cell>
          <cell r="I291" t="str">
            <v>N/A</v>
          </cell>
          <cell r="J291" t="str">
            <v>N/A</v>
          </cell>
          <cell r="K291">
            <v>2436</v>
          </cell>
          <cell r="L291">
            <v>0</v>
          </cell>
          <cell r="M291">
            <v>75</v>
          </cell>
          <cell r="N291">
            <v>0</v>
          </cell>
          <cell r="O291">
            <v>0</v>
          </cell>
          <cell r="P291">
            <v>0</v>
          </cell>
          <cell r="Q291">
            <v>0</v>
          </cell>
          <cell r="R291">
            <v>0</v>
          </cell>
          <cell r="S291">
            <v>6000</v>
          </cell>
          <cell r="T291">
            <v>18</v>
          </cell>
          <cell r="U291">
            <v>0</v>
          </cell>
          <cell r="V291">
            <v>35</v>
          </cell>
          <cell r="W291">
            <v>1.75</v>
          </cell>
          <cell r="X291">
            <v>0</v>
          </cell>
          <cell r="Y291">
            <v>0</v>
          </cell>
          <cell r="Z291">
            <v>0</v>
          </cell>
          <cell r="AA291">
            <v>2565.75</v>
          </cell>
        </row>
        <row r="292">
          <cell r="A292" t="str">
            <v>CountryMark Cooperative, Inc.</v>
          </cell>
          <cell r="B292">
            <v>37135</v>
          </cell>
          <cell r="C292">
            <v>3600</v>
          </cell>
          <cell r="D292">
            <v>3600</v>
          </cell>
          <cell r="E292" t="str">
            <v>N/A</v>
          </cell>
          <cell r="F292" t="str">
            <v>N/A</v>
          </cell>
          <cell r="G292">
            <v>6000</v>
          </cell>
          <cell r="H292">
            <v>6000</v>
          </cell>
          <cell r="I292" t="str">
            <v>N/A</v>
          </cell>
          <cell r="J292" t="str">
            <v>N/A</v>
          </cell>
          <cell r="K292">
            <v>2436</v>
          </cell>
          <cell r="L292">
            <v>0</v>
          </cell>
          <cell r="M292">
            <v>75</v>
          </cell>
          <cell r="N292">
            <v>0</v>
          </cell>
          <cell r="O292">
            <v>0</v>
          </cell>
          <cell r="P292">
            <v>0</v>
          </cell>
          <cell r="Q292">
            <v>0</v>
          </cell>
          <cell r="R292">
            <v>0</v>
          </cell>
          <cell r="S292">
            <v>6000</v>
          </cell>
          <cell r="T292">
            <v>18</v>
          </cell>
          <cell r="U292">
            <v>0</v>
          </cell>
          <cell r="V292">
            <v>35</v>
          </cell>
          <cell r="W292">
            <v>1.75</v>
          </cell>
          <cell r="X292">
            <v>0</v>
          </cell>
          <cell r="Y292">
            <v>0</v>
          </cell>
          <cell r="Z292">
            <v>0</v>
          </cell>
          <cell r="AA292">
            <v>2565.75</v>
          </cell>
        </row>
        <row r="293">
          <cell r="A293" t="str">
            <v>CountryMark Cooperative, Inc.</v>
          </cell>
          <cell r="B293">
            <v>37165</v>
          </cell>
          <cell r="C293">
            <v>4577</v>
          </cell>
          <cell r="D293">
            <v>4577</v>
          </cell>
          <cell r="E293" t="str">
            <v>N/A</v>
          </cell>
          <cell r="F293" t="str">
            <v>N/A</v>
          </cell>
          <cell r="G293">
            <v>6000</v>
          </cell>
          <cell r="H293">
            <v>6000</v>
          </cell>
          <cell r="I293" t="str">
            <v>N/A</v>
          </cell>
          <cell r="J293" t="str">
            <v>N/A</v>
          </cell>
          <cell r="K293">
            <v>2436</v>
          </cell>
          <cell r="L293">
            <v>0</v>
          </cell>
          <cell r="M293">
            <v>75</v>
          </cell>
          <cell r="N293">
            <v>0</v>
          </cell>
          <cell r="O293">
            <v>0</v>
          </cell>
          <cell r="P293">
            <v>0</v>
          </cell>
          <cell r="Q293">
            <v>0</v>
          </cell>
          <cell r="R293">
            <v>0</v>
          </cell>
          <cell r="S293">
            <v>6000</v>
          </cell>
          <cell r="T293">
            <v>18</v>
          </cell>
          <cell r="U293">
            <v>0</v>
          </cell>
          <cell r="V293">
            <v>35</v>
          </cell>
          <cell r="W293">
            <v>1.75</v>
          </cell>
          <cell r="X293">
            <v>0</v>
          </cell>
          <cell r="Y293">
            <v>0</v>
          </cell>
          <cell r="Z293">
            <v>0</v>
          </cell>
          <cell r="AA293">
            <v>2565.75</v>
          </cell>
        </row>
        <row r="294">
          <cell r="A294" t="str">
            <v>CountryMark Cooperative, Inc.</v>
          </cell>
          <cell r="B294">
            <v>37196</v>
          </cell>
          <cell r="C294">
            <v>9121</v>
          </cell>
          <cell r="D294">
            <v>9121</v>
          </cell>
          <cell r="E294" t="str">
            <v>N/A</v>
          </cell>
          <cell r="F294" t="str">
            <v>N/A</v>
          </cell>
          <cell r="G294">
            <v>7000</v>
          </cell>
          <cell r="H294">
            <v>7000</v>
          </cell>
          <cell r="I294" t="str">
            <v>N/A</v>
          </cell>
          <cell r="J294" t="str">
            <v>N/A</v>
          </cell>
          <cell r="K294">
            <v>2842</v>
          </cell>
          <cell r="L294">
            <v>0</v>
          </cell>
          <cell r="M294">
            <v>75</v>
          </cell>
          <cell r="N294">
            <v>0</v>
          </cell>
          <cell r="O294">
            <v>0</v>
          </cell>
          <cell r="P294">
            <v>0</v>
          </cell>
          <cell r="Q294">
            <v>0</v>
          </cell>
          <cell r="R294">
            <v>0</v>
          </cell>
          <cell r="S294">
            <v>7000</v>
          </cell>
          <cell r="T294">
            <v>21</v>
          </cell>
          <cell r="U294">
            <v>0</v>
          </cell>
          <cell r="V294">
            <v>35</v>
          </cell>
          <cell r="W294">
            <v>1.75</v>
          </cell>
          <cell r="X294">
            <v>0</v>
          </cell>
          <cell r="Y294">
            <v>0</v>
          </cell>
          <cell r="Z294">
            <v>0</v>
          </cell>
          <cell r="AA294">
            <v>2974.75</v>
          </cell>
        </row>
        <row r="295">
          <cell r="A295" t="str">
            <v>CountryMark Cooperative, Inc.</v>
          </cell>
          <cell r="B295">
            <v>37226</v>
          </cell>
          <cell r="C295">
            <v>33071</v>
          </cell>
          <cell r="D295">
            <v>33071</v>
          </cell>
          <cell r="E295" t="str">
            <v>N/A</v>
          </cell>
          <cell r="F295" t="str">
            <v>N/A</v>
          </cell>
          <cell r="G295">
            <v>25000</v>
          </cell>
          <cell r="H295">
            <v>25000</v>
          </cell>
          <cell r="I295" t="str">
            <v>N/A</v>
          </cell>
          <cell r="J295" t="str">
            <v>N/A</v>
          </cell>
          <cell r="K295">
            <v>10150</v>
          </cell>
          <cell r="L295">
            <v>0</v>
          </cell>
          <cell r="M295">
            <v>75</v>
          </cell>
          <cell r="N295">
            <v>0</v>
          </cell>
          <cell r="O295">
            <v>0</v>
          </cell>
          <cell r="P295">
            <v>0</v>
          </cell>
          <cell r="Q295">
            <v>0</v>
          </cell>
          <cell r="R295">
            <v>0</v>
          </cell>
          <cell r="S295">
            <v>25000</v>
          </cell>
          <cell r="T295">
            <v>75</v>
          </cell>
          <cell r="U295">
            <v>0</v>
          </cell>
          <cell r="V295">
            <v>35</v>
          </cell>
          <cell r="W295">
            <v>1.75</v>
          </cell>
          <cell r="X295">
            <v>0</v>
          </cell>
          <cell r="Y295">
            <v>0</v>
          </cell>
          <cell r="Z295">
            <v>0</v>
          </cell>
          <cell r="AA295">
            <v>10336.75</v>
          </cell>
        </row>
        <row r="296">
          <cell r="A296" t="str">
            <v>CountryMark Cooperative, Inc.</v>
          </cell>
          <cell r="B296">
            <v>37257</v>
          </cell>
          <cell r="C296">
            <v>7953</v>
          </cell>
          <cell r="D296">
            <v>7953</v>
          </cell>
          <cell r="E296" t="str">
            <v>N/A</v>
          </cell>
          <cell r="F296" t="str">
            <v>N/A</v>
          </cell>
          <cell r="G296">
            <v>8500</v>
          </cell>
          <cell r="H296">
            <v>8500</v>
          </cell>
          <cell r="I296" t="str">
            <v>N/A</v>
          </cell>
          <cell r="J296" t="str">
            <v>N/A</v>
          </cell>
          <cell r="K296">
            <v>3451</v>
          </cell>
          <cell r="L296">
            <v>0</v>
          </cell>
          <cell r="M296">
            <v>75</v>
          </cell>
          <cell r="N296">
            <v>0</v>
          </cell>
          <cell r="O296">
            <v>0</v>
          </cell>
          <cell r="P296">
            <v>0</v>
          </cell>
          <cell r="Q296">
            <v>0</v>
          </cell>
          <cell r="R296">
            <v>0</v>
          </cell>
          <cell r="S296">
            <v>8500</v>
          </cell>
          <cell r="T296">
            <v>25.5</v>
          </cell>
          <cell r="U296">
            <v>0</v>
          </cell>
          <cell r="V296">
            <v>35</v>
          </cell>
          <cell r="W296">
            <v>1.75</v>
          </cell>
          <cell r="X296">
            <v>0</v>
          </cell>
          <cell r="Y296">
            <v>0</v>
          </cell>
          <cell r="Z296">
            <v>0</v>
          </cell>
          <cell r="AA296">
            <v>3588.25</v>
          </cell>
        </row>
        <row r="297">
          <cell r="A297" t="str">
            <v>CountryMark Cooperative, Inc.</v>
          </cell>
          <cell r="B297">
            <v>37288</v>
          </cell>
          <cell r="C297">
            <v>5112</v>
          </cell>
          <cell r="D297">
            <v>5112</v>
          </cell>
          <cell r="E297" t="str">
            <v>N/A</v>
          </cell>
          <cell r="F297" t="str">
            <v>N/A</v>
          </cell>
          <cell r="G297">
            <v>6000</v>
          </cell>
          <cell r="H297">
            <v>6000</v>
          </cell>
          <cell r="I297" t="str">
            <v>N/A</v>
          </cell>
          <cell r="J297" t="str">
            <v>N/A</v>
          </cell>
          <cell r="K297">
            <v>2436</v>
          </cell>
          <cell r="L297">
            <v>0</v>
          </cell>
          <cell r="M297">
            <v>75</v>
          </cell>
          <cell r="N297">
            <v>0</v>
          </cell>
          <cell r="O297">
            <v>0</v>
          </cell>
          <cell r="P297">
            <v>0</v>
          </cell>
          <cell r="Q297">
            <v>0</v>
          </cell>
          <cell r="R297">
            <v>0</v>
          </cell>
          <cell r="S297">
            <v>6000</v>
          </cell>
          <cell r="T297">
            <v>-6</v>
          </cell>
          <cell r="U297">
            <v>0</v>
          </cell>
          <cell r="V297">
            <v>35</v>
          </cell>
          <cell r="W297">
            <v>1.75</v>
          </cell>
          <cell r="X297">
            <v>0</v>
          </cell>
          <cell r="Y297">
            <v>0</v>
          </cell>
          <cell r="Z297">
            <v>0</v>
          </cell>
          <cell r="AA297">
            <v>2541.75</v>
          </cell>
        </row>
        <row r="298">
          <cell r="A298" t="str">
            <v>CountryMark Cooperative, Inc.</v>
          </cell>
          <cell r="B298">
            <v>37316</v>
          </cell>
          <cell r="C298">
            <v>5635</v>
          </cell>
          <cell r="D298">
            <v>5635</v>
          </cell>
          <cell r="E298" t="str">
            <v>N/A</v>
          </cell>
          <cell r="F298" t="str">
            <v>N/A</v>
          </cell>
          <cell r="G298">
            <v>6014</v>
          </cell>
          <cell r="H298">
            <v>6014</v>
          </cell>
          <cell r="I298" t="str">
            <v>N/A</v>
          </cell>
          <cell r="J298" t="str">
            <v>N/A</v>
          </cell>
          <cell r="K298">
            <v>2441.6799999999998</v>
          </cell>
          <cell r="L298">
            <v>0</v>
          </cell>
          <cell r="M298">
            <v>75</v>
          </cell>
          <cell r="N298">
            <v>0</v>
          </cell>
          <cell r="O298">
            <v>0</v>
          </cell>
          <cell r="P298">
            <v>0</v>
          </cell>
          <cell r="Q298">
            <v>0</v>
          </cell>
          <cell r="R298">
            <v>0</v>
          </cell>
          <cell r="S298">
            <v>6014</v>
          </cell>
          <cell r="T298">
            <v>-6.01</v>
          </cell>
          <cell r="U298">
            <v>0</v>
          </cell>
          <cell r="V298">
            <v>35</v>
          </cell>
          <cell r="W298">
            <v>1.75</v>
          </cell>
          <cell r="X298">
            <v>0</v>
          </cell>
          <cell r="Y298">
            <v>0</v>
          </cell>
          <cell r="Z298">
            <v>0</v>
          </cell>
          <cell r="AA298">
            <v>2547.42</v>
          </cell>
        </row>
        <row r="299">
          <cell r="A299" t="str">
            <v>CountryMark Cooperative, Inc.</v>
          </cell>
          <cell r="B299">
            <v>37347</v>
          </cell>
          <cell r="C299">
            <v>5934</v>
          </cell>
          <cell r="D299">
            <v>5934</v>
          </cell>
          <cell r="E299" t="str">
            <v>N/A</v>
          </cell>
          <cell r="F299" t="str">
            <v>N/A</v>
          </cell>
          <cell r="G299">
            <v>5223</v>
          </cell>
          <cell r="H299">
            <v>5223</v>
          </cell>
          <cell r="I299" t="str">
            <v>N/A</v>
          </cell>
          <cell r="J299" t="str">
            <v>N/A</v>
          </cell>
          <cell r="K299">
            <v>2120.54</v>
          </cell>
          <cell r="L299">
            <v>0</v>
          </cell>
          <cell r="M299">
            <v>75</v>
          </cell>
          <cell r="N299">
            <v>0</v>
          </cell>
          <cell r="O299">
            <v>0</v>
          </cell>
          <cell r="P299">
            <v>0</v>
          </cell>
          <cell r="Q299">
            <v>0</v>
          </cell>
          <cell r="R299">
            <v>0</v>
          </cell>
          <cell r="S299">
            <v>5223</v>
          </cell>
          <cell r="T299">
            <v>-5.22</v>
          </cell>
          <cell r="U299">
            <v>0</v>
          </cell>
          <cell r="V299">
            <v>35</v>
          </cell>
          <cell r="W299">
            <v>1.75</v>
          </cell>
          <cell r="X299">
            <v>0</v>
          </cell>
          <cell r="Y299">
            <v>0</v>
          </cell>
          <cell r="Z299">
            <v>0</v>
          </cell>
          <cell r="AA299">
            <v>2227.0700000000002</v>
          </cell>
        </row>
        <row r="300">
          <cell r="A300" t="str">
            <v>CountryMark Cooperative, Inc.</v>
          </cell>
          <cell r="B300">
            <v>37377</v>
          </cell>
          <cell r="C300">
            <v>6592</v>
          </cell>
          <cell r="D300">
            <v>6592</v>
          </cell>
          <cell r="E300" t="str">
            <v>N/A</v>
          </cell>
          <cell r="F300" t="str">
            <v>N/A</v>
          </cell>
          <cell r="G300">
            <v>7058</v>
          </cell>
          <cell r="H300">
            <v>7058</v>
          </cell>
          <cell r="I300" t="str">
            <v>N/A</v>
          </cell>
          <cell r="J300" t="str">
            <v>N/A</v>
          </cell>
          <cell r="K300">
            <v>2865.55</v>
          </cell>
          <cell r="L300">
            <v>0</v>
          </cell>
          <cell r="M300">
            <v>75</v>
          </cell>
          <cell r="N300">
            <v>0</v>
          </cell>
          <cell r="O300">
            <v>0</v>
          </cell>
          <cell r="P300">
            <v>0</v>
          </cell>
          <cell r="Q300">
            <v>0</v>
          </cell>
          <cell r="R300">
            <v>0</v>
          </cell>
          <cell r="S300">
            <v>0</v>
          </cell>
          <cell r="T300">
            <v>0</v>
          </cell>
          <cell r="U300">
            <v>0</v>
          </cell>
          <cell r="V300">
            <v>35</v>
          </cell>
          <cell r="W300">
            <v>1.75</v>
          </cell>
          <cell r="X300">
            <v>0</v>
          </cell>
          <cell r="Y300">
            <v>0</v>
          </cell>
          <cell r="Z300">
            <v>0</v>
          </cell>
          <cell r="AA300">
            <v>2977.3</v>
          </cell>
        </row>
        <row r="301">
          <cell r="A301" t="str">
            <v>CountryMark Cooperative, Inc.</v>
          </cell>
          <cell r="B301">
            <v>37408</v>
          </cell>
          <cell r="C301">
            <v>8139</v>
          </cell>
          <cell r="D301">
            <v>8139</v>
          </cell>
          <cell r="E301" t="str">
            <v>N/A</v>
          </cell>
          <cell r="F301" t="str">
            <v>N/A</v>
          </cell>
          <cell r="G301">
            <v>8507</v>
          </cell>
          <cell r="H301">
            <v>8507</v>
          </cell>
          <cell r="I301" t="str">
            <v>N/A</v>
          </cell>
          <cell r="J301" t="str">
            <v>N/A</v>
          </cell>
          <cell r="K301">
            <v>3453.84</v>
          </cell>
          <cell r="L301">
            <v>0</v>
          </cell>
          <cell r="M301">
            <v>75</v>
          </cell>
          <cell r="N301">
            <v>0</v>
          </cell>
          <cell r="O301">
            <v>0</v>
          </cell>
          <cell r="P301">
            <v>0</v>
          </cell>
          <cell r="Q301">
            <v>0</v>
          </cell>
          <cell r="R301">
            <v>0</v>
          </cell>
          <cell r="S301">
            <v>0</v>
          </cell>
          <cell r="T301">
            <v>0</v>
          </cell>
          <cell r="U301">
            <v>0</v>
          </cell>
          <cell r="V301">
            <v>35</v>
          </cell>
          <cell r="W301">
            <v>1.75</v>
          </cell>
          <cell r="X301">
            <v>0</v>
          </cell>
          <cell r="Y301">
            <v>0</v>
          </cell>
          <cell r="Z301">
            <v>0</v>
          </cell>
          <cell r="AA301">
            <v>3565.59</v>
          </cell>
        </row>
        <row r="302">
          <cell r="A302" t="str">
            <v>CountryMark Cooperative, Inc.</v>
          </cell>
          <cell r="B302">
            <v>37438</v>
          </cell>
          <cell r="C302">
            <v>5302</v>
          </cell>
          <cell r="D302">
            <v>5302</v>
          </cell>
          <cell r="E302" t="str">
            <v>N/A</v>
          </cell>
          <cell r="F302" t="str">
            <v>N/A</v>
          </cell>
          <cell r="G302">
            <v>5170</v>
          </cell>
          <cell r="H302">
            <v>5170</v>
          </cell>
          <cell r="I302" t="str">
            <v>N/A</v>
          </cell>
          <cell r="J302" t="str">
            <v>N/A</v>
          </cell>
          <cell r="K302">
            <v>2099.02</v>
          </cell>
          <cell r="L302">
            <v>0</v>
          </cell>
          <cell r="M302">
            <v>75</v>
          </cell>
          <cell r="N302">
            <v>0</v>
          </cell>
          <cell r="O302">
            <v>0</v>
          </cell>
          <cell r="P302">
            <v>0</v>
          </cell>
          <cell r="Q302">
            <v>0</v>
          </cell>
          <cell r="R302">
            <v>0</v>
          </cell>
          <cell r="S302">
            <v>0</v>
          </cell>
          <cell r="T302">
            <v>0</v>
          </cell>
          <cell r="U302">
            <v>0</v>
          </cell>
          <cell r="V302">
            <v>35</v>
          </cell>
          <cell r="W302">
            <v>1.75</v>
          </cell>
          <cell r="X302">
            <v>0</v>
          </cell>
          <cell r="Y302">
            <v>0</v>
          </cell>
          <cell r="Z302">
            <v>0</v>
          </cell>
          <cell r="AA302">
            <v>2210.77</v>
          </cell>
        </row>
        <row r="303">
          <cell r="A303" t="str">
            <v>Deaconess Hospital, Inc.</v>
          </cell>
          <cell r="B303">
            <v>37104</v>
          </cell>
          <cell r="C303">
            <v>8338</v>
          </cell>
          <cell r="D303">
            <v>8338</v>
          </cell>
          <cell r="E303" t="str">
            <v>N/A</v>
          </cell>
          <cell r="F303" t="str">
            <v>N/A</v>
          </cell>
          <cell r="G303">
            <v>7708</v>
          </cell>
          <cell r="H303">
            <v>7708</v>
          </cell>
          <cell r="I303" t="str">
            <v>N/A</v>
          </cell>
          <cell r="J303" t="str">
            <v>N/A</v>
          </cell>
          <cell r="K303">
            <v>3129.45</v>
          </cell>
          <cell r="L303">
            <v>0</v>
          </cell>
          <cell r="M303">
            <v>75</v>
          </cell>
          <cell r="N303">
            <v>0</v>
          </cell>
          <cell r="O303">
            <v>0</v>
          </cell>
          <cell r="P303">
            <v>0</v>
          </cell>
          <cell r="Q303">
            <v>0</v>
          </cell>
          <cell r="R303">
            <v>0</v>
          </cell>
          <cell r="S303">
            <v>7708</v>
          </cell>
          <cell r="T303">
            <v>23.12</v>
          </cell>
          <cell r="U303">
            <v>0</v>
          </cell>
          <cell r="V303">
            <v>35</v>
          </cell>
          <cell r="W303">
            <v>0</v>
          </cell>
          <cell r="X303">
            <v>0</v>
          </cell>
          <cell r="Y303">
            <v>0</v>
          </cell>
          <cell r="Z303">
            <v>0</v>
          </cell>
          <cell r="AA303">
            <v>3262.57</v>
          </cell>
        </row>
        <row r="304">
          <cell r="A304" t="str">
            <v>Deaconess Hospital, Inc.</v>
          </cell>
          <cell r="B304">
            <v>37135</v>
          </cell>
          <cell r="C304">
            <v>8711</v>
          </cell>
          <cell r="D304">
            <v>8711</v>
          </cell>
          <cell r="E304" t="str">
            <v>N/A</v>
          </cell>
          <cell r="F304" t="str">
            <v>N/A</v>
          </cell>
          <cell r="G304">
            <v>9705</v>
          </cell>
          <cell r="H304">
            <v>9705</v>
          </cell>
          <cell r="I304" t="str">
            <v>N/A</v>
          </cell>
          <cell r="J304" t="str">
            <v>N/A</v>
          </cell>
          <cell r="K304">
            <v>3940.23</v>
          </cell>
          <cell r="L304">
            <v>0</v>
          </cell>
          <cell r="M304">
            <v>75</v>
          </cell>
          <cell r="N304">
            <v>0</v>
          </cell>
          <cell r="O304">
            <v>0</v>
          </cell>
          <cell r="P304">
            <v>0</v>
          </cell>
          <cell r="Q304">
            <v>0</v>
          </cell>
          <cell r="R304">
            <v>0</v>
          </cell>
          <cell r="S304">
            <v>9705</v>
          </cell>
          <cell r="T304">
            <v>29.11</v>
          </cell>
          <cell r="U304">
            <v>0</v>
          </cell>
          <cell r="V304">
            <v>35</v>
          </cell>
          <cell r="W304">
            <v>0</v>
          </cell>
          <cell r="X304">
            <v>0</v>
          </cell>
          <cell r="Y304">
            <v>0</v>
          </cell>
          <cell r="Z304">
            <v>0</v>
          </cell>
          <cell r="AA304">
            <v>4079.34</v>
          </cell>
        </row>
        <row r="305">
          <cell r="A305" t="str">
            <v>Deaconess Hospital, Inc.</v>
          </cell>
          <cell r="B305">
            <v>37165</v>
          </cell>
          <cell r="C305">
            <v>11804</v>
          </cell>
          <cell r="D305">
            <v>11804</v>
          </cell>
          <cell r="E305" t="str">
            <v>N/A</v>
          </cell>
          <cell r="F305" t="str">
            <v>N/A</v>
          </cell>
          <cell r="G305">
            <v>11996</v>
          </cell>
          <cell r="H305">
            <v>11996</v>
          </cell>
          <cell r="I305" t="str">
            <v>N/A</v>
          </cell>
          <cell r="J305" t="str">
            <v>N/A</v>
          </cell>
          <cell r="K305">
            <v>4870.38</v>
          </cell>
          <cell r="L305">
            <v>0</v>
          </cell>
          <cell r="M305">
            <v>75</v>
          </cell>
          <cell r="N305">
            <v>0</v>
          </cell>
          <cell r="O305">
            <v>0</v>
          </cell>
          <cell r="P305">
            <v>0</v>
          </cell>
          <cell r="Q305">
            <v>0</v>
          </cell>
          <cell r="R305">
            <v>0</v>
          </cell>
          <cell r="S305">
            <v>11996</v>
          </cell>
          <cell r="T305">
            <v>35.99</v>
          </cell>
          <cell r="U305">
            <v>0</v>
          </cell>
          <cell r="V305">
            <v>35</v>
          </cell>
          <cell r="W305">
            <v>0</v>
          </cell>
          <cell r="X305">
            <v>0</v>
          </cell>
          <cell r="Y305">
            <v>0</v>
          </cell>
          <cell r="Z305">
            <v>0</v>
          </cell>
          <cell r="AA305">
            <v>5016.37</v>
          </cell>
        </row>
        <row r="306">
          <cell r="A306" t="str">
            <v>Deaconess Hospital, Inc.</v>
          </cell>
          <cell r="B306">
            <v>37196</v>
          </cell>
          <cell r="C306">
            <v>13434</v>
          </cell>
          <cell r="D306">
            <v>13434</v>
          </cell>
          <cell r="E306" t="str">
            <v>N/A</v>
          </cell>
          <cell r="F306" t="str">
            <v>N/A</v>
          </cell>
          <cell r="G306">
            <v>14637</v>
          </cell>
          <cell r="H306">
            <v>14637</v>
          </cell>
          <cell r="I306" t="str">
            <v>N/A</v>
          </cell>
          <cell r="J306" t="str">
            <v>N/A</v>
          </cell>
          <cell r="K306">
            <v>5942.62</v>
          </cell>
          <cell r="L306">
            <v>0</v>
          </cell>
          <cell r="M306">
            <v>75</v>
          </cell>
          <cell r="N306">
            <v>0</v>
          </cell>
          <cell r="O306">
            <v>0</v>
          </cell>
          <cell r="P306">
            <v>0</v>
          </cell>
          <cell r="Q306">
            <v>0</v>
          </cell>
          <cell r="R306">
            <v>0</v>
          </cell>
          <cell r="S306">
            <v>14637</v>
          </cell>
          <cell r="T306">
            <v>43.91</v>
          </cell>
          <cell r="U306">
            <v>0</v>
          </cell>
          <cell r="V306">
            <v>35</v>
          </cell>
          <cell r="W306">
            <v>0</v>
          </cell>
          <cell r="X306">
            <v>0</v>
          </cell>
          <cell r="Y306">
            <v>0</v>
          </cell>
          <cell r="Z306">
            <v>0</v>
          </cell>
          <cell r="AA306">
            <v>6096.53</v>
          </cell>
        </row>
        <row r="307">
          <cell r="A307" t="str">
            <v>Deaconess Hospital, Inc.</v>
          </cell>
          <cell r="B307">
            <v>37226</v>
          </cell>
          <cell r="C307">
            <v>16609</v>
          </cell>
          <cell r="D307">
            <v>16609</v>
          </cell>
          <cell r="E307" t="str">
            <v>N/A</v>
          </cell>
          <cell r="F307" t="str">
            <v>N/A</v>
          </cell>
          <cell r="G307">
            <v>14381</v>
          </cell>
          <cell r="H307">
            <v>14381</v>
          </cell>
          <cell r="I307" t="str">
            <v>N/A</v>
          </cell>
          <cell r="J307" t="str">
            <v>N/A</v>
          </cell>
          <cell r="K307">
            <v>5838.69</v>
          </cell>
          <cell r="L307">
            <v>0</v>
          </cell>
          <cell r="M307">
            <v>75</v>
          </cell>
          <cell r="N307">
            <v>0</v>
          </cell>
          <cell r="O307">
            <v>0</v>
          </cell>
          <cell r="P307">
            <v>0</v>
          </cell>
          <cell r="Q307">
            <v>0</v>
          </cell>
          <cell r="R307">
            <v>0</v>
          </cell>
          <cell r="S307">
            <v>14381</v>
          </cell>
          <cell r="T307">
            <v>43.14</v>
          </cell>
          <cell r="U307">
            <v>0</v>
          </cell>
          <cell r="V307">
            <v>35</v>
          </cell>
          <cell r="W307">
            <v>0</v>
          </cell>
          <cell r="X307">
            <v>0</v>
          </cell>
          <cell r="Y307">
            <v>0</v>
          </cell>
          <cell r="Z307">
            <v>0</v>
          </cell>
          <cell r="AA307">
            <v>5991.83</v>
          </cell>
        </row>
        <row r="308">
          <cell r="A308" t="str">
            <v>Deaconess Hospital, Inc.</v>
          </cell>
          <cell r="B308">
            <v>37257</v>
          </cell>
          <cell r="C308">
            <v>17728</v>
          </cell>
          <cell r="D308">
            <v>17728</v>
          </cell>
          <cell r="E308" t="str">
            <v>N/A</v>
          </cell>
          <cell r="F308" t="str">
            <v>N/A</v>
          </cell>
          <cell r="G308">
            <v>16860</v>
          </cell>
          <cell r="H308">
            <v>16860</v>
          </cell>
          <cell r="I308" t="str">
            <v>N/A</v>
          </cell>
          <cell r="J308" t="str">
            <v>N/A</v>
          </cell>
          <cell r="K308">
            <v>6845.16</v>
          </cell>
          <cell r="L308">
            <v>0</v>
          </cell>
          <cell r="M308">
            <v>75</v>
          </cell>
          <cell r="N308">
            <v>0</v>
          </cell>
          <cell r="O308">
            <v>0</v>
          </cell>
          <cell r="P308">
            <v>0</v>
          </cell>
          <cell r="Q308">
            <v>0</v>
          </cell>
          <cell r="R308">
            <v>0</v>
          </cell>
          <cell r="S308">
            <v>16860</v>
          </cell>
          <cell r="T308">
            <v>50.58</v>
          </cell>
          <cell r="U308">
            <v>0</v>
          </cell>
          <cell r="V308">
            <v>35</v>
          </cell>
          <cell r="W308">
            <v>0</v>
          </cell>
          <cell r="X308">
            <v>0</v>
          </cell>
          <cell r="Y308">
            <v>0</v>
          </cell>
          <cell r="Z308">
            <v>0</v>
          </cell>
          <cell r="AA308">
            <v>7005.74</v>
          </cell>
        </row>
        <row r="309">
          <cell r="A309" t="str">
            <v>Deaconess Hospital, Inc.</v>
          </cell>
          <cell r="B309">
            <v>37288</v>
          </cell>
          <cell r="C309">
            <v>16818</v>
          </cell>
          <cell r="D309">
            <v>16818</v>
          </cell>
          <cell r="E309" t="str">
            <v>N/A</v>
          </cell>
          <cell r="F309" t="str">
            <v>N/A</v>
          </cell>
          <cell r="G309">
            <v>18396</v>
          </cell>
          <cell r="H309">
            <v>18396</v>
          </cell>
          <cell r="I309" t="str">
            <v>N/A</v>
          </cell>
          <cell r="J309" t="str">
            <v>N/A</v>
          </cell>
          <cell r="K309">
            <v>7468.78</v>
          </cell>
          <cell r="L309">
            <v>0</v>
          </cell>
          <cell r="M309">
            <v>75</v>
          </cell>
          <cell r="N309">
            <v>0</v>
          </cell>
          <cell r="O309">
            <v>0</v>
          </cell>
          <cell r="P309">
            <v>0</v>
          </cell>
          <cell r="Q309">
            <v>0</v>
          </cell>
          <cell r="R309">
            <v>0</v>
          </cell>
          <cell r="S309">
            <v>18396</v>
          </cell>
          <cell r="T309">
            <v>-18.399999999999999</v>
          </cell>
          <cell r="U309">
            <v>0</v>
          </cell>
          <cell r="V309">
            <v>35</v>
          </cell>
          <cell r="W309">
            <v>0</v>
          </cell>
          <cell r="X309">
            <v>0</v>
          </cell>
          <cell r="Y309">
            <v>0</v>
          </cell>
          <cell r="Z309">
            <v>0</v>
          </cell>
          <cell r="AA309">
            <v>7560.38</v>
          </cell>
        </row>
        <row r="310">
          <cell r="A310" t="str">
            <v>Deaconess Hospital, Inc.</v>
          </cell>
          <cell r="B310">
            <v>37316</v>
          </cell>
          <cell r="C310">
            <v>16917</v>
          </cell>
          <cell r="D310">
            <v>16917</v>
          </cell>
          <cell r="E310" t="str">
            <v>N/A</v>
          </cell>
          <cell r="F310" t="str">
            <v>N/A</v>
          </cell>
          <cell r="G310">
            <v>17515</v>
          </cell>
          <cell r="H310">
            <v>17515</v>
          </cell>
          <cell r="I310" t="str">
            <v>N/A</v>
          </cell>
          <cell r="J310" t="str">
            <v>N/A</v>
          </cell>
          <cell r="K310">
            <v>7111.09</v>
          </cell>
          <cell r="L310">
            <v>0</v>
          </cell>
          <cell r="M310">
            <v>75</v>
          </cell>
          <cell r="N310">
            <v>0</v>
          </cell>
          <cell r="O310">
            <v>0</v>
          </cell>
          <cell r="P310">
            <v>0</v>
          </cell>
          <cell r="Q310">
            <v>0</v>
          </cell>
          <cell r="R310">
            <v>0</v>
          </cell>
          <cell r="S310">
            <v>17515</v>
          </cell>
          <cell r="T310">
            <v>-17.52</v>
          </cell>
          <cell r="U310">
            <v>0</v>
          </cell>
          <cell r="V310">
            <v>35</v>
          </cell>
          <cell r="W310">
            <v>0</v>
          </cell>
          <cell r="X310">
            <v>0</v>
          </cell>
          <cell r="Y310">
            <v>0</v>
          </cell>
          <cell r="Z310">
            <v>0</v>
          </cell>
          <cell r="AA310">
            <v>7203.57</v>
          </cell>
        </row>
        <row r="311">
          <cell r="A311" t="str">
            <v>Deaconess Hospital, Inc.</v>
          </cell>
          <cell r="B311">
            <v>37347</v>
          </cell>
          <cell r="C311">
            <v>11916</v>
          </cell>
          <cell r="D311">
            <v>11916</v>
          </cell>
          <cell r="E311" t="str">
            <v>N/A</v>
          </cell>
          <cell r="F311" t="str">
            <v>N/A</v>
          </cell>
          <cell r="G311">
            <v>12500</v>
          </cell>
          <cell r="H311">
            <v>12500</v>
          </cell>
          <cell r="I311" t="str">
            <v>N/A</v>
          </cell>
          <cell r="J311" t="str">
            <v>N/A</v>
          </cell>
          <cell r="K311">
            <v>5075</v>
          </cell>
          <cell r="L311">
            <v>0</v>
          </cell>
          <cell r="M311">
            <v>75</v>
          </cell>
          <cell r="N311">
            <v>0</v>
          </cell>
          <cell r="O311">
            <v>0</v>
          </cell>
          <cell r="P311">
            <v>0</v>
          </cell>
          <cell r="Q311">
            <v>0</v>
          </cell>
          <cell r="R311">
            <v>0</v>
          </cell>
          <cell r="S311">
            <v>12500</v>
          </cell>
          <cell r="T311">
            <v>-12.5</v>
          </cell>
          <cell r="U311">
            <v>0</v>
          </cell>
          <cell r="V311">
            <v>35</v>
          </cell>
          <cell r="W311">
            <v>0</v>
          </cell>
          <cell r="X311">
            <v>0</v>
          </cell>
          <cell r="Y311">
            <v>0</v>
          </cell>
          <cell r="Z311">
            <v>0</v>
          </cell>
          <cell r="AA311">
            <v>5172.5</v>
          </cell>
        </row>
        <row r="312">
          <cell r="A312" t="str">
            <v>Deaconess Hospital, Inc.</v>
          </cell>
          <cell r="B312">
            <v>37377</v>
          </cell>
          <cell r="C312">
            <v>10990</v>
          </cell>
          <cell r="D312">
            <v>10990</v>
          </cell>
          <cell r="E312" t="str">
            <v>N/A</v>
          </cell>
          <cell r="F312" t="str">
            <v>N/A</v>
          </cell>
          <cell r="G312">
            <v>11100</v>
          </cell>
          <cell r="H312">
            <v>11100</v>
          </cell>
          <cell r="I312" t="str">
            <v>N/A</v>
          </cell>
          <cell r="J312" t="str">
            <v>N/A</v>
          </cell>
          <cell r="K312">
            <v>4506.6000000000004</v>
          </cell>
          <cell r="L312">
            <v>0</v>
          </cell>
          <cell r="M312">
            <v>75</v>
          </cell>
          <cell r="N312">
            <v>0</v>
          </cell>
          <cell r="O312">
            <v>0</v>
          </cell>
          <cell r="P312">
            <v>0</v>
          </cell>
          <cell r="Q312">
            <v>0</v>
          </cell>
          <cell r="R312">
            <v>0</v>
          </cell>
          <cell r="S312">
            <v>0</v>
          </cell>
          <cell r="T312">
            <v>0</v>
          </cell>
          <cell r="U312">
            <v>0</v>
          </cell>
          <cell r="V312">
            <v>35</v>
          </cell>
          <cell r="W312">
            <v>0</v>
          </cell>
          <cell r="X312">
            <v>0</v>
          </cell>
          <cell r="Y312">
            <v>0</v>
          </cell>
          <cell r="Z312">
            <v>0</v>
          </cell>
          <cell r="AA312">
            <v>4616.6000000000004</v>
          </cell>
        </row>
        <row r="313">
          <cell r="A313" t="str">
            <v>Deaconess Hospital, Inc.</v>
          </cell>
          <cell r="B313">
            <v>37408</v>
          </cell>
          <cell r="C313">
            <v>8541</v>
          </cell>
          <cell r="D313">
            <v>8541</v>
          </cell>
          <cell r="E313" t="str">
            <v>N/A</v>
          </cell>
          <cell r="F313" t="str">
            <v>N/A</v>
          </cell>
          <cell r="G313">
            <v>9700</v>
          </cell>
          <cell r="H313">
            <v>9700</v>
          </cell>
          <cell r="I313" t="str">
            <v>N/A</v>
          </cell>
          <cell r="J313" t="str">
            <v>N/A</v>
          </cell>
          <cell r="K313">
            <v>3938.2</v>
          </cell>
          <cell r="L313">
            <v>0</v>
          </cell>
          <cell r="M313">
            <v>75</v>
          </cell>
          <cell r="N313">
            <v>0</v>
          </cell>
          <cell r="O313">
            <v>0</v>
          </cell>
          <cell r="P313">
            <v>0</v>
          </cell>
          <cell r="Q313">
            <v>0</v>
          </cell>
          <cell r="R313">
            <v>0</v>
          </cell>
          <cell r="S313">
            <v>0</v>
          </cell>
          <cell r="T313">
            <v>0</v>
          </cell>
          <cell r="U313">
            <v>0</v>
          </cell>
          <cell r="V313">
            <v>35</v>
          </cell>
          <cell r="W313">
            <v>0</v>
          </cell>
          <cell r="X313">
            <v>0</v>
          </cell>
          <cell r="Y313">
            <v>0</v>
          </cell>
          <cell r="Z313">
            <v>0</v>
          </cell>
          <cell r="AA313">
            <v>4048.2</v>
          </cell>
        </row>
        <row r="314">
          <cell r="A314" t="str">
            <v>Deaconess Hospital, Inc.</v>
          </cell>
          <cell r="B314">
            <v>37438</v>
          </cell>
          <cell r="C314">
            <v>8172</v>
          </cell>
          <cell r="D314">
            <v>8172</v>
          </cell>
          <cell r="E314" t="str">
            <v>N/A</v>
          </cell>
          <cell r="F314" t="str">
            <v>N/A</v>
          </cell>
          <cell r="G314">
            <v>8700</v>
          </cell>
          <cell r="H314">
            <v>8700</v>
          </cell>
          <cell r="I314" t="str">
            <v>N/A</v>
          </cell>
          <cell r="J314" t="str">
            <v>N/A</v>
          </cell>
          <cell r="K314">
            <v>3532.2</v>
          </cell>
          <cell r="L314">
            <v>0</v>
          </cell>
          <cell r="M314">
            <v>75</v>
          </cell>
          <cell r="N314">
            <v>0</v>
          </cell>
          <cell r="O314">
            <v>0</v>
          </cell>
          <cell r="P314">
            <v>0</v>
          </cell>
          <cell r="Q314">
            <v>0</v>
          </cell>
          <cell r="R314">
            <v>0</v>
          </cell>
          <cell r="S314">
            <v>0</v>
          </cell>
          <cell r="T314">
            <v>0</v>
          </cell>
          <cell r="U314">
            <v>0</v>
          </cell>
          <cell r="V314">
            <v>35</v>
          </cell>
          <cell r="W314">
            <v>0</v>
          </cell>
          <cell r="X314">
            <v>0</v>
          </cell>
          <cell r="Y314">
            <v>0</v>
          </cell>
          <cell r="Z314">
            <v>0</v>
          </cell>
          <cell r="AA314">
            <v>3642.2</v>
          </cell>
        </row>
        <row r="315">
          <cell r="A315" t="str">
            <v>E &amp; B Paving</v>
          </cell>
          <cell r="B315">
            <v>37104</v>
          </cell>
          <cell r="C315">
            <v>396</v>
          </cell>
          <cell r="D315">
            <v>396</v>
          </cell>
          <cell r="E315" t="str">
            <v>N/A</v>
          </cell>
          <cell r="F315" t="str">
            <v>N/A</v>
          </cell>
          <cell r="G315">
            <v>9000</v>
          </cell>
          <cell r="H315">
            <v>9000</v>
          </cell>
          <cell r="I315" t="str">
            <v>N/A</v>
          </cell>
          <cell r="J315" t="str">
            <v>N/A</v>
          </cell>
          <cell r="K315">
            <v>3654</v>
          </cell>
          <cell r="L315">
            <v>0</v>
          </cell>
          <cell r="M315">
            <v>75</v>
          </cell>
          <cell r="N315">
            <v>0</v>
          </cell>
          <cell r="O315">
            <v>0</v>
          </cell>
          <cell r="P315">
            <v>0</v>
          </cell>
          <cell r="Q315">
            <v>0</v>
          </cell>
          <cell r="R315">
            <v>0</v>
          </cell>
          <cell r="S315">
            <v>9000</v>
          </cell>
          <cell r="T315">
            <v>27</v>
          </cell>
          <cell r="U315">
            <v>0</v>
          </cell>
          <cell r="V315">
            <v>35</v>
          </cell>
          <cell r="W315">
            <v>1.75</v>
          </cell>
          <cell r="X315">
            <v>0</v>
          </cell>
          <cell r="Y315">
            <v>0</v>
          </cell>
          <cell r="Z315">
            <v>0</v>
          </cell>
          <cell r="AA315">
            <v>3792.75</v>
          </cell>
        </row>
        <row r="316">
          <cell r="A316" t="str">
            <v>E &amp; B Paving</v>
          </cell>
          <cell r="B316">
            <v>37135</v>
          </cell>
          <cell r="C316">
            <v>778</v>
          </cell>
          <cell r="D316">
            <v>778</v>
          </cell>
          <cell r="E316" t="str">
            <v>N/A</v>
          </cell>
          <cell r="F316" t="str">
            <v>N/A</v>
          </cell>
          <cell r="G316">
            <v>3500</v>
          </cell>
          <cell r="H316">
            <v>3500</v>
          </cell>
          <cell r="I316" t="str">
            <v>N/A</v>
          </cell>
          <cell r="J316" t="str">
            <v>N/A</v>
          </cell>
          <cell r="K316">
            <v>1421</v>
          </cell>
          <cell r="L316">
            <v>0</v>
          </cell>
          <cell r="M316">
            <v>75</v>
          </cell>
          <cell r="N316">
            <v>0</v>
          </cell>
          <cell r="O316">
            <v>0</v>
          </cell>
          <cell r="P316">
            <v>0</v>
          </cell>
          <cell r="Q316">
            <v>0</v>
          </cell>
          <cell r="R316">
            <v>0</v>
          </cell>
          <cell r="S316">
            <v>3500</v>
          </cell>
          <cell r="T316">
            <v>10.5</v>
          </cell>
          <cell r="U316">
            <v>0</v>
          </cell>
          <cell r="V316">
            <v>35</v>
          </cell>
          <cell r="W316">
            <v>1.75</v>
          </cell>
          <cell r="X316">
            <v>0</v>
          </cell>
          <cell r="Y316">
            <v>0</v>
          </cell>
          <cell r="Z316">
            <v>0</v>
          </cell>
          <cell r="AA316">
            <v>1543.25</v>
          </cell>
        </row>
        <row r="317">
          <cell r="A317" t="str">
            <v>E &amp; B Paving</v>
          </cell>
          <cell r="B317">
            <v>37165</v>
          </cell>
          <cell r="C317">
            <v>506</v>
          </cell>
          <cell r="D317">
            <v>506</v>
          </cell>
          <cell r="E317" t="str">
            <v>N/A</v>
          </cell>
          <cell r="F317" t="str">
            <v>N/A</v>
          </cell>
          <cell r="G317">
            <v>3000</v>
          </cell>
          <cell r="H317">
            <v>3000</v>
          </cell>
          <cell r="I317" t="str">
            <v>N/A</v>
          </cell>
          <cell r="J317" t="str">
            <v>N/A</v>
          </cell>
          <cell r="K317">
            <v>1218</v>
          </cell>
          <cell r="L317">
            <v>0</v>
          </cell>
          <cell r="M317">
            <v>75</v>
          </cell>
          <cell r="N317">
            <v>0</v>
          </cell>
          <cell r="O317">
            <v>0</v>
          </cell>
          <cell r="P317">
            <v>0</v>
          </cell>
          <cell r="Q317">
            <v>0</v>
          </cell>
          <cell r="R317">
            <v>0</v>
          </cell>
          <cell r="S317">
            <v>3000</v>
          </cell>
          <cell r="T317">
            <v>9</v>
          </cell>
          <cell r="U317">
            <v>0</v>
          </cell>
          <cell r="V317">
            <v>35</v>
          </cell>
          <cell r="W317">
            <v>1.75</v>
          </cell>
          <cell r="X317">
            <v>0</v>
          </cell>
          <cell r="Y317">
            <v>0</v>
          </cell>
          <cell r="Z317">
            <v>0</v>
          </cell>
          <cell r="AA317">
            <v>1338.75</v>
          </cell>
        </row>
        <row r="318">
          <cell r="A318" t="str">
            <v>E &amp; B Paving</v>
          </cell>
          <cell r="B318">
            <v>37196</v>
          </cell>
          <cell r="C318">
            <v>307</v>
          </cell>
          <cell r="D318">
            <v>307</v>
          </cell>
          <cell r="E318" t="str">
            <v>N/A</v>
          </cell>
          <cell r="F318" t="str">
            <v>N/A</v>
          </cell>
          <cell r="G318">
            <v>1500</v>
          </cell>
          <cell r="H318">
            <v>1500</v>
          </cell>
          <cell r="I318" t="str">
            <v>N/A</v>
          </cell>
          <cell r="J318" t="str">
            <v>N/A</v>
          </cell>
          <cell r="K318">
            <v>609</v>
          </cell>
          <cell r="L318">
            <v>0</v>
          </cell>
          <cell r="M318">
            <v>75</v>
          </cell>
          <cell r="N318">
            <v>0</v>
          </cell>
          <cell r="O318">
            <v>0</v>
          </cell>
          <cell r="P318">
            <v>0</v>
          </cell>
          <cell r="Q318">
            <v>0</v>
          </cell>
          <cell r="R318">
            <v>0</v>
          </cell>
          <cell r="S318">
            <v>1500</v>
          </cell>
          <cell r="T318">
            <v>4.5</v>
          </cell>
          <cell r="U318">
            <v>0</v>
          </cell>
          <cell r="V318">
            <v>35</v>
          </cell>
          <cell r="W318">
            <v>1.75</v>
          </cell>
          <cell r="X318">
            <v>0</v>
          </cell>
          <cell r="Y318">
            <v>0</v>
          </cell>
          <cell r="Z318">
            <v>0</v>
          </cell>
          <cell r="AA318">
            <v>725.25</v>
          </cell>
        </row>
        <row r="319">
          <cell r="A319" t="str">
            <v>E &amp; B Paving</v>
          </cell>
          <cell r="B319">
            <v>37226</v>
          </cell>
          <cell r="C319">
            <v>73</v>
          </cell>
          <cell r="D319">
            <v>73</v>
          </cell>
          <cell r="E319" t="str">
            <v>N/A</v>
          </cell>
          <cell r="F319" t="str">
            <v>N/A</v>
          </cell>
          <cell r="G319">
            <v>1500</v>
          </cell>
          <cell r="H319">
            <v>1500</v>
          </cell>
          <cell r="I319" t="str">
            <v>N/A</v>
          </cell>
          <cell r="J319" t="str">
            <v>N/A</v>
          </cell>
          <cell r="K319">
            <v>609</v>
          </cell>
          <cell r="L319">
            <v>0</v>
          </cell>
          <cell r="M319">
            <v>75</v>
          </cell>
          <cell r="N319">
            <v>0</v>
          </cell>
          <cell r="O319">
            <v>0</v>
          </cell>
          <cell r="P319">
            <v>0</v>
          </cell>
          <cell r="Q319">
            <v>0</v>
          </cell>
          <cell r="R319">
            <v>0</v>
          </cell>
          <cell r="S319">
            <v>1500</v>
          </cell>
          <cell r="T319">
            <v>4.5</v>
          </cell>
          <cell r="U319">
            <v>0</v>
          </cell>
          <cell r="V319">
            <v>35</v>
          </cell>
          <cell r="W319">
            <v>1.75</v>
          </cell>
          <cell r="X319">
            <v>0</v>
          </cell>
          <cell r="Y319">
            <v>0</v>
          </cell>
          <cell r="Z319">
            <v>0</v>
          </cell>
          <cell r="AA319">
            <v>725.25</v>
          </cell>
        </row>
        <row r="320">
          <cell r="A320" t="str">
            <v>E &amp; B Paving</v>
          </cell>
          <cell r="B320">
            <v>37257</v>
          </cell>
          <cell r="C320">
            <v>0</v>
          </cell>
          <cell r="D320">
            <v>0</v>
          </cell>
          <cell r="E320" t="str">
            <v>N/A</v>
          </cell>
          <cell r="F320" t="str">
            <v>N/A</v>
          </cell>
          <cell r="G320">
            <v>0</v>
          </cell>
          <cell r="H320">
            <v>0</v>
          </cell>
          <cell r="I320" t="str">
            <v>N/A</v>
          </cell>
          <cell r="J320" t="str">
            <v>N/A</v>
          </cell>
          <cell r="K320">
            <v>0</v>
          </cell>
          <cell r="L320">
            <v>0</v>
          </cell>
          <cell r="M320">
            <v>75</v>
          </cell>
          <cell r="N320">
            <v>0</v>
          </cell>
          <cell r="O320">
            <v>0</v>
          </cell>
          <cell r="P320">
            <v>0</v>
          </cell>
          <cell r="Q320">
            <v>0</v>
          </cell>
          <cell r="R320">
            <v>0</v>
          </cell>
          <cell r="S320">
            <v>0</v>
          </cell>
          <cell r="T320">
            <v>0</v>
          </cell>
          <cell r="U320">
            <v>0</v>
          </cell>
          <cell r="V320">
            <v>35</v>
          </cell>
          <cell r="W320">
            <v>1.75</v>
          </cell>
          <cell r="X320">
            <v>0</v>
          </cell>
          <cell r="Y320">
            <v>0</v>
          </cell>
          <cell r="Z320">
            <v>0</v>
          </cell>
          <cell r="AA320">
            <v>111.75</v>
          </cell>
        </row>
        <row r="321">
          <cell r="A321" t="str">
            <v>E &amp; B Paving</v>
          </cell>
          <cell r="B321">
            <v>37288</v>
          </cell>
          <cell r="C321">
            <v>3</v>
          </cell>
          <cell r="D321">
            <v>3</v>
          </cell>
          <cell r="E321" t="str">
            <v>N/A</v>
          </cell>
          <cell r="F321" t="str">
            <v>N/A</v>
          </cell>
          <cell r="G321">
            <v>0</v>
          </cell>
          <cell r="H321">
            <v>0</v>
          </cell>
          <cell r="I321" t="str">
            <v>N/A</v>
          </cell>
          <cell r="J321" t="str">
            <v>N/A</v>
          </cell>
          <cell r="K321">
            <v>0</v>
          </cell>
          <cell r="L321">
            <v>0</v>
          </cell>
          <cell r="M321">
            <v>75</v>
          </cell>
          <cell r="N321">
            <v>0</v>
          </cell>
          <cell r="O321">
            <v>0</v>
          </cell>
          <cell r="P321">
            <v>0</v>
          </cell>
          <cell r="Q321">
            <v>0</v>
          </cell>
          <cell r="R321">
            <v>0</v>
          </cell>
          <cell r="S321">
            <v>0</v>
          </cell>
          <cell r="T321">
            <v>0</v>
          </cell>
          <cell r="U321">
            <v>0</v>
          </cell>
          <cell r="V321">
            <v>35</v>
          </cell>
          <cell r="W321">
            <v>1.75</v>
          </cell>
          <cell r="X321">
            <v>0</v>
          </cell>
          <cell r="Y321">
            <v>0</v>
          </cell>
          <cell r="Z321">
            <v>0</v>
          </cell>
          <cell r="AA321">
            <v>111.75</v>
          </cell>
        </row>
        <row r="322">
          <cell r="A322" t="str">
            <v>E &amp; B Paving</v>
          </cell>
          <cell r="B322">
            <v>37316</v>
          </cell>
          <cell r="C322">
            <v>378</v>
          </cell>
          <cell r="D322">
            <v>378</v>
          </cell>
          <cell r="E322" t="str">
            <v>N/A</v>
          </cell>
          <cell r="F322" t="str">
            <v>N/A</v>
          </cell>
          <cell r="G322">
            <v>0</v>
          </cell>
          <cell r="H322">
            <v>0</v>
          </cell>
          <cell r="I322" t="str">
            <v>N/A</v>
          </cell>
          <cell r="J322" t="str">
            <v>N/A</v>
          </cell>
          <cell r="K322">
            <v>0</v>
          </cell>
          <cell r="L322">
            <v>0</v>
          </cell>
          <cell r="M322">
            <v>75</v>
          </cell>
          <cell r="N322">
            <v>0</v>
          </cell>
          <cell r="O322">
            <v>0</v>
          </cell>
          <cell r="P322">
            <v>0</v>
          </cell>
          <cell r="Q322">
            <v>0</v>
          </cell>
          <cell r="R322">
            <v>0</v>
          </cell>
          <cell r="S322">
            <v>0</v>
          </cell>
          <cell r="T322">
            <v>0</v>
          </cell>
          <cell r="U322">
            <v>0</v>
          </cell>
          <cell r="V322">
            <v>35</v>
          </cell>
          <cell r="W322">
            <v>1.75</v>
          </cell>
          <cell r="X322">
            <v>0</v>
          </cell>
          <cell r="Y322">
            <v>0</v>
          </cell>
          <cell r="Z322">
            <v>0</v>
          </cell>
          <cell r="AA322">
            <v>111.75</v>
          </cell>
        </row>
        <row r="323">
          <cell r="A323" t="str">
            <v>E &amp; B Paving</v>
          </cell>
          <cell r="B323">
            <v>37347</v>
          </cell>
          <cell r="C323">
            <v>553</v>
          </cell>
          <cell r="D323">
            <v>553</v>
          </cell>
          <cell r="E323" t="str">
            <v>N/A</v>
          </cell>
          <cell r="F323" t="str">
            <v>N/A</v>
          </cell>
          <cell r="G323">
            <v>0</v>
          </cell>
          <cell r="H323">
            <v>0</v>
          </cell>
          <cell r="I323" t="str">
            <v>N/A</v>
          </cell>
          <cell r="J323" t="str">
            <v>N/A</v>
          </cell>
          <cell r="K323">
            <v>0</v>
          </cell>
          <cell r="L323">
            <v>0</v>
          </cell>
          <cell r="M323">
            <v>75</v>
          </cell>
          <cell r="N323">
            <v>0</v>
          </cell>
          <cell r="O323">
            <v>0</v>
          </cell>
          <cell r="P323">
            <v>0</v>
          </cell>
          <cell r="Q323">
            <v>0</v>
          </cell>
          <cell r="R323">
            <v>0</v>
          </cell>
          <cell r="S323">
            <v>0</v>
          </cell>
          <cell r="T323">
            <v>0</v>
          </cell>
          <cell r="U323">
            <v>0</v>
          </cell>
          <cell r="V323">
            <v>35</v>
          </cell>
          <cell r="W323">
            <v>1.75</v>
          </cell>
          <cell r="X323">
            <v>0</v>
          </cell>
          <cell r="Y323">
            <v>0</v>
          </cell>
          <cell r="Z323">
            <v>0</v>
          </cell>
          <cell r="AA323">
            <v>111.75</v>
          </cell>
        </row>
        <row r="324">
          <cell r="A324" t="str">
            <v>E &amp; B Paving</v>
          </cell>
          <cell r="B324">
            <v>37377</v>
          </cell>
          <cell r="C324">
            <v>447</v>
          </cell>
          <cell r="D324">
            <v>447</v>
          </cell>
          <cell r="E324" t="str">
            <v>N/A</v>
          </cell>
          <cell r="F324" t="str">
            <v>N/A</v>
          </cell>
          <cell r="G324">
            <v>0</v>
          </cell>
          <cell r="H324">
            <v>0</v>
          </cell>
          <cell r="I324" t="str">
            <v>N/A</v>
          </cell>
          <cell r="J324" t="str">
            <v>N/A</v>
          </cell>
          <cell r="K324">
            <v>0</v>
          </cell>
          <cell r="L324">
            <v>0</v>
          </cell>
          <cell r="M324">
            <v>75</v>
          </cell>
          <cell r="N324">
            <v>0</v>
          </cell>
          <cell r="O324">
            <v>0</v>
          </cell>
          <cell r="P324">
            <v>0</v>
          </cell>
          <cell r="Q324">
            <v>0</v>
          </cell>
          <cell r="R324">
            <v>0</v>
          </cell>
          <cell r="S324">
            <v>0</v>
          </cell>
          <cell r="T324">
            <v>0</v>
          </cell>
          <cell r="U324">
            <v>0</v>
          </cell>
          <cell r="V324">
            <v>35</v>
          </cell>
          <cell r="W324">
            <v>1.75</v>
          </cell>
          <cell r="X324">
            <v>0</v>
          </cell>
          <cell r="Y324">
            <v>0</v>
          </cell>
          <cell r="Z324">
            <v>0</v>
          </cell>
          <cell r="AA324">
            <v>111.75</v>
          </cell>
        </row>
        <row r="325">
          <cell r="A325" t="str">
            <v>E &amp; B Paving</v>
          </cell>
          <cell r="B325">
            <v>37408</v>
          </cell>
          <cell r="C325">
            <v>10047</v>
          </cell>
          <cell r="D325">
            <v>10047</v>
          </cell>
          <cell r="E325" t="str">
            <v>N/A</v>
          </cell>
          <cell r="F325" t="str">
            <v>N/A</v>
          </cell>
          <cell r="G325">
            <v>10250</v>
          </cell>
          <cell r="H325">
            <v>10250</v>
          </cell>
          <cell r="I325" t="str">
            <v>N/A</v>
          </cell>
          <cell r="J325" t="str">
            <v>N/A</v>
          </cell>
          <cell r="K325">
            <v>4161.5</v>
          </cell>
          <cell r="L325">
            <v>0</v>
          </cell>
          <cell r="M325">
            <v>75</v>
          </cell>
          <cell r="N325">
            <v>0</v>
          </cell>
          <cell r="O325">
            <v>0</v>
          </cell>
          <cell r="P325">
            <v>0</v>
          </cell>
          <cell r="Q325">
            <v>0</v>
          </cell>
          <cell r="R325">
            <v>0</v>
          </cell>
          <cell r="S325">
            <v>0</v>
          </cell>
          <cell r="T325">
            <v>0</v>
          </cell>
          <cell r="U325">
            <v>0</v>
          </cell>
          <cell r="V325">
            <v>35</v>
          </cell>
          <cell r="W325">
            <v>1.75</v>
          </cell>
          <cell r="X325">
            <v>0</v>
          </cell>
          <cell r="Y325">
            <v>0</v>
          </cell>
          <cell r="Z325">
            <v>0</v>
          </cell>
          <cell r="AA325">
            <v>4273.25</v>
          </cell>
        </row>
        <row r="326">
          <cell r="A326" t="str">
            <v>E &amp; B Paving</v>
          </cell>
          <cell r="B326">
            <v>37438</v>
          </cell>
          <cell r="C326">
            <v>4298</v>
          </cell>
          <cell r="D326">
            <v>4298</v>
          </cell>
          <cell r="E326" t="str">
            <v>N/A</v>
          </cell>
          <cell r="F326" t="str">
            <v>N/A</v>
          </cell>
          <cell r="G326">
            <v>7500</v>
          </cell>
          <cell r="H326">
            <v>7500</v>
          </cell>
          <cell r="I326" t="str">
            <v>N/A</v>
          </cell>
          <cell r="J326" t="str">
            <v>N/A</v>
          </cell>
          <cell r="K326">
            <v>3045</v>
          </cell>
          <cell r="L326">
            <v>0</v>
          </cell>
          <cell r="M326">
            <v>75</v>
          </cell>
          <cell r="N326">
            <v>0</v>
          </cell>
          <cell r="O326">
            <v>0</v>
          </cell>
          <cell r="P326">
            <v>0</v>
          </cell>
          <cell r="Q326">
            <v>0</v>
          </cell>
          <cell r="R326">
            <v>0</v>
          </cell>
          <cell r="S326">
            <v>0</v>
          </cell>
          <cell r="T326">
            <v>0</v>
          </cell>
          <cell r="U326">
            <v>0</v>
          </cell>
          <cell r="V326">
            <v>35</v>
          </cell>
          <cell r="W326">
            <v>1.75</v>
          </cell>
          <cell r="X326">
            <v>0</v>
          </cell>
          <cell r="Y326">
            <v>0</v>
          </cell>
          <cell r="Z326">
            <v>0</v>
          </cell>
          <cell r="AA326">
            <v>3156.75</v>
          </cell>
        </row>
        <row r="327">
          <cell r="A327" t="str">
            <v>Evansville State Hospital</v>
          </cell>
          <cell r="B327">
            <v>37104</v>
          </cell>
          <cell r="C327">
            <v>5931</v>
          </cell>
          <cell r="D327">
            <v>5931</v>
          </cell>
          <cell r="E327" t="str">
            <v>N/A</v>
          </cell>
          <cell r="F327" t="str">
            <v>N/A</v>
          </cell>
          <cell r="G327">
            <v>5890</v>
          </cell>
          <cell r="H327">
            <v>5890</v>
          </cell>
          <cell r="I327" t="str">
            <v>N/A</v>
          </cell>
          <cell r="J327" t="str">
            <v>N/A</v>
          </cell>
          <cell r="K327">
            <v>2391.34</v>
          </cell>
          <cell r="L327">
            <v>0</v>
          </cell>
          <cell r="M327">
            <v>75</v>
          </cell>
          <cell r="N327">
            <v>0</v>
          </cell>
          <cell r="O327">
            <v>0</v>
          </cell>
          <cell r="P327">
            <v>0</v>
          </cell>
          <cell r="Q327">
            <v>0</v>
          </cell>
          <cell r="R327">
            <v>0</v>
          </cell>
          <cell r="S327">
            <v>5890</v>
          </cell>
          <cell r="T327">
            <v>17.670000000000002</v>
          </cell>
          <cell r="U327">
            <v>0</v>
          </cell>
          <cell r="V327">
            <v>35</v>
          </cell>
          <cell r="W327">
            <v>0</v>
          </cell>
          <cell r="X327">
            <v>0</v>
          </cell>
          <cell r="Y327">
            <v>0</v>
          </cell>
          <cell r="Z327">
            <v>0</v>
          </cell>
          <cell r="AA327">
            <v>2519.0100000000002</v>
          </cell>
        </row>
        <row r="328">
          <cell r="A328" t="str">
            <v>Evansville State Hospital</v>
          </cell>
          <cell r="B328">
            <v>37135</v>
          </cell>
          <cell r="C328">
            <v>5757</v>
          </cell>
          <cell r="D328">
            <v>5757</v>
          </cell>
          <cell r="E328" t="str">
            <v>N/A</v>
          </cell>
          <cell r="F328" t="str">
            <v>N/A</v>
          </cell>
          <cell r="G328">
            <v>5880</v>
          </cell>
          <cell r="H328">
            <v>5880</v>
          </cell>
          <cell r="I328" t="str">
            <v>N/A</v>
          </cell>
          <cell r="J328" t="str">
            <v>N/A</v>
          </cell>
          <cell r="K328">
            <v>2387.2800000000002</v>
          </cell>
          <cell r="L328">
            <v>0</v>
          </cell>
          <cell r="M328">
            <v>75</v>
          </cell>
          <cell r="N328">
            <v>0</v>
          </cell>
          <cell r="O328">
            <v>0</v>
          </cell>
          <cell r="P328">
            <v>0</v>
          </cell>
          <cell r="Q328">
            <v>0</v>
          </cell>
          <cell r="R328">
            <v>0</v>
          </cell>
          <cell r="S328">
            <v>5880</v>
          </cell>
          <cell r="T328">
            <v>17.64</v>
          </cell>
          <cell r="U328">
            <v>0</v>
          </cell>
          <cell r="V328">
            <v>35</v>
          </cell>
          <cell r="W328">
            <v>0</v>
          </cell>
          <cell r="X328">
            <v>0</v>
          </cell>
          <cell r="Y328">
            <v>0</v>
          </cell>
          <cell r="Z328">
            <v>0</v>
          </cell>
          <cell r="AA328">
            <v>2514.92</v>
          </cell>
        </row>
        <row r="329">
          <cell r="A329" t="str">
            <v>Evansville State Hospital</v>
          </cell>
          <cell r="B329">
            <v>37165</v>
          </cell>
          <cell r="C329">
            <v>6231</v>
          </cell>
          <cell r="D329">
            <v>6231</v>
          </cell>
          <cell r="E329" t="str">
            <v>N/A</v>
          </cell>
          <cell r="F329" t="str">
            <v>N/A</v>
          </cell>
          <cell r="G329">
            <v>6250</v>
          </cell>
          <cell r="H329">
            <v>6250</v>
          </cell>
          <cell r="I329" t="str">
            <v>N/A</v>
          </cell>
          <cell r="J329" t="str">
            <v>N/A</v>
          </cell>
          <cell r="K329">
            <v>2537.5</v>
          </cell>
          <cell r="L329">
            <v>0</v>
          </cell>
          <cell r="M329">
            <v>75</v>
          </cell>
          <cell r="N329">
            <v>0</v>
          </cell>
          <cell r="O329">
            <v>0</v>
          </cell>
          <cell r="P329">
            <v>0</v>
          </cell>
          <cell r="Q329">
            <v>0</v>
          </cell>
          <cell r="R329">
            <v>0</v>
          </cell>
          <cell r="S329">
            <v>6250</v>
          </cell>
          <cell r="T329">
            <v>18.75</v>
          </cell>
          <cell r="U329">
            <v>0</v>
          </cell>
          <cell r="V329">
            <v>35</v>
          </cell>
          <cell r="W329">
            <v>0</v>
          </cell>
          <cell r="X329">
            <v>0</v>
          </cell>
          <cell r="Y329">
            <v>0</v>
          </cell>
          <cell r="Z329">
            <v>0</v>
          </cell>
          <cell r="AA329">
            <v>2666.25</v>
          </cell>
        </row>
        <row r="330">
          <cell r="A330" t="str">
            <v>Evansville State Hospital</v>
          </cell>
          <cell r="B330">
            <v>37196</v>
          </cell>
          <cell r="C330">
            <v>5957</v>
          </cell>
          <cell r="D330">
            <v>5957</v>
          </cell>
          <cell r="E330" t="str">
            <v>N/A</v>
          </cell>
          <cell r="F330" t="str">
            <v>N/A</v>
          </cell>
          <cell r="G330">
            <v>6200</v>
          </cell>
          <cell r="H330">
            <v>6200</v>
          </cell>
          <cell r="I330" t="str">
            <v>N/A</v>
          </cell>
          <cell r="J330" t="str">
            <v>N/A</v>
          </cell>
          <cell r="K330">
            <v>2517.1999999999998</v>
          </cell>
          <cell r="L330">
            <v>0</v>
          </cell>
          <cell r="M330">
            <v>75</v>
          </cell>
          <cell r="N330">
            <v>0</v>
          </cell>
          <cell r="O330">
            <v>0</v>
          </cell>
          <cell r="P330">
            <v>0</v>
          </cell>
          <cell r="Q330">
            <v>0</v>
          </cell>
          <cell r="R330">
            <v>0</v>
          </cell>
          <cell r="S330">
            <v>6200</v>
          </cell>
          <cell r="T330">
            <v>18.600000000000001</v>
          </cell>
          <cell r="U330">
            <v>0</v>
          </cell>
          <cell r="V330">
            <v>35</v>
          </cell>
          <cell r="W330">
            <v>0</v>
          </cell>
          <cell r="X330">
            <v>5261.16</v>
          </cell>
          <cell r="Y330">
            <v>0</v>
          </cell>
          <cell r="Z330">
            <v>0</v>
          </cell>
          <cell r="AA330">
            <v>7906.96</v>
          </cell>
        </row>
        <row r="331">
          <cell r="A331" t="str">
            <v>Evansville State Hospital</v>
          </cell>
          <cell r="B331">
            <v>37226</v>
          </cell>
          <cell r="C331">
            <v>7612</v>
          </cell>
          <cell r="D331">
            <v>7612</v>
          </cell>
          <cell r="E331" t="str">
            <v>N/A</v>
          </cell>
          <cell r="F331" t="str">
            <v>N/A</v>
          </cell>
          <cell r="G331">
            <v>7250</v>
          </cell>
          <cell r="H331">
            <v>7250</v>
          </cell>
          <cell r="I331" t="str">
            <v>N/A</v>
          </cell>
          <cell r="J331" t="str">
            <v>N/A</v>
          </cell>
          <cell r="K331">
            <v>2943.5</v>
          </cell>
          <cell r="L331">
            <v>0</v>
          </cell>
          <cell r="M331">
            <v>75</v>
          </cell>
          <cell r="N331">
            <v>0</v>
          </cell>
          <cell r="O331">
            <v>0</v>
          </cell>
          <cell r="P331">
            <v>0</v>
          </cell>
          <cell r="Q331">
            <v>0</v>
          </cell>
          <cell r="R331">
            <v>0</v>
          </cell>
          <cell r="S331">
            <v>7250</v>
          </cell>
          <cell r="T331">
            <v>21.75</v>
          </cell>
          <cell r="U331">
            <v>0</v>
          </cell>
          <cell r="V331">
            <v>35</v>
          </cell>
          <cell r="W331">
            <v>0</v>
          </cell>
          <cell r="X331">
            <v>123.58</v>
          </cell>
          <cell r="Y331">
            <v>0</v>
          </cell>
          <cell r="Z331">
            <v>0</v>
          </cell>
          <cell r="AA331">
            <v>3198.83</v>
          </cell>
        </row>
        <row r="332">
          <cell r="A332" t="str">
            <v>Evansville State Hospital</v>
          </cell>
          <cell r="B332">
            <v>37257</v>
          </cell>
          <cell r="C332">
            <v>9278</v>
          </cell>
          <cell r="D332">
            <v>9278</v>
          </cell>
          <cell r="E332" t="str">
            <v>N/A</v>
          </cell>
          <cell r="F332" t="str">
            <v>N/A</v>
          </cell>
          <cell r="G332">
            <v>10675</v>
          </cell>
          <cell r="H332">
            <v>10675</v>
          </cell>
          <cell r="I332" t="str">
            <v>N/A</v>
          </cell>
          <cell r="J332" t="str">
            <v>N/A</v>
          </cell>
          <cell r="K332">
            <v>4334.05</v>
          </cell>
          <cell r="L332">
            <v>0</v>
          </cell>
          <cell r="M332">
            <v>75</v>
          </cell>
          <cell r="N332">
            <v>0</v>
          </cell>
          <cell r="O332">
            <v>0</v>
          </cell>
          <cell r="P332">
            <v>0</v>
          </cell>
          <cell r="Q332">
            <v>0</v>
          </cell>
          <cell r="R332">
            <v>0</v>
          </cell>
          <cell r="S332">
            <v>10675</v>
          </cell>
          <cell r="T332">
            <v>32.020000000000003</v>
          </cell>
          <cell r="U332">
            <v>0</v>
          </cell>
          <cell r="V332">
            <v>35</v>
          </cell>
          <cell r="W332">
            <v>0</v>
          </cell>
          <cell r="X332">
            <v>-4.09</v>
          </cell>
          <cell r="Y332">
            <v>0</v>
          </cell>
          <cell r="Z332">
            <v>0</v>
          </cell>
          <cell r="AA332">
            <v>4471.9799999999996</v>
          </cell>
        </row>
        <row r="333">
          <cell r="A333" t="str">
            <v>Evansville State Hospital</v>
          </cell>
          <cell r="B333">
            <v>37288</v>
          </cell>
          <cell r="C333">
            <v>8029</v>
          </cell>
          <cell r="D333">
            <v>8029</v>
          </cell>
          <cell r="E333" t="str">
            <v>N/A</v>
          </cell>
          <cell r="F333" t="str">
            <v>N/A</v>
          </cell>
          <cell r="G333">
            <v>7900</v>
          </cell>
          <cell r="H333">
            <v>7900</v>
          </cell>
          <cell r="I333" t="str">
            <v>N/A</v>
          </cell>
          <cell r="J333" t="str">
            <v>N/A</v>
          </cell>
          <cell r="K333">
            <v>3207.4</v>
          </cell>
          <cell r="L333">
            <v>0</v>
          </cell>
          <cell r="M333">
            <v>75</v>
          </cell>
          <cell r="N333">
            <v>0</v>
          </cell>
          <cell r="O333">
            <v>0</v>
          </cell>
          <cell r="P333">
            <v>0</v>
          </cell>
          <cell r="Q333">
            <v>0</v>
          </cell>
          <cell r="R333">
            <v>0</v>
          </cell>
          <cell r="S333">
            <v>7900</v>
          </cell>
          <cell r="T333">
            <v>-7.9</v>
          </cell>
          <cell r="U333">
            <v>0</v>
          </cell>
          <cell r="V333">
            <v>35</v>
          </cell>
          <cell r="W333">
            <v>0</v>
          </cell>
          <cell r="X333">
            <v>0</v>
          </cell>
          <cell r="Y333">
            <v>0</v>
          </cell>
          <cell r="Z333">
            <v>0</v>
          </cell>
          <cell r="AA333">
            <v>3309.5</v>
          </cell>
        </row>
        <row r="334">
          <cell r="A334" t="str">
            <v>Evansville State Hospital</v>
          </cell>
          <cell r="B334">
            <v>37316</v>
          </cell>
          <cell r="C334">
            <v>8039</v>
          </cell>
          <cell r="D334">
            <v>8039</v>
          </cell>
          <cell r="E334" t="str">
            <v>N/A</v>
          </cell>
          <cell r="F334" t="str">
            <v>N/A</v>
          </cell>
          <cell r="G334">
            <v>8015</v>
          </cell>
          <cell r="H334">
            <v>8015</v>
          </cell>
          <cell r="I334" t="str">
            <v>N/A</v>
          </cell>
          <cell r="J334" t="str">
            <v>N/A</v>
          </cell>
          <cell r="K334">
            <v>3254.09</v>
          </cell>
          <cell r="L334">
            <v>0</v>
          </cell>
          <cell r="M334">
            <v>75</v>
          </cell>
          <cell r="N334">
            <v>0</v>
          </cell>
          <cell r="O334">
            <v>0</v>
          </cell>
          <cell r="P334">
            <v>0</v>
          </cell>
          <cell r="Q334">
            <v>0</v>
          </cell>
          <cell r="R334">
            <v>0</v>
          </cell>
          <cell r="S334">
            <v>8015</v>
          </cell>
          <cell r="T334">
            <v>-8.02</v>
          </cell>
          <cell r="U334">
            <v>0</v>
          </cell>
          <cell r="V334">
            <v>35</v>
          </cell>
          <cell r="W334">
            <v>0</v>
          </cell>
          <cell r="X334">
            <v>0</v>
          </cell>
          <cell r="Y334">
            <v>0</v>
          </cell>
          <cell r="Z334">
            <v>0</v>
          </cell>
          <cell r="AA334">
            <v>3356.07</v>
          </cell>
        </row>
        <row r="335">
          <cell r="A335" t="str">
            <v>Evansville State Hospital</v>
          </cell>
          <cell r="B335">
            <v>37347</v>
          </cell>
          <cell r="C335">
            <v>5196</v>
          </cell>
          <cell r="D335">
            <v>5196</v>
          </cell>
          <cell r="E335" t="str">
            <v>N/A</v>
          </cell>
          <cell r="F335" t="str">
            <v>N/A</v>
          </cell>
          <cell r="G335">
            <v>5395</v>
          </cell>
          <cell r="H335">
            <v>5395</v>
          </cell>
          <cell r="I335" t="str">
            <v>N/A</v>
          </cell>
          <cell r="J335" t="str">
            <v>N/A</v>
          </cell>
          <cell r="K335">
            <v>2190.37</v>
          </cell>
          <cell r="L335">
            <v>0</v>
          </cell>
          <cell r="M335">
            <v>75</v>
          </cell>
          <cell r="N335">
            <v>0</v>
          </cell>
          <cell r="O335">
            <v>0</v>
          </cell>
          <cell r="P335">
            <v>0</v>
          </cell>
          <cell r="Q335">
            <v>0</v>
          </cell>
          <cell r="R335">
            <v>0</v>
          </cell>
          <cell r="S335">
            <v>5395</v>
          </cell>
          <cell r="T335">
            <v>-5.39</v>
          </cell>
          <cell r="U335">
            <v>0</v>
          </cell>
          <cell r="V335">
            <v>35</v>
          </cell>
          <cell r="W335">
            <v>0</v>
          </cell>
          <cell r="X335">
            <v>0</v>
          </cell>
          <cell r="Y335">
            <v>0</v>
          </cell>
          <cell r="Z335">
            <v>0</v>
          </cell>
          <cell r="AA335">
            <v>2294.98</v>
          </cell>
        </row>
        <row r="336">
          <cell r="A336" t="str">
            <v>Evansville State Hospital</v>
          </cell>
          <cell r="B336">
            <v>37377</v>
          </cell>
          <cell r="C336">
            <v>5373</v>
          </cell>
          <cell r="D336">
            <v>5373</v>
          </cell>
          <cell r="E336" t="str">
            <v>N/A</v>
          </cell>
          <cell r="F336" t="str">
            <v>N/A</v>
          </cell>
          <cell r="G336">
            <v>4632</v>
          </cell>
          <cell r="H336">
            <v>4632</v>
          </cell>
          <cell r="I336" t="str">
            <v>N/A</v>
          </cell>
          <cell r="J336" t="str">
            <v>N/A</v>
          </cell>
          <cell r="K336">
            <v>1880.44</v>
          </cell>
          <cell r="L336">
            <v>0</v>
          </cell>
          <cell r="M336">
            <v>75</v>
          </cell>
          <cell r="N336">
            <v>0</v>
          </cell>
          <cell r="O336">
            <v>0</v>
          </cell>
          <cell r="P336">
            <v>0</v>
          </cell>
          <cell r="Q336">
            <v>0</v>
          </cell>
          <cell r="R336">
            <v>0</v>
          </cell>
          <cell r="S336">
            <v>0</v>
          </cell>
          <cell r="T336">
            <v>0</v>
          </cell>
          <cell r="U336">
            <v>0</v>
          </cell>
          <cell r="V336">
            <v>35</v>
          </cell>
          <cell r="W336">
            <v>176.16</v>
          </cell>
          <cell r="X336">
            <v>13618</v>
          </cell>
          <cell r="Y336">
            <v>1392</v>
          </cell>
          <cell r="Z336">
            <v>8143</v>
          </cell>
          <cell r="AA336">
            <v>15784.44</v>
          </cell>
        </row>
        <row r="337">
          <cell r="A337" t="str">
            <v>Evansville State Hospital</v>
          </cell>
          <cell r="B337">
            <v>37408</v>
          </cell>
          <cell r="C337">
            <v>6432</v>
          </cell>
          <cell r="D337">
            <v>6432</v>
          </cell>
          <cell r="E337" t="str">
            <v>N/A</v>
          </cell>
          <cell r="F337" t="str">
            <v>N/A</v>
          </cell>
          <cell r="G337">
            <v>7320</v>
          </cell>
          <cell r="H337">
            <v>7320</v>
          </cell>
          <cell r="I337" t="str">
            <v>N/A</v>
          </cell>
          <cell r="J337" t="str">
            <v>N/A</v>
          </cell>
          <cell r="K337">
            <v>2971.92</v>
          </cell>
          <cell r="L337">
            <v>0</v>
          </cell>
          <cell r="M337">
            <v>75</v>
          </cell>
          <cell r="N337">
            <v>0</v>
          </cell>
          <cell r="O337">
            <v>0</v>
          </cell>
          <cell r="P337">
            <v>0</v>
          </cell>
          <cell r="Q337">
            <v>0</v>
          </cell>
          <cell r="R337">
            <v>0</v>
          </cell>
          <cell r="S337">
            <v>0</v>
          </cell>
          <cell r="T337">
            <v>0</v>
          </cell>
          <cell r="U337">
            <v>0</v>
          </cell>
          <cell r="V337">
            <v>35</v>
          </cell>
          <cell r="W337">
            <v>0</v>
          </cell>
          <cell r="X337">
            <v>3057.3</v>
          </cell>
          <cell r="Y337">
            <v>0</v>
          </cell>
          <cell r="Z337">
            <v>0</v>
          </cell>
          <cell r="AA337">
            <v>6139.22</v>
          </cell>
        </row>
        <row r="338">
          <cell r="A338" t="str">
            <v>Evansville State Hospital</v>
          </cell>
          <cell r="B338">
            <v>37438</v>
          </cell>
          <cell r="C338">
            <v>5921</v>
          </cell>
          <cell r="D338">
            <v>5921</v>
          </cell>
          <cell r="E338" t="str">
            <v>N/A</v>
          </cell>
          <cell r="F338" t="str">
            <v>N/A</v>
          </cell>
          <cell r="G338">
            <v>5486</v>
          </cell>
          <cell r="H338">
            <v>5486</v>
          </cell>
          <cell r="I338" t="str">
            <v>N/A</v>
          </cell>
          <cell r="J338" t="str">
            <v>N/A</v>
          </cell>
          <cell r="K338">
            <v>2227.3200000000002</v>
          </cell>
          <cell r="L338">
            <v>0</v>
          </cell>
          <cell r="M338">
            <v>75</v>
          </cell>
          <cell r="N338">
            <v>0</v>
          </cell>
          <cell r="O338">
            <v>0</v>
          </cell>
          <cell r="P338">
            <v>0</v>
          </cell>
          <cell r="Q338">
            <v>0</v>
          </cell>
          <cell r="R338">
            <v>0</v>
          </cell>
          <cell r="S338">
            <v>0</v>
          </cell>
          <cell r="T338">
            <v>0</v>
          </cell>
          <cell r="U338">
            <v>0</v>
          </cell>
          <cell r="V338">
            <v>35</v>
          </cell>
          <cell r="W338">
            <v>0</v>
          </cell>
          <cell r="X338">
            <v>0</v>
          </cell>
          <cell r="Y338">
            <v>0</v>
          </cell>
          <cell r="Z338">
            <v>0</v>
          </cell>
          <cell r="AA338">
            <v>2337.3200000000002</v>
          </cell>
        </row>
        <row r="339">
          <cell r="A339" t="str">
            <v>Faultless Caster Corporation</v>
          </cell>
          <cell r="B339">
            <v>37104</v>
          </cell>
          <cell r="C339">
            <v>1824</v>
          </cell>
          <cell r="D339">
            <v>1824</v>
          </cell>
          <cell r="E339" t="str">
            <v>N/A</v>
          </cell>
          <cell r="F339" t="str">
            <v>N/A</v>
          </cell>
          <cell r="G339">
            <v>900</v>
          </cell>
          <cell r="H339">
            <v>900</v>
          </cell>
          <cell r="I339" t="str">
            <v>N/A</v>
          </cell>
          <cell r="J339" t="str">
            <v>N/A</v>
          </cell>
          <cell r="K339">
            <v>365.4</v>
          </cell>
          <cell r="L339">
            <v>0</v>
          </cell>
          <cell r="M339">
            <v>75</v>
          </cell>
          <cell r="N339">
            <v>0</v>
          </cell>
          <cell r="O339">
            <v>0</v>
          </cell>
          <cell r="P339">
            <v>0</v>
          </cell>
          <cell r="Q339">
            <v>0</v>
          </cell>
          <cell r="R339">
            <v>0</v>
          </cell>
          <cell r="S339">
            <v>900</v>
          </cell>
          <cell r="T339">
            <v>2.7</v>
          </cell>
          <cell r="U339">
            <v>0</v>
          </cell>
          <cell r="V339">
            <v>35</v>
          </cell>
          <cell r="W339">
            <v>0</v>
          </cell>
          <cell r="X339">
            <v>0</v>
          </cell>
          <cell r="Y339">
            <v>0</v>
          </cell>
          <cell r="Z339">
            <v>0</v>
          </cell>
          <cell r="AA339">
            <v>478.1</v>
          </cell>
        </row>
        <row r="340">
          <cell r="A340" t="str">
            <v>Faultless Caster Corporation</v>
          </cell>
          <cell r="B340">
            <v>37135</v>
          </cell>
          <cell r="C340">
            <v>1561</v>
          </cell>
          <cell r="D340">
            <v>1561</v>
          </cell>
          <cell r="E340" t="str">
            <v>N/A</v>
          </cell>
          <cell r="F340" t="str">
            <v>N/A</v>
          </cell>
          <cell r="G340">
            <v>1586</v>
          </cell>
          <cell r="H340">
            <v>1586</v>
          </cell>
          <cell r="I340" t="str">
            <v>N/A</v>
          </cell>
          <cell r="J340" t="str">
            <v>N/A</v>
          </cell>
          <cell r="K340">
            <v>643.91999999999996</v>
          </cell>
          <cell r="L340">
            <v>0</v>
          </cell>
          <cell r="M340">
            <v>75</v>
          </cell>
          <cell r="N340">
            <v>0</v>
          </cell>
          <cell r="O340">
            <v>0</v>
          </cell>
          <cell r="P340">
            <v>0</v>
          </cell>
          <cell r="Q340">
            <v>0</v>
          </cell>
          <cell r="R340">
            <v>0</v>
          </cell>
          <cell r="S340">
            <v>1586</v>
          </cell>
          <cell r="T340">
            <v>4.76</v>
          </cell>
          <cell r="U340">
            <v>0</v>
          </cell>
          <cell r="V340">
            <v>35</v>
          </cell>
          <cell r="W340">
            <v>0</v>
          </cell>
          <cell r="X340">
            <v>0</v>
          </cell>
          <cell r="Y340">
            <v>0</v>
          </cell>
          <cell r="Z340">
            <v>0</v>
          </cell>
          <cell r="AA340">
            <v>758.68</v>
          </cell>
        </row>
        <row r="341">
          <cell r="A341" t="str">
            <v>Faultless Caster Corporation</v>
          </cell>
          <cell r="B341">
            <v>37165</v>
          </cell>
          <cell r="C341">
            <v>3285</v>
          </cell>
          <cell r="D341">
            <v>3285</v>
          </cell>
          <cell r="E341" t="str">
            <v>N/A</v>
          </cell>
          <cell r="F341" t="str">
            <v>N/A</v>
          </cell>
          <cell r="G341">
            <v>3335</v>
          </cell>
          <cell r="H341">
            <v>3335</v>
          </cell>
          <cell r="I341" t="str">
            <v>N/A</v>
          </cell>
          <cell r="J341" t="str">
            <v>N/A</v>
          </cell>
          <cell r="K341">
            <v>1354.01</v>
          </cell>
          <cell r="L341">
            <v>0</v>
          </cell>
          <cell r="M341">
            <v>75</v>
          </cell>
          <cell r="N341">
            <v>0</v>
          </cell>
          <cell r="O341">
            <v>0</v>
          </cell>
          <cell r="P341">
            <v>0</v>
          </cell>
          <cell r="Q341">
            <v>0</v>
          </cell>
          <cell r="R341">
            <v>0</v>
          </cell>
          <cell r="S341">
            <v>3335</v>
          </cell>
          <cell r="T341">
            <v>10.01</v>
          </cell>
          <cell r="U341">
            <v>0</v>
          </cell>
          <cell r="V341">
            <v>35</v>
          </cell>
          <cell r="W341">
            <v>0</v>
          </cell>
          <cell r="X341">
            <v>0</v>
          </cell>
          <cell r="Y341">
            <v>0</v>
          </cell>
          <cell r="Z341">
            <v>0</v>
          </cell>
          <cell r="AA341">
            <v>1474.02</v>
          </cell>
        </row>
        <row r="342">
          <cell r="A342" t="str">
            <v>Faultless Caster Corporation</v>
          </cell>
          <cell r="B342">
            <v>37196</v>
          </cell>
          <cell r="C342">
            <v>3587</v>
          </cell>
          <cell r="D342">
            <v>3587</v>
          </cell>
          <cell r="E342" t="str">
            <v>N/A</v>
          </cell>
          <cell r="F342" t="str">
            <v>N/A</v>
          </cell>
          <cell r="G342">
            <v>5175</v>
          </cell>
          <cell r="H342">
            <v>5175</v>
          </cell>
          <cell r="I342" t="str">
            <v>N/A</v>
          </cell>
          <cell r="J342" t="str">
            <v>N/A</v>
          </cell>
          <cell r="K342">
            <v>2101.0500000000002</v>
          </cell>
          <cell r="L342">
            <v>0</v>
          </cell>
          <cell r="M342">
            <v>75</v>
          </cell>
          <cell r="N342">
            <v>0</v>
          </cell>
          <cell r="O342">
            <v>0</v>
          </cell>
          <cell r="P342">
            <v>0</v>
          </cell>
          <cell r="Q342">
            <v>0</v>
          </cell>
          <cell r="R342">
            <v>0</v>
          </cell>
          <cell r="S342">
            <v>5175</v>
          </cell>
          <cell r="T342">
            <v>15.53</v>
          </cell>
          <cell r="U342">
            <v>0</v>
          </cell>
          <cell r="V342">
            <v>35</v>
          </cell>
          <cell r="W342">
            <v>0</v>
          </cell>
          <cell r="X342">
            <v>0</v>
          </cell>
          <cell r="Y342">
            <v>0</v>
          </cell>
          <cell r="Z342">
            <v>0</v>
          </cell>
          <cell r="AA342">
            <v>2226.58</v>
          </cell>
        </row>
        <row r="343">
          <cell r="A343" t="str">
            <v>Faultless Caster Corporation</v>
          </cell>
          <cell r="B343">
            <v>37226</v>
          </cell>
          <cell r="C343">
            <v>4706</v>
          </cell>
          <cell r="D343">
            <v>4706</v>
          </cell>
          <cell r="E343" t="str">
            <v>N/A</v>
          </cell>
          <cell r="F343" t="str">
            <v>N/A</v>
          </cell>
          <cell r="G343">
            <v>9000</v>
          </cell>
          <cell r="H343">
            <v>9000</v>
          </cell>
          <cell r="I343" t="str">
            <v>N/A</v>
          </cell>
          <cell r="J343" t="str">
            <v>N/A</v>
          </cell>
          <cell r="K343">
            <v>3654</v>
          </cell>
          <cell r="L343">
            <v>0</v>
          </cell>
          <cell r="M343">
            <v>75</v>
          </cell>
          <cell r="N343">
            <v>0</v>
          </cell>
          <cell r="O343">
            <v>0</v>
          </cell>
          <cell r="P343">
            <v>0</v>
          </cell>
          <cell r="Q343">
            <v>0</v>
          </cell>
          <cell r="R343">
            <v>0</v>
          </cell>
          <cell r="S343">
            <v>9000</v>
          </cell>
          <cell r="T343">
            <v>27</v>
          </cell>
          <cell r="U343">
            <v>0</v>
          </cell>
          <cell r="V343">
            <v>35</v>
          </cell>
          <cell r="W343">
            <v>0</v>
          </cell>
          <cell r="X343">
            <v>0</v>
          </cell>
          <cell r="Y343">
            <v>0</v>
          </cell>
          <cell r="Z343">
            <v>0</v>
          </cell>
          <cell r="AA343">
            <v>3791</v>
          </cell>
        </row>
        <row r="344">
          <cell r="A344" t="str">
            <v>Faultless Caster Corporation</v>
          </cell>
          <cell r="B344">
            <v>37257</v>
          </cell>
          <cell r="C344">
            <v>5466</v>
          </cell>
          <cell r="D344">
            <v>5466</v>
          </cell>
          <cell r="E344" t="str">
            <v>N/A</v>
          </cell>
          <cell r="F344" t="str">
            <v>N/A</v>
          </cell>
          <cell r="G344">
            <v>9600</v>
          </cell>
          <cell r="H344">
            <v>9600</v>
          </cell>
          <cell r="I344" t="str">
            <v>N/A</v>
          </cell>
          <cell r="J344" t="str">
            <v>N/A</v>
          </cell>
          <cell r="K344">
            <v>3897.6</v>
          </cell>
          <cell r="L344">
            <v>0</v>
          </cell>
          <cell r="M344">
            <v>75</v>
          </cell>
          <cell r="N344">
            <v>0</v>
          </cell>
          <cell r="O344">
            <v>0</v>
          </cell>
          <cell r="P344">
            <v>0</v>
          </cell>
          <cell r="Q344">
            <v>0</v>
          </cell>
          <cell r="R344">
            <v>0</v>
          </cell>
          <cell r="S344">
            <v>9600</v>
          </cell>
          <cell r="T344">
            <v>28.8</v>
          </cell>
          <cell r="U344">
            <v>0</v>
          </cell>
          <cell r="V344">
            <v>35</v>
          </cell>
          <cell r="W344">
            <v>0</v>
          </cell>
          <cell r="X344">
            <v>0</v>
          </cell>
          <cell r="Y344">
            <v>0</v>
          </cell>
          <cell r="Z344">
            <v>0</v>
          </cell>
          <cell r="AA344">
            <v>4036.4</v>
          </cell>
        </row>
        <row r="345">
          <cell r="A345" t="str">
            <v>Faultless Caster Corporation</v>
          </cell>
          <cell r="B345">
            <v>37288</v>
          </cell>
          <cell r="C345">
            <v>5099</v>
          </cell>
          <cell r="D345">
            <v>5099</v>
          </cell>
          <cell r="E345" t="str">
            <v>N/A</v>
          </cell>
          <cell r="F345" t="str">
            <v>N/A</v>
          </cell>
          <cell r="G345">
            <v>5000</v>
          </cell>
          <cell r="H345">
            <v>5000</v>
          </cell>
          <cell r="I345" t="str">
            <v>N/A</v>
          </cell>
          <cell r="J345" t="str">
            <v>N/A</v>
          </cell>
          <cell r="K345">
            <v>2030</v>
          </cell>
          <cell r="L345">
            <v>0</v>
          </cell>
          <cell r="M345">
            <v>75</v>
          </cell>
          <cell r="N345">
            <v>0</v>
          </cell>
          <cell r="O345">
            <v>0</v>
          </cell>
          <cell r="P345">
            <v>0</v>
          </cell>
          <cell r="Q345">
            <v>0</v>
          </cell>
          <cell r="R345">
            <v>0</v>
          </cell>
          <cell r="S345">
            <v>5000</v>
          </cell>
          <cell r="T345">
            <v>-5</v>
          </cell>
          <cell r="U345">
            <v>0</v>
          </cell>
          <cell r="V345">
            <v>35</v>
          </cell>
          <cell r="W345">
            <v>0</v>
          </cell>
          <cell r="X345">
            <v>0</v>
          </cell>
          <cell r="Y345">
            <v>0</v>
          </cell>
          <cell r="Z345">
            <v>0</v>
          </cell>
          <cell r="AA345">
            <v>2135</v>
          </cell>
        </row>
        <row r="346">
          <cell r="A346" t="str">
            <v>Faultless Caster Corporation</v>
          </cell>
          <cell r="B346">
            <v>37316</v>
          </cell>
          <cell r="C346">
            <v>5283</v>
          </cell>
          <cell r="D346">
            <v>5283</v>
          </cell>
          <cell r="E346" t="str">
            <v>N/A</v>
          </cell>
          <cell r="F346" t="str">
            <v>N/A</v>
          </cell>
          <cell r="G346">
            <v>5301</v>
          </cell>
          <cell r="H346">
            <v>5301</v>
          </cell>
          <cell r="I346" t="str">
            <v>N/A</v>
          </cell>
          <cell r="J346" t="str">
            <v>N/A</v>
          </cell>
          <cell r="K346">
            <v>2152.21</v>
          </cell>
          <cell r="L346">
            <v>0</v>
          </cell>
          <cell r="M346">
            <v>75</v>
          </cell>
          <cell r="N346">
            <v>0</v>
          </cell>
          <cell r="O346">
            <v>0</v>
          </cell>
          <cell r="P346">
            <v>0</v>
          </cell>
          <cell r="Q346">
            <v>0</v>
          </cell>
          <cell r="R346">
            <v>0</v>
          </cell>
          <cell r="S346">
            <v>5301</v>
          </cell>
          <cell r="T346">
            <v>-5.3</v>
          </cell>
          <cell r="U346">
            <v>0</v>
          </cell>
          <cell r="V346">
            <v>35</v>
          </cell>
          <cell r="W346">
            <v>0</v>
          </cell>
          <cell r="X346">
            <v>0</v>
          </cell>
          <cell r="Y346">
            <v>0</v>
          </cell>
          <cell r="Z346">
            <v>0</v>
          </cell>
          <cell r="AA346">
            <v>2256.91</v>
          </cell>
        </row>
        <row r="347">
          <cell r="A347" t="str">
            <v>Faultless Caster Corporation</v>
          </cell>
          <cell r="B347">
            <v>37347</v>
          </cell>
          <cell r="C347">
            <v>2798</v>
          </cell>
          <cell r="D347">
            <v>2798</v>
          </cell>
          <cell r="E347" t="str">
            <v>N/A</v>
          </cell>
          <cell r="F347" t="str">
            <v>N/A</v>
          </cell>
          <cell r="G347">
            <v>4600</v>
          </cell>
          <cell r="H347">
            <v>4600</v>
          </cell>
          <cell r="I347" t="str">
            <v>N/A</v>
          </cell>
          <cell r="J347" t="str">
            <v>N/A</v>
          </cell>
          <cell r="K347">
            <v>1867.6</v>
          </cell>
          <cell r="L347">
            <v>0</v>
          </cell>
          <cell r="M347">
            <v>75</v>
          </cell>
          <cell r="N347">
            <v>0</v>
          </cell>
          <cell r="O347">
            <v>0</v>
          </cell>
          <cell r="P347">
            <v>0</v>
          </cell>
          <cell r="Q347">
            <v>0</v>
          </cell>
          <cell r="R347">
            <v>0</v>
          </cell>
          <cell r="S347">
            <v>4600</v>
          </cell>
          <cell r="T347">
            <v>-4.5999999999999996</v>
          </cell>
          <cell r="U347">
            <v>0</v>
          </cell>
          <cell r="V347">
            <v>35</v>
          </cell>
          <cell r="W347">
            <v>0</v>
          </cell>
          <cell r="X347">
            <v>0</v>
          </cell>
          <cell r="Y347">
            <v>0</v>
          </cell>
          <cell r="Z347">
            <v>0</v>
          </cell>
          <cell r="AA347">
            <v>1973</v>
          </cell>
        </row>
        <row r="348">
          <cell r="A348" t="str">
            <v>Faultless Caster Corporation</v>
          </cell>
          <cell r="B348">
            <v>37377</v>
          </cell>
          <cell r="C348">
            <v>2875</v>
          </cell>
          <cell r="D348">
            <v>2875</v>
          </cell>
          <cell r="E348" t="str">
            <v>N/A</v>
          </cell>
          <cell r="F348" t="str">
            <v>N/A</v>
          </cell>
          <cell r="G348">
            <v>2600</v>
          </cell>
          <cell r="H348">
            <v>2600</v>
          </cell>
          <cell r="I348" t="str">
            <v>N/A</v>
          </cell>
          <cell r="J348" t="str">
            <v>N/A</v>
          </cell>
          <cell r="K348">
            <v>1055.5999999999999</v>
          </cell>
          <cell r="L348">
            <v>0</v>
          </cell>
          <cell r="M348">
            <v>75</v>
          </cell>
          <cell r="N348">
            <v>0</v>
          </cell>
          <cell r="O348">
            <v>0</v>
          </cell>
          <cell r="P348">
            <v>0</v>
          </cell>
          <cell r="Q348">
            <v>0</v>
          </cell>
          <cell r="R348">
            <v>0</v>
          </cell>
          <cell r="S348">
            <v>0</v>
          </cell>
          <cell r="T348">
            <v>0</v>
          </cell>
          <cell r="U348">
            <v>0</v>
          </cell>
          <cell r="V348">
            <v>35</v>
          </cell>
          <cell r="W348">
            <v>0</v>
          </cell>
          <cell r="X348">
            <v>0</v>
          </cell>
          <cell r="Y348">
            <v>0</v>
          </cell>
          <cell r="Z348">
            <v>0</v>
          </cell>
          <cell r="AA348">
            <v>1165.5999999999999</v>
          </cell>
        </row>
        <row r="349">
          <cell r="A349" t="str">
            <v>Faultless Caster Corporation</v>
          </cell>
          <cell r="B349">
            <v>37408</v>
          </cell>
          <cell r="C349">
            <v>2172</v>
          </cell>
          <cell r="D349">
            <v>2172</v>
          </cell>
          <cell r="E349" t="str">
            <v>N/A</v>
          </cell>
          <cell r="F349" t="str">
            <v>N/A</v>
          </cell>
          <cell r="G349">
            <v>2800</v>
          </cell>
          <cell r="H349">
            <v>2800</v>
          </cell>
          <cell r="I349" t="str">
            <v>N/A</v>
          </cell>
          <cell r="J349" t="str">
            <v>N/A</v>
          </cell>
          <cell r="K349">
            <v>1136.8</v>
          </cell>
          <cell r="L349">
            <v>0</v>
          </cell>
          <cell r="M349">
            <v>75</v>
          </cell>
          <cell r="N349">
            <v>0</v>
          </cell>
          <cell r="O349">
            <v>0</v>
          </cell>
          <cell r="P349">
            <v>0</v>
          </cell>
          <cell r="Q349">
            <v>0</v>
          </cell>
          <cell r="R349">
            <v>0</v>
          </cell>
          <cell r="S349">
            <v>0</v>
          </cell>
          <cell r="T349">
            <v>0</v>
          </cell>
          <cell r="U349">
            <v>0</v>
          </cell>
          <cell r="V349">
            <v>35</v>
          </cell>
          <cell r="W349">
            <v>0</v>
          </cell>
          <cell r="X349">
            <v>0</v>
          </cell>
          <cell r="Y349">
            <v>0</v>
          </cell>
          <cell r="Z349">
            <v>0</v>
          </cell>
          <cell r="AA349">
            <v>1246.8</v>
          </cell>
        </row>
        <row r="350">
          <cell r="A350" t="str">
            <v>Faultless Caster Corporation</v>
          </cell>
          <cell r="B350">
            <v>37438</v>
          </cell>
          <cell r="C350">
            <v>0</v>
          </cell>
          <cell r="D350">
            <v>0</v>
          </cell>
          <cell r="E350" t="str">
            <v>N/A</v>
          </cell>
          <cell r="F350" t="str">
            <v>N/A</v>
          </cell>
          <cell r="G350">
            <v>0</v>
          </cell>
          <cell r="H350">
            <v>0</v>
          </cell>
          <cell r="I350" t="str">
            <v>N/A</v>
          </cell>
          <cell r="J350" t="str">
            <v>N/A</v>
          </cell>
          <cell r="K350">
            <v>0</v>
          </cell>
          <cell r="L350">
            <v>0</v>
          </cell>
          <cell r="M350">
            <v>75</v>
          </cell>
          <cell r="N350">
            <v>0</v>
          </cell>
          <cell r="O350">
            <v>0</v>
          </cell>
          <cell r="P350">
            <v>0</v>
          </cell>
          <cell r="Q350">
            <v>0</v>
          </cell>
          <cell r="R350">
            <v>0</v>
          </cell>
          <cell r="S350">
            <v>0</v>
          </cell>
          <cell r="T350">
            <v>0</v>
          </cell>
          <cell r="U350">
            <v>0</v>
          </cell>
          <cell r="V350">
            <v>35</v>
          </cell>
          <cell r="W350">
            <v>0</v>
          </cell>
          <cell r="X350">
            <v>0</v>
          </cell>
          <cell r="Y350">
            <v>0</v>
          </cell>
          <cell r="Z350">
            <v>0</v>
          </cell>
          <cell r="AA350">
            <v>110</v>
          </cell>
        </row>
        <row r="351">
          <cell r="A351" t="str">
            <v>GAF Materials Corporation</v>
          </cell>
          <cell r="B351">
            <v>37104</v>
          </cell>
          <cell r="C351">
            <v>18274</v>
          </cell>
          <cell r="D351">
            <v>18274</v>
          </cell>
          <cell r="E351" t="str">
            <v>N/A</v>
          </cell>
          <cell r="F351" t="str">
            <v>N/A</v>
          </cell>
          <cell r="G351">
            <v>18572</v>
          </cell>
          <cell r="H351">
            <v>18572</v>
          </cell>
          <cell r="I351" t="str">
            <v>N/A</v>
          </cell>
          <cell r="J351" t="str">
            <v>N/A</v>
          </cell>
          <cell r="K351">
            <v>7540.23</v>
          </cell>
          <cell r="L351">
            <v>0</v>
          </cell>
          <cell r="M351">
            <v>75</v>
          </cell>
          <cell r="N351">
            <v>0</v>
          </cell>
          <cell r="O351">
            <v>0</v>
          </cell>
          <cell r="P351">
            <v>0</v>
          </cell>
          <cell r="Q351">
            <v>0</v>
          </cell>
          <cell r="R351">
            <v>0</v>
          </cell>
          <cell r="S351">
            <v>18572</v>
          </cell>
          <cell r="T351">
            <v>55.72</v>
          </cell>
          <cell r="U351">
            <v>0</v>
          </cell>
          <cell r="V351">
            <v>35</v>
          </cell>
          <cell r="W351">
            <v>1.75</v>
          </cell>
          <cell r="X351">
            <v>0</v>
          </cell>
          <cell r="Y351">
            <v>0</v>
          </cell>
          <cell r="Z351">
            <v>0</v>
          </cell>
          <cell r="AA351">
            <v>7707.7</v>
          </cell>
        </row>
        <row r="352">
          <cell r="A352" t="str">
            <v>GAF Materials Corporation</v>
          </cell>
          <cell r="B352">
            <v>37135</v>
          </cell>
          <cell r="C352">
            <v>9858</v>
          </cell>
          <cell r="D352">
            <v>9858</v>
          </cell>
          <cell r="E352" t="str">
            <v>N/A</v>
          </cell>
          <cell r="F352" t="str">
            <v>N/A</v>
          </cell>
          <cell r="G352">
            <v>10018</v>
          </cell>
          <cell r="H352">
            <v>10018</v>
          </cell>
          <cell r="I352" t="str">
            <v>N/A</v>
          </cell>
          <cell r="J352" t="str">
            <v>N/A</v>
          </cell>
          <cell r="K352">
            <v>4067.31</v>
          </cell>
          <cell r="L352">
            <v>0</v>
          </cell>
          <cell r="M352">
            <v>75</v>
          </cell>
          <cell r="N352">
            <v>0</v>
          </cell>
          <cell r="O352">
            <v>0</v>
          </cell>
          <cell r="P352">
            <v>0</v>
          </cell>
          <cell r="Q352">
            <v>0</v>
          </cell>
          <cell r="R352">
            <v>0</v>
          </cell>
          <cell r="S352">
            <v>10018</v>
          </cell>
          <cell r="T352">
            <v>30.05</v>
          </cell>
          <cell r="U352">
            <v>0</v>
          </cell>
          <cell r="V352">
            <v>35</v>
          </cell>
          <cell r="W352">
            <v>1.75</v>
          </cell>
          <cell r="X352">
            <v>0</v>
          </cell>
          <cell r="Y352">
            <v>0</v>
          </cell>
          <cell r="Z352">
            <v>0</v>
          </cell>
          <cell r="AA352">
            <v>4209.1099999999997</v>
          </cell>
        </row>
        <row r="353">
          <cell r="A353" t="str">
            <v>GAF Materials Corporation</v>
          </cell>
          <cell r="B353">
            <v>37165</v>
          </cell>
          <cell r="C353">
            <v>20808</v>
          </cell>
          <cell r="D353">
            <v>20808</v>
          </cell>
          <cell r="E353" t="str">
            <v>N/A</v>
          </cell>
          <cell r="F353" t="str">
            <v>N/A</v>
          </cell>
          <cell r="G353">
            <v>21144</v>
          </cell>
          <cell r="H353">
            <v>21144</v>
          </cell>
          <cell r="I353" t="str">
            <v>N/A</v>
          </cell>
          <cell r="J353" t="str">
            <v>N/A</v>
          </cell>
          <cell r="K353">
            <v>8584.4599999999991</v>
          </cell>
          <cell r="L353">
            <v>0</v>
          </cell>
          <cell r="M353">
            <v>75</v>
          </cell>
          <cell r="N353">
            <v>0</v>
          </cell>
          <cell r="O353">
            <v>0</v>
          </cell>
          <cell r="P353">
            <v>0</v>
          </cell>
          <cell r="Q353">
            <v>0</v>
          </cell>
          <cell r="R353">
            <v>0</v>
          </cell>
          <cell r="S353">
            <v>21144</v>
          </cell>
          <cell r="T353">
            <v>63.43</v>
          </cell>
          <cell r="U353">
            <v>0</v>
          </cell>
          <cell r="V353">
            <v>35</v>
          </cell>
          <cell r="W353">
            <v>1.75</v>
          </cell>
          <cell r="X353">
            <v>0</v>
          </cell>
          <cell r="Y353">
            <v>0</v>
          </cell>
          <cell r="Z353">
            <v>0</v>
          </cell>
          <cell r="AA353">
            <v>8759.64</v>
          </cell>
        </row>
        <row r="354">
          <cell r="A354" t="str">
            <v>GAF Materials Corporation</v>
          </cell>
          <cell r="B354">
            <v>37196</v>
          </cell>
          <cell r="C354">
            <v>20469</v>
          </cell>
          <cell r="D354">
            <v>20469</v>
          </cell>
          <cell r="E354" t="str">
            <v>N/A</v>
          </cell>
          <cell r="F354" t="str">
            <v>N/A</v>
          </cell>
          <cell r="G354">
            <v>20802</v>
          </cell>
          <cell r="H354">
            <v>20802</v>
          </cell>
          <cell r="I354" t="str">
            <v>N/A</v>
          </cell>
          <cell r="J354" t="str">
            <v>N/A</v>
          </cell>
          <cell r="K354">
            <v>8445.61</v>
          </cell>
          <cell r="L354">
            <v>0</v>
          </cell>
          <cell r="M354">
            <v>75</v>
          </cell>
          <cell r="N354">
            <v>0</v>
          </cell>
          <cell r="O354">
            <v>0</v>
          </cell>
          <cell r="P354">
            <v>0</v>
          </cell>
          <cell r="Q354">
            <v>0</v>
          </cell>
          <cell r="R354">
            <v>0</v>
          </cell>
          <cell r="S354">
            <v>20802</v>
          </cell>
          <cell r="T354">
            <v>62.41</v>
          </cell>
          <cell r="U354">
            <v>0</v>
          </cell>
          <cell r="V354">
            <v>35</v>
          </cell>
          <cell r="W354">
            <v>1.75</v>
          </cell>
          <cell r="X354">
            <v>0</v>
          </cell>
          <cell r="Y354">
            <v>0</v>
          </cell>
          <cell r="Z354">
            <v>0</v>
          </cell>
          <cell r="AA354">
            <v>8619.77</v>
          </cell>
        </row>
        <row r="355">
          <cell r="A355" t="str">
            <v>GAF Materials Corporation</v>
          </cell>
          <cell r="B355">
            <v>37226</v>
          </cell>
          <cell r="C355">
            <v>19459</v>
          </cell>
          <cell r="D355">
            <v>19459</v>
          </cell>
          <cell r="E355" t="str">
            <v>N/A</v>
          </cell>
          <cell r="F355" t="str">
            <v>N/A</v>
          </cell>
          <cell r="G355">
            <v>19775</v>
          </cell>
          <cell r="H355">
            <v>19775</v>
          </cell>
          <cell r="I355" t="str">
            <v>N/A</v>
          </cell>
          <cell r="J355" t="str">
            <v>N/A</v>
          </cell>
          <cell r="K355">
            <v>8028.65</v>
          </cell>
          <cell r="L355">
            <v>0</v>
          </cell>
          <cell r="M355">
            <v>75</v>
          </cell>
          <cell r="N355">
            <v>0</v>
          </cell>
          <cell r="O355">
            <v>0</v>
          </cell>
          <cell r="P355">
            <v>0</v>
          </cell>
          <cell r="Q355">
            <v>0</v>
          </cell>
          <cell r="R355">
            <v>0</v>
          </cell>
          <cell r="S355">
            <v>19775</v>
          </cell>
          <cell r="T355">
            <v>59.33</v>
          </cell>
          <cell r="U355">
            <v>0</v>
          </cell>
          <cell r="V355">
            <v>35</v>
          </cell>
          <cell r="W355">
            <v>1.75</v>
          </cell>
          <cell r="X355">
            <v>0</v>
          </cell>
          <cell r="Y355">
            <v>0</v>
          </cell>
          <cell r="Z355">
            <v>0</v>
          </cell>
          <cell r="AA355">
            <v>8199.73</v>
          </cell>
        </row>
        <row r="356">
          <cell r="A356" t="str">
            <v>GAF Materials Corporation</v>
          </cell>
          <cell r="B356">
            <v>37257</v>
          </cell>
          <cell r="C356">
            <v>22702</v>
          </cell>
          <cell r="D356">
            <v>22702</v>
          </cell>
          <cell r="E356" t="str">
            <v>N/A</v>
          </cell>
          <cell r="F356" t="str">
            <v>N/A</v>
          </cell>
          <cell r="G356">
            <v>23073</v>
          </cell>
          <cell r="H356">
            <v>23073</v>
          </cell>
          <cell r="I356" t="str">
            <v>N/A</v>
          </cell>
          <cell r="J356" t="str">
            <v>N/A</v>
          </cell>
          <cell r="K356">
            <v>9367.64</v>
          </cell>
          <cell r="L356">
            <v>0</v>
          </cell>
          <cell r="M356">
            <v>75</v>
          </cell>
          <cell r="N356">
            <v>0</v>
          </cell>
          <cell r="O356">
            <v>0</v>
          </cell>
          <cell r="P356">
            <v>0</v>
          </cell>
          <cell r="Q356">
            <v>0</v>
          </cell>
          <cell r="R356">
            <v>0</v>
          </cell>
          <cell r="S356">
            <v>23073</v>
          </cell>
          <cell r="T356">
            <v>69.22</v>
          </cell>
          <cell r="U356">
            <v>0</v>
          </cell>
          <cell r="V356">
            <v>35</v>
          </cell>
          <cell r="W356">
            <v>1.75</v>
          </cell>
          <cell r="X356">
            <v>0</v>
          </cell>
          <cell r="Y356">
            <v>0</v>
          </cell>
          <cell r="Z356">
            <v>0</v>
          </cell>
          <cell r="AA356">
            <v>9548.61</v>
          </cell>
        </row>
        <row r="357">
          <cell r="A357" t="str">
            <v>GAF Materials Corporation</v>
          </cell>
          <cell r="B357">
            <v>37288</v>
          </cell>
          <cell r="C357">
            <v>20801</v>
          </cell>
          <cell r="D357">
            <v>20801</v>
          </cell>
          <cell r="E357" t="str">
            <v>N/A</v>
          </cell>
          <cell r="F357" t="str">
            <v>N/A</v>
          </cell>
          <cell r="G357">
            <v>21133</v>
          </cell>
          <cell r="H357">
            <v>21133</v>
          </cell>
          <cell r="I357" t="str">
            <v>N/A</v>
          </cell>
          <cell r="J357" t="str">
            <v>N/A</v>
          </cell>
          <cell r="K357">
            <v>8580</v>
          </cell>
          <cell r="L357">
            <v>0</v>
          </cell>
          <cell r="M357">
            <v>75</v>
          </cell>
          <cell r="N357">
            <v>0</v>
          </cell>
          <cell r="O357">
            <v>0</v>
          </cell>
          <cell r="P357">
            <v>0</v>
          </cell>
          <cell r="Q357">
            <v>0</v>
          </cell>
          <cell r="R357">
            <v>0</v>
          </cell>
          <cell r="S357">
            <v>21133</v>
          </cell>
          <cell r="T357">
            <v>-21.13</v>
          </cell>
          <cell r="U357">
            <v>0</v>
          </cell>
          <cell r="V357">
            <v>35</v>
          </cell>
          <cell r="W357">
            <v>1.75</v>
          </cell>
          <cell r="X357">
            <v>0</v>
          </cell>
          <cell r="Y357">
            <v>0</v>
          </cell>
          <cell r="Z357">
            <v>0</v>
          </cell>
          <cell r="AA357">
            <v>8670.6200000000008</v>
          </cell>
        </row>
        <row r="358">
          <cell r="A358" t="str">
            <v>GAF Materials Corporation</v>
          </cell>
          <cell r="B358">
            <v>37316</v>
          </cell>
          <cell r="C358">
            <v>22243</v>
          </cell>
          <cell r="D358">
            <v>22243</v>
          </cell>
          <cell r="E358" t="str">
            <v>N/A</v>
          </cell>
          <cell r="F358" t="str">
            <v>N/A</v>
          </cell>
          <cell r="G358">
            <v>22600</v>
          </cell>
          <cell r="H358">
            <v>22600</v>
          </cell>
          <cell r="I358" t="str">
            <v>N/A</v>
          </cell>
          <cell r="J358" t="str">
            <v>N/A</v>
          </cell>
          <cell r="K358">
            <v>9175.6</v>
          </cell>
          <cell r="L358">
            <v>0</v>
          </cell>
          <cell r="M358">
            <v>75</v>
          </cell>
          <cell r="N358">
            <v>0</v>
          </cell>
          <cell r="O358">
            <v>0</v>
          </cell>
          <cell r="P358">
            <v>0</v>
          </cell>
          <cell r="Q358">
            <v>0</v>
          </cell>
          <cell r="R358">
            <v>0</v>
          </cell>
          <cell r="S358">
            <v>22600</v>
          </cell>
          <cell r="T358">
            <v>-22.6</v>
          </cell>
          <cell r="U358">
            <v>0</v>
          </cell>
          <cell r="V358">
            <v>35</v>
          </cell>
          <cell r="W358">
            <v>1.75</v>
          </cell>
          <cell r="X358">
            <v>0</v>
          </cell>
          <cell r="Y358">
            <v>0</v>
          </cell>
          <cell r="Z358">
            <v>0</v>
          </cell>
          <cell r="AA358">
            <v>9264.75</v>
          </cell>
        </row>
        <row r="359">
          <cell r="A359" t="str">
            <v>GAF Materials Corporation</v>
          </cell>
          <cell r="B359">
            <v>37347</v>
          </cell>
          <cell r="C359">
            <v>20224</v>
          </cell>
          <cell r="D359">
            <v>20224</v>
          </cell>
          <cell r="E359" t="str">
            <v>N/A</v>
          </cell>
          <cell r="F359" t="str">
            <v>N/A</v>
          </cell>
          <cell r="G359">
            <v>20653</v>
          </cell>
          <cell r="H359">
            <v>20653</v>
          </cell>
          <cell r="I359" t="str">
            <v>N/A</v>
          </cell>
          <cell r="J359" t="str">
            <v>N/A</v>
          </cell>
          <cell r="K359">
            <v>8385.1200000000008</v>
          </cell>
          <cell r="L359">
            <v>0</v>
          </cell>
          <cell r="M359">
            <v>75</v>
          </cell>
          <cell r="N359">
            <v>0</v>
          </cell>
          <cell r="O359">
            <v>0</v>
          </cell>
          <cell r="P359">
            <v>0</v>
          </cell>
          <cell r="Q359">
            <v>0</v>
          </cell>
          <cell r="R359">
            <v>0</v>
          </cell>
          <cell r="S359">
            <v>20653</v>
          </cell>
          <cell r="T359">
            <v>-20.65</v>
          </cell>
          <cell r="U359">
            <v>0</v>
          </cell>
          <cell r="V359">
            <v>35</v>
          </cell>
          <cell r="W359">
            <v>1.75</v>
          </cell>
          <cell r="X359">
            <v>0</v>
          </cell>
          <cell r="Y359">
            <v>0</v>
          </cell>
          <cell r="Z359">
            <v>0</v>
          </cell>
          <cell r="AA359">
            <v>8476.2199999999993</v>
          </cell>
        </row>
        <row r="360">
          <cell r="A360" t="str">
            <v>GAF Materials Corporation</v>
          </cell>
          <cell r="B360">
            <v>37377</v>
          </cell>
          <cell r="C360">
            <v>20560</v>
          </cell>
          <cell r="D360">
            <v>20560</v>
          </cell>
          <cell r="E360" t="str">
            <v>N/A</v>
          </cell>
          <cell r="F360" t="str">
            <v>N/A</v>
          </cell>
          <cell r="G360">
            <v>20894</v>
          </cell>
          <cell r="H360">
            <v>20894</v>
          </cell>
          <cell r="I360" t="str">
            <v>N/A</v>
          </cell>
          <cell r="J360" t="str">
            <v>N/A</v>
          </cell>
          <cell r="K360">
            <v>8482.9599999999991</v>
          </cell>
          <cell r="L360">
            <v>0</v>
          </cell>
          <cell r="M360">
            <v>75</v>
          </cell>
          <cell r="N360">
            <v>0</v>
          </cell>
          <cell r="O360">
            <v>0</v>
          </cell>
          <cell r="P360">
            <v>0</v>
          </cell>
          <cell r="Q360">
            <v>0</v>
          </cell>
          <cell r="R360">
            <v>0</v>
          </cell>
          <cell r="S360">
            <v>0</v>
          </cell>
          <cell r="T360">
            <v>0</v>
          </cell>
          <cell r="U360">
            <v>0</v>
          </cell>
          <cell r="V360">
            <v>35</v>
          </cell>
          <cell r="W360">
            <v>1.75</v>
          </cell>
          <cell r="X360">
            <v>0</v>
          </cell>
          <cell r="Y360">
            <v>0</v>
          </cell>
          <cell r="Z360">
            <v>0</v>
          </cell>
          <cell r="AA360">
            <v>8594.7099999999991</v>
          </cell>
        </row>
        <row r="361">
          <cell r="A361" t="str">
            <v>GAF Materials Corporation</v>
          </cell>
          <cell r="B361">
            <v>37408</v>
          </cell>
          <cell r="C361">
            <v>8195</v>
          </cell>
          <cell r="D361">
            <v>8195</v>
          </cell>
          <cell r="E361" t="str">
            <v>N/A</v>
          </cell>
          <cell r="F361" t="str">
            <v>N/A</v>
          </cell>
          <cell r="G361">
            <v>8400</v>
          </cell>
          <cell r="H361">
            <v>8400</v>
          </cell>
          <cell r="I361" t="str">
            <v>N/A</v>
          </cell>
          <cell r="J361" t="str">
            <v>N/A</v>
          </cell>
          <cell r="K361">
            <v>3410.4</v>
          </cell>
          <cell r="L361">
            <v>0</v>
          </cell>
          <cell r="M361">
            <v>75</v>
          </cell>
          <cell r="N361">
            <v>0</v>
          </cell>
          <cell r="O361">
            <v>0</v>
          </cell>
          <cell r="P361">
            <v>0</v>
          </cell>
          <cell r="Q361">
            <v>0</v>
          </cell>
          <cell r="R361">
            <v>0</v>
          </cell>
          <cell r="S361">
            <v>0</v>
          </cell>
          <cell r="T361">
            <v>0</v>
          </cell>
          <cell r="U361">
            <v>0</v>
          </cell>
          <cell r="V361">
            <v>35</v>
          </cell>
          <cell r="W361">
            <v>1.75</v>
          </cell>
          <cell r="X361">
            <v>0</v>
          </cell>
          <cell r="Y361">
            <v>0</v>
          </cell>
          <cell r="Z361">
            <v>0</v>
          </cell>
          <cell r="AA361">
            <v>3522.15</v>
          </cell>
        </row>
        <row r="362">
          <cell r="A362" t="str">
            <v>GAF Materials Corporation</v>
          </cell>
          <cell r="B362">
            <v>37438</v>
          </cell>
          <cell r="C362">
            <v>15099</v>
          </cell>
          <cell r="D362">
            <v>15099</v>
          </cell>
          <cell r="E362" t="str">
            <v>N/A</v>
          </cell>
          <cell r="F362" t="str">
            <v>N/A</v>
          </cell>
          <cell r="G362">
            <v>15330</v>
          </cell>
          <cell r="H362">
            <v>15330</v>
          </cell>
          <cell r="I362" t="str">
            <v>N/A</v>
          </cell>
          <cell r="J362" t="str">
            <v>N/A</v>
          </cell>
          <cell r="K362">
            <v>6223.98</v>
          </cell>
          <cell r="L362">
            <v>0</v>
          </cell>
          <cell r="M362">
            <v>75</v>
          </cell>
          <cell r="N362">
            <v>0</v>
          </cell>
          <cell r="O362">
            <v>0</v>
          </cell>
          <cell r="P362">
            <v>0</v>
          </cell>
          <cell r="Q362">
            <v>0</v>
          </cell>
          <cell r="R362">
            <v>0</v>
          </cell>
          <cell r="S362">
            <v>0</v>
          </cell>
          <cell r="T362">
            <v>0</v>
          </cell>
          <cell r="U362">
            <v>0</v>
          </cell>
          <cell r="V362">
            <v>35</v>
          </cell>
          <cell r="W362">
            <v>1.75</v>
          </cell>
          <cell r="X362">
            <v>0</v>
          </cell>
          <cell r="Y362">
            <v>0</v>
          </cell>
          <cell r="Z362">
            <v>0</v>
          </cell>
          <cell r="AA362">
            <v>6335.73</v>
          </cell>
        </row>
        <row r="363">
          <cell r="A363" t="str">
            <v>Good Samaritan Hospital</v>
          </cell>
          <cell r="B363">
            <v>37104</v>
          </cell>
          <cell r="C363">
            <v>7181</v>
          </cell>
          <cell r="D363">
            <v>7181</v>
          </cell>
          <cell r="E363" t="str">
            <v>N/A</v>
          </cell>
          <cell r="F363" t="str">
            <v>N/A</v>
          </cell>
          <cell r="G363">
            <v>5834</v>
          </cell>
          <cell r="H363">
            <v>5834</v>
          </cell>
          <cell r="I363" t="str">
            <v>N/A</v>
          </cell>
          <cell r="J363" t="str">
            <v>N/A</v>
          </cell>
          <cell r="K363">
            <v>2368.6</v>
          </cell>
          <cell r="L363">
            <v>0</v>
          </cell>
          <cell r="M363">
            <v>75</v>
          </cell>
          <cell r="N363">
            <v>0</v>
          </cell>
          <cell r="O363">
            <v>0</v>
          </cell>
          <cell r="P363">
            <v>0</v>
          </cell>
          <cell r="Q363">
            <v>0</v>
          </cell>
          <cell r="R363">
            <v>-151.68</v>
          </cell>
          <cell r="S363">
            <v>5834</v>
          </cell>
          <cell r="T363">
            <v>17.5</v>
          </cell>
          <cell r="U363">
            <v>0</v>
          </cell>
          <cell r="V363">
            <v>35</v>
          </cell>
          <cell r="W363">
            <v>0</v>
          </cell>
          <cell r="X363">
            <v>0</v>
          </cell>
          <cell r="Y363">
            <v>0</v>
          </cell>
          <cell r="Z363">
            <v>0</v>
          </cell>
          <cell r="AA363">
            <v>2344.42</v>
          </cell>
        </row>
        <row r="364">
          <cell r="A364" t="str">
            <v>Good Samaritan Hospital</v>
          </cell>
          <cell r="B364">
            <v>37135</v>
          </cell>
          <cell r="C364">
            <v>7597</v>
          </cell>
          <cell r="D364">
            <v>7597</v>
          </cell>
          <cell r="E364" t="str">
            <v>N/A</v>
          </cell>
          <cell r="F364" t="str">
            <v>N/A</v>
          </cell>
          <cell r="G364">
            <v>6342</v>
          </cell>
          <cell r="H364">
            <v>6342</v>
          </cell>
          <cell r="I364" t="str">
            <v>N/A</v>
          </cell>
          <cell r="J364" t="str">
            <v>N/A</v>
          </cell>
          <cell r="K364">
            <v>2574.85</v>
          </cell>
          <cell r="L364">
            <v>0</v>
          </cell>
          <cell r="M364">
            <v>75</v>
          </cell>
          <cell r="N364">
            <v>0</v>
          </cell>
          <cell r="O364">
            <v>0</v>
          </cell>
          <cell r="P364">
            <v>0</v>
          </cell>
          <cell r="Q364">
            <v>0</v>
          </cell>
          <cell r="R364">
            <v>-164.89</v>
          </cell>
          <cell r="S364">
            <v>6342</v>
          </cell>
          <cell r="T364">
            <v>19.03</v>
          </cell>
          <cell r="U364">
            <v>0</v>
          </cell>
          <cell r="V364">
            <v>35</v>
          </cell>
          <cell r="W364">
            <v>0</v>
          </cell>
          <cell r="X364">
            <v>0</v>
          </cell>
          <cell r="Y364">
            <v>0</v>
          </cell>
          <cell r="Z364">
            <v>0</v>
          </cell>
          <cell r="AA364">
            <v>2538.9899999999998</v>
          </cell>
        </row>
        <row r="365">
          <cell r="A365" t="str">
            <v>Good Samaritan Hospital</v>
          </cell>
          <cell r="B365">
            <v>37165</v>
          </cell>
          <cell r="C365">
            <v>8537</v>
          </cell>
          <cell r="D365">
            <v>8537</v>
          </cell>
          <cell r="E365" t="str">
            <v>N/A</v>
          </cell>
          <cell r="F365" t="str">
            <v>N/A</v>
          </cell>
          <cell r="G365">
            <v>7429</v>
          </cell>
          <cell r="H365">
            <v>7429</v>
          </cell>
          <cell r="I365" t="str">
            <v>N/A</v>
          </cell>
          <cell r="J365" t="str">
            <v>N/A</v>
          </cell>
          <cell r="K365">
            <v>3016.17</v>
          </cell>
          <cell r="L365">
            <v>0</v>
          </cell>
          <cell r="M365">
            <v>75</v>
          </cell>
          <cell r="N365">
            <v>0</v>
          </cell>
          <cell r="O365">
            <v>0</v>
          </cell>
          <cell r="P365">
            <v>0</v>
          </cell>
          <cell r="Q365">
            <v>0</v>
          </cell>
          <cell r="R365">
            <v>-193.15</v>
          </cell>
          <cell r="S365">
            <v>7429</v>
          </cell>
          <cell r="T365">
            <v>22.29</v>
          </cell>
          <cell r="U365">
            <v>0</v>
          </cell>
          <cell r="V365">
            <v>35</v>
          </cell>
          <cell r="W365">
            <v>0</v>
          </cell>
          <cell r="X365">
            <v>0</v>
          </cell>
          <cell r="Y365">
            <v>0</v>
          </cell>
          <cell r="Z365">
            <v>0</v>
          </cell>
          <cell r="AA365">
            <v>2955.31</v>
          </cell>
        </row>
        <row r="366">
          <cell r="A366" t="str">
            <v>Good Samaritan Hospital</v>
          </cell>
          <cell r="B366">
            <v>37196</v>
          </cell>
          <cell r="C366">
            <v>8974</v>
          </cell>
          <cell r="D366">
            <v>8974</v>
          </cell>
          <cell r="E366" t="str">
            <v>N/A</v>
          </cell>
          <cell r="F366" t="str">
            <v>N/A</v>
          </cell>
          <cell r="G366">
            <v>9110</v>
          </cell>
          <cell r="H366">
            <v>9110</v>
          </cell>
          <cell r="I366" t="str">
            <v>N/A</v>
          </cell>
          <cell r="J366" t="str">
            <v>N/A</v>
          </cell>
          <cell r="K366">
            <v>3698.66</v>
          </cell>
          <cell r="L366">
            <v>0</v>
          </cell>
          <cell r="M366">
            <v>75</v>
          </cell>
          <cell r="N366">
            <v>0</v>
          </cell>
          <cell r="O366">
            <v>0</v>
          </cell>
          <cell r="P366">
            <v>0</v>
          </cell>
          <cell r="Q366">
            <v>0</v>
          </cell>
          <cell r="R366">
            <v>-236.86</v>
          </cell>
          <cell r="S366">
            <v>9110</v>
          </cell>
          <cell r="T366">
            <v>27.33</v>
          </cell>
          <cell r="U366">
            <v>0</v>
          </cell>
          <cell r="V366">
            <v>35</v>
          </cell>
          <cell r="W366">
            <v>0</v>
          </cell>
          <cell r="X366">
            <v>0</v>
          </cell>
          <cell r="Y366">
            <v>0</v>
          </cell>
          <cell r="Z366">
            <v>0</v>
          </cell>
          <cell r="AA366">
            <v>3599.13</v>
          </cell>
        </row>
        <row r="367">
          <cell r="A367" t="str">
            <v>Good Samaritan Hospital</v>
          </cell>
          <cell r="B367">
            <v>37226</v>
          </cell>
          <cell r="C367">
            <v>11610</v>
          </cell>
          <cell r="D367">
            <v>11610</v>
          </cell>
          <cell r="E367" t="str">
            <v>N/A</v>
          </cell>
          <cell r="F367" t="str">
            <v>N/A</v>
          </cell>
          <cell r="G367">
            <v>13000</v>
          </cell>
          <cell r="H367">
            <v>13000</v>
          </cell>
          <cell r="I367" t="str">
            <v>N/A</v>
          </cell>
          <cell r="J367" t="str">
            <v>N/A</v>
          </cell>
          <cell r="K367">
            <v>5278</v>
          </cell>
          <cell r="L367">
            <v>0</v>
          </cell>
          <cell r="M367">
            <v>75</v>
          </cell>
          <cell r="N367">
            <v>0</v>
          </cell>
          <cell r="O367">
            <v>0</v>
          </cell>
          <cell r="P367">
            <v>0</v>
          </cell>
          <cell r="Q367">
            <v>0</v>
          </cell>
          <cell r="R367">
            <v>-338</v>
          </cell>
          <cell r="S367">
            <v>13000</v>
          </cell>
          <cell r="T367">
            <v>39</v>
          </cell>
          <cell r="U367">
            <v>0</v>
          </cell>
          <cell r="V367">
            <v>35</v>
          </cell>
          <cell r="W367">
            <v>0</v>
          </cell>
          <cell r="X367">
            <v>0</v>
          </cell>
          <cell r="Y367">
            <v>0</v>
          </cell>
          <cell r="Z367">
            <v>0</v>
          </cell>
          <cell r="AA367">
            <v>5089</v>
          </cell>
        </row>
        <row r="368">
          <cell r="A368" t="str">
            <v>Good Samaritan Hospital</v>
          </cell>
          <cell r="B368">
            <v>37257</v>
          </cell>
          <cell r="C368">
            <v>11984</v>
          </cell>
          <cell r="D368">
            <v>11984</v>
          </cell>
          <cell r="E368" t="str">
            <v>N/A</v>
          </cell>
          <cell r="F368" t="str">
            <v>N/A</v>
          </cell>
          <cell r="G368">
            <v>11608</v>
          </cell>
          <cell r="H368">
            <v>11608</v>
          </cell>
          <cell r="I368" t="str">
            <v>N/A</v>
          </cell>
          <cell r="J368" t="str">
            <v>N/A</v>
          </cell>
          <cell r="K368">
            <v>4712.8500000000004</v>
          </cell>
          <cell r="L368">
            <v>0</v>
          </cell>
          <cell r="M368">
            <v>75</v>
          </cell>
          <cell r="N368">
            <v>0</v>
          </cell>
          <cell r="O368">
            <v>0</v>
          </cell>
          <cell r="P368">
            <v>0</v>
          </cell>
          <cell r="Q368">
            <v>0</v>
          </cell>
          <cell r="R368">
            <v>-301.81</v>
          </cell>
          <cell r="S368">
            <v>11608</v>
          </cell>
          <cell r="T368">
            <v>34.82</v>
          </cell>
          <cell r="U368">
            <v>0</v>
          </cell>
          <cell r="V368">
            <v>35</v>
          </cell>
          <cell r="W368">
            <v>0</v>
          </cell>
          <cell r="X368">
            <v>0</v>
          </cell>
          <cell r="Y368">
            <v>0</v>
          </cell>
          <cell r="Z368">
            <v>0</v>
          </cell>
          <cell r="AA368">
            <v>4555.8599999999997</v>
          </cell>
        </row>
        <row r="369">
          <cell r="A369" t="str">
            <v>Good Samaritan Hospital</v>
          </cell>
          <cell r="B369">
            <v>37288</v>
          </cell>
          <cell r="C369">
            <v>10589</v>
          </cell>
          <cell r="D369">
            <v>10589</v>
          </cell>
          <cell r="E369" t="str">
            <v>N/A</v>
          </cell>
          <cell r="F369" t="str">
            <v>N/A</v>
          </cell>
          <cell r="G369">
            <v>8721</v>
          </cell>
          <cell r="H369">
            <v>8721</v>
          </cell>
          <cell r="I369" t="str">
            <v>N/A</v>
          </cell>
          <cell r="J369" t="str">
            <v>N/A</v>
          </cell>
          <cell r="K369">
            <v>3540.73</v>
          </cell>
          <cell r="L369">
            <v>0</v>
          </cell>
          <cell r="M369">
            <v>75</v>
          </cell>
          <cell r="N369">
            <v>0</v>
          </cell>
          <cell r="O369">
            <v>0</v>
          </cell>
          <cell r="P369">
            <v>0</v>
          </cell>
          <cell r="Q369">
            <v>0</v>
          </cell>
          <cell r="R369">
            <v>34.880000000000003</v>
          </cell>
          <cell r="S369">
            <v>8721</v>
          </cell>
          <cell r="T369">
            <v>-8.7200000000000006</v>
          </cell>
          <cell r="U369">
            <v>0</v>
          </cell>
          <cell r="V369">
            <v>35</v>
          </cell>
          <cell r="W369">
            <v>0</v>
          </cell>
          <cell r="X369">
            <v>0</v>
          </cell>
          <cell r="Y369">
            <v>0</v>
          </cell>
          <cell r="Z369">
            <v>0</v>
          </cell>
          <cell r="AA369">
            <v>3676.89</v>
          </cell>
        </row>
        <row r="370">
          <cell r="A370" t="str">
            <v>Good Samaritan Hospital</v>
          </cell>
          <cell r="B370">
            <v>37316</v>
          </cell>
          <cell r="C370">
            <v>11371</v>
          </cell>
          <cell r="D370">
            <v>11371</v>
          </cell>
          <cell r="E370" t="str">
            <v>N/A</v>
          </cell>
          <cell r="F370" t="str">
            <v>N/A</v>
          </cell>
          <cell r="G370">
            <v>7750</v>
          </cell>
          <cell r="H370">
            <v>7750</v>
          </cell>
          <cell r="I370" t="str">
            <v>N/A</v>
          </cell>
          <cell r="J370" t="str">
            <v>N/A</v>
          </cell>
          <cell r="K370">
            <v>3146.5</v>
          </cell>
          <cell r="L370">
            <v>0</v>
          </cell>
          <cell r="M370">
            <v>75</v>
          </cell>
          <cell r="N370">
            <v>0</v>
          </cell>
          <cell r="O370">
            <v>0</v>
          </cell>
          <cell r="P370">
            <v>0</v>
          </cell>
          <cell r="Q370">
            <v>0</v>
          </cell>
          <cell r="R370">
            <v>31</v>
          </cell>
          <cell r="S370">
            <v>7750</v>
          </cell>
          <cell r="T370">
            <v>-7.75</v>
          </cell>
          <cell r="U370">
            <v>0</v>
          </cell>
          <cell r="V370">
            <v>35</v>
          </cell>
          <cell r="W370">
            <v>0</v>
          </cell>
          <cell r="X370">
            <v>0</v>
          </cell>
          <cell r="Y370">
            <v>0</v>
          </cell>
          <cell r="Z370">
            <v>0</v>
          </cell>
          <cell r="AA370">
            <v>3279.75</v>
          </cell>
        </row>
        <row r="371">
          <cell r="A371" t="str">
            <v>Good Samaritan Hospital</v>
          </cell>
          <cell r="B371">
            <v>37347</v>
          </cell>
          <cell r="C371">
            <v>8431</v>
          </cell>
          <cell r="D371">
            <v>8431</v>
          </cell>
          <cell r="E371" t="str">
            <v>N/A</v>
          </cell>
          <cell r="F371" t="str">
            <v>N/A</v>
          </cell>
          <cell r="G371">
            <v>7257</v>
          </cell>
          <cell r="H371">
            <v>7257</v>
          </cell>
          <cell r="I371" t="str">
            <v>N/A</v>
          </cell>
          <cell r="J371" t="str">
            <v>N/A</v>
          </cell>
          <cell r="K371">
            <v>2946.34</v>
          </cell>
          <cell r="L371">
            <v>0</v>
          </cell>
          <cell r="M371">
            <v>75</v>
          </cell>
          <cell r="N371">
            <v>0</v>
          </cell>
          <cell r="O371">
            <v>0</v>
          </cell>
          <cell r="P371">
            <v>0</v>
          </cell>
          <cell r="Q371">
            <v>0</v>
          </cell>
          <cell r="R371">
            <v>29.03</v>
          </cell>
          <cell r="S371">
            <v>7257</v>
          </cell>
          <cell r="T371">
            <v>-7.26</v>
          </cell>
          <cell r="U371">
            <v>0</v>
          </cell>
          <cell r="V371">
            <v>35</v>
          </cell>
          <cell r="W371">
            <v>0</v>
          </cell>
          <cell r="X371">
            <v>0</v>
          </cell>
          <cell r="Y371">
            <v>0</v>
          </cell>
          <cell r="Z371">
            <v>0</v>
          </cell>
          <cell r="AA371">
            <v>3078.11</v>
          </cell>
        </row>
        <row r="372">
          <cell r="A372" t="str">
            <v>Good Samaritan Hospital</v>
          </cell>
          <cell r="B372">
            <v>37377</v>
          </cell>
          <cell r="C372">
            <v>7679</v>
          </cell>
          <cell r="D372">
            <v>7679</v>
          </cell>
          <cell r="E372" t="str">
            <v>N/A</v>
          </cell>
          <cell r="F372" t="str">
            <v>N/A</v>
          </cell>
          <cell r="G372">
            <v>7634</v>
          </cell>
          <cell r="H372">
            <v>7634</v>
          </cell>
          <cell r="I372" t="str">
            <v>N/A</v>
          </cell>
          <cell r="J372" t="str">
            <v>N/A</v>
          </cell>
          <cell r="K372">
            <v>3099.4</v>
          </cell>
          <cell r="L372">
            <v>0</v>
          </cell>
          <cell r="M372">
            <v>75</v>
          </cell>
          <cell r="N372">
            <v>0</v>
          </cell>
          <cell r="O372">
            <v>0</v>
          </cell>
          <cell r="P372">
            <v>0</v>
          </cell>
          <cell r="Q372">
            <v>0</v>
          </cell>
          <cell r="R372">
            <v>0</v>
          </cell>
          <cell r="S372">
            <v>0</v>
          </cell>
          <cell r="T372">
            <v>0</v>
          </cell>
          <cell r="U372">
            <v>0</v>
          </cell>
          <cell r="V372">
            <v>35</v>
          </cell>
          <cell r="W372">
            <v>0</v>
          </cell>
          <cell r="X372">
            <v>0</v>
          </cell>
          <cell r="Y372">
            <v>0</v>
          </cell>
          <cell r="Z372">
            <v>0</v>
          </cell>
          <cell r="AA372">
            <v>3209.4</v>
          </cell>
        </row>
        <row r="373">
          <cell r="A373" t="str">
            <v>Good Samaritan Hospital</v>
          </cell>
          <cell r="B373">
            <v>37408</v>
          </cell>
          <cell r="C373">
            <v>6219</v>
          </cell>
          <cell r="D373">
            <v>6219</v>
          </cell>
          <cell r="E373" t="str">
            <v>N/A</v>
          </cell>
          <cell r="F373" t="str">
            <v>N/A</v>
          </cell>
          <cell r="G373">
            <v>6070</v>
          </cell>
          <cell r="H373">
            <v>6070</v>
          </cell>
          <cell r="I373" t="str">
            <v>N/A</v>
          </cell>
          <cell r="J373" t="str">
            <v>N/A</v>
          </cell>
          <cell r="K373">
            <v>2464.42</v>
          </cell>
          <cell r="L373">
            <v>0</v>
          </cell>
          <cell r="M373">
            <v>75</v>
          </cell>
          <cell r="N373">
            <v>0</v>
          </cell>
          <cell r="O373">
            <v>0</v>
          </cell>
          <cell r="P373">
            <v>0</v>
          </cell>
          <cell r="Q373">
            <v>0</v>
          </cell>
          <cell r="R373">
            <v>0</v>
          </cell>
          <cell r="S373">
            <v>0</v>
          </cell>
          <cell r="T373">
            <v>0</v>
          </cell>
          <cell r="U373">
            <v>0</v>
          </cell>
          <cell r="V373">
            <v>35</v>
          </cell>
          <cell r="W373">
            <v>0</v>
          </cell>
          <cell r="X373">
            <v>0</v>
          </cell>
          <cell r="Y373">
            <v>0</v>
          </cell>
          <cell r="Z373">
            <v>0</v>
          </cell>
          <cell r="AA373">
            <v>2574.42</v>
          </cell>
        </row>
        <row r="374">
          <cell r="A374" t="str">
            <v>Good Samaritan Hospital</v>
          </cell>
          <cell r="B374">
            <v>37438</v>
          </cell>
          <cell r="C374">
            <v>6072</v>
          </cell>
          <cell r="D374">
            <v>6072</v>
          </cell>
          <cell r="E374" t="str">
            <v>N/A</v>
          </cell>
          <cell r="F374" t="str">
            <v>N/A</v>
          </cell>
          <cell r="G374">
            <v>6265</v>
          </cell>
          <cell r="H374">
            <v>6265</v>
          </cell>
          <cell r="I374" t="str">
            <v>N/A</v>
          </cell>
          <cell r="J374" t="str">
            <v>N/A</v>
          </cell>
          <cell r="K374">
            <v>2543.59</v>
          </cell>
          <cell r="L374">
            <v>0</v>
          </cell>
          <cell r="M374">
            <v>75</v>
          </cell>
          <cell r="N374">
            <v>0</v>
          </cell>
          <cell r="O374">
            <v>0</v>
          </cell>
          <cell r="P374">
            <v>0</v>
          </cell>
          <cell r="Q374">
            <v>0</v>
          </cell>
          <cell r="R374">
            <v>0</v>
          </cell>
          <cell r="S374">
            <v>0</v>
          </cell>
          <cell r="T374">
            <v>0</v>
          </cell>
          <cell r="U374">
            <v>0</v>
          </cell>
          <cell r="V374">
            <v>35</v>
          </cell>
          <cell r="W374">
            <v>0</v>
          </cell>
          <cell r="X374">
            <v>0</v>
          </cell>
          <cell r="Y374">
            <v>0</v>
          </cell>
          <cell r="Z374">
            <v>0</v>
          </cell>
          <cell r="AA374">
            <v>2653.59</v>
          </cell>
        </row>
        <row r="375">
          <cell r="A375" t="str">
            <v>Guardian Automotive Trim (Windsor)</v>
          </cell>
          <cell r="B375">
            <v>37104</v>
          </cell>
          <cell r="C375">
            <v>8440</v>
          </cell>
          <cell r="D375">
            <v>8440</v>
          </cell>
          <cell r="E375" t="str">
            <v>N/A</v>
          </cell>
          <cell r="F375" t="str">
            <v>N/A</v>
          </cell>
          <cell r="G375">
            <v>6750</v>
          </cell>
          <cell r="H375">
            <v>6750</v>
          </cell>
          <cell r="I375" t="str">
            <v>N/A</v>
          </cell>
          <cell r="J375" t="str">
            <v>N/A</v>
          </cell>
          <cell r="K375">
            <v>2740.5</v>
          </cell>
          <cell r="L375">
            <v>0</v>
          </cell>
          <cell r="M375">
            <v>75</v>
          </cell>
          <cell r="N375">
            <v>0</v>
          </cell>
          <cell r="O375">
            <v>0</v>
          </cell>
          <cell r="P375">
            <v>0</v>
          </cell>
          <cell r="Q375">
            <v>0</v>
          </cell>
          <cell r="R375">
            <v>0</v>
          </cell>
          <cell r="S375">
            <v>6750</v>
          </cell>
          <cell r="T375">
            <v>20.25</v>
          </cell>
          <cell r="U375">
            <v>0</v>
          </cell>
          <cell r="V375">
            <v>35</v>
          </cell>
          <cell r="W375">
            <v>0</v>
          </cell>
          <cell r="X375">
            <v>0</v>
          </cell>
          <cell r="Y375">
            <v>0</v>
          </cell>
          <cell r="Z375">
            <v>0</v>
          </cell>
          <cell r="AA375">
            <v>2870.75</v>
          </cell>
        </row>
        <row r="376">
          <cell r="A376" t="str">
            <v>Guardian Automotive Trim (Windsor)</v>
          </cell>
          <cell r="B376">
            <v>37135</v>
          </cell>
          <cell r="C376">
            <v>7974</v>
          </cell>
          <cell r="D376">
            <v>7974</v>
          </cell>
          <cell r="E376" t="str">
            <v>N/A</v>
          </cell>
          <cell r="F376" t="str">
            <v>N/A</v>
          </cell>
          <cell r="G376">
            <v>7500</v>
          </cell>
          <cell r="H376">
            <v>7500</v>
          </cell>
          <cell r="I376" t="str">
            <v>N/A</v>
          </cell>
          <cell r="J376" t="str">
            <v>N/A</v>
          </cell>
          <cell r="K376">
            <v>3045</v>
          </cell>
          <cell r="L376">
            <v>0</v>
          </cell>
          <cell r="M376">
            <v>75</v>
          </cell>
          <cell r="N376">
            <v>0</v>
          </cell>
          <cell r="O376">
            <v>0</v>
          </cell>
          <cell r="P376">
            <v>0</v>
          </cell>
          <cell r="Q376">
            <v>0</v>
          </cell>
          <cell r="R376">
            <v>0</v>
          </cell>
          <cell r="S376">
            <v>7500</v>
          </cell>
          <cell r="T376">
            <v>22.5</v>
          </cell>
          <cell r="U376">
            <v>0</v>
          </cell>
          <cell r="V376">
            <v>35</v>
          </cell>
          <cell r="W376">
            <v>0</v>
          </cell>
          <cell r="X376">
            <v>0</v>
          </cell>
          <cell r="Y376">
            <v>0</v>
          </cell>
          <cell r="Z376">
            <v>0</v>
          </cell>
          <cell r="AA376">
            <v>3177.5</v>
          </cell>
        </row>
        <row r="377">
          <cell r="A377" t="str">
            <v>Guardian Automotive Trim (Windsor)</v>
          </cell>
          <cell r="B377">
            <v>37165</v>
          </cell>
          <cell r="C377">
            <v>11973</v>
          </cell>
          <cell r="D377">
            <v>11973</v>
          </cell>
          <cell r="E377" t="str">
            <v>N/A</v>
          </cell>
          <cell r="F377" t="str">
            <v>N/A</v>
          </cell>
          <cell r="G377">
            <v>11622</v>
          </cell>
          <cell r="H377">
            <v>11622</v>
          </cell>
          <cell r="I377" t="str">
            <v>N/A</v>
          </cell>
          <cell r="J377" t="str">
            <v>N/A</v>
          </cell>
          <cell r="K377">
            <v>4718.53</v>
          </cell>
          <cell r="L377">
            <v>0</v>
          </cell>
          <cell r="M377">
            <v>75</v>
          </cell>
          <cell r="N377">
            <v>0</v>
          </cell>
          <cell r="O377">
            <v>0</v>
          </cell>
          <cell r="P377">
            <v>0</v>
          </cell>
          <cell r="Q377">
            <v>0</v>
          </cell>
          <cell r="R377">
            <v>0</v>
          </cell>
          <cell r="S377">
            <v>11622</v>
          </cell>
          <cell r="T377">
            <v>34.869999999999997</v>
          </cell>
          <cell r="U377">
            <v>0</v>
          </cell>
          <cell r="V377">
            <v>35</v>
          </cell>
          <cell r="W377">
            <v>0</v>
          </cell>
          <cell r="X377">
            <v>0</v>
          </cell>
          <cell r="Y377">
            <v>0</v>
          </cell>
          <cell r="Z377">
            <v>0</v>
          </cell>
          <cell r="AA377">
            <v>4863.3999999999996</v>
          </cell>
        </row>
        <row r="378">
          <cell r="A378" t="str">
            <v>Guardian Automotive Trim (Windsor)</v>
          </cell>
          <cell r="B378">
            <v>37196</v>
          </cell>
          <cell r="C378">
            <v>11786</v>
          </cell>
          <cell r="D378">
            <v>11786</v>
          </cell>
          <cell r="E378" t="str">
            <v>N/A</v>
          </cell>
          <cell r="F378" t="str">
            <v>N/A</v>
          </cell>
          <cell r="G378">
            <v>11978</v>
          </cell>
          <cell r="H378">
            <v>11978</v>
          </cell>
          <cell r="I378" t="str">
            <v>N/A</v>
          </cell>
          <cell r="J378" t="str">
            <v>N/A</v>
          </cell>
          <cell r="K378">
            <v>4863.07</v>
          </cell>
          <cell r="L378">
            <v>0</v>
          </cell>
          <cell r="M378">
            <v>75</v>
          </cell>
          <cell r="N378">
            <v>0</v>
          </cell>
          <cell r="O378">
            <v>0</v>
          </cell>
          <cell r="P378">
            <v>0</v>
          </cell>
          <cell r="Q378">
            <v>0</v>
          </cell>
          <cell r="R378">
            <v>0</v>
          </cell>
          <cell r="S378">
            <v>11978</v>
          </cell>
          <cell r="T378">
            <v>35.93</v>
          </cell>
          <cell r="U378">
            <v>0</v>
          </cell>
          <cell r="V378">
            <v>35</v>
          </cell>
          <cell r="W378">
            <v>0</v>
          </cell>
          <cell r="X378">
            <v>0</v>
          </cell>
          <cell r="Y378">
            <v>0</v>
          </cell>
          <cell r="Z378">
            <v>0</v>
          </cell>
          <cell r="AA378">
            <v>5009</v>
          </cell>
        </row>
        <row r="379">
          <cell r="A379" t="str">
            <v>Guardian Automotive Trim (Windsor)</v>
          </cell>
          <cell r="B379">
            <v>37226</v>
          </cell>
          <cell r="C379">
            <v>17340</v>
          </cell>
          <cell r="D379">
            <v>17340</v>
          </cell>
          <cell r="E379" t="str">
            <v>N/A</v>
          </cell>
          <cell r="F379" t="str">
            <v>N/A</v>
          </cell>
          <cell r="G379">
            <v>18750</v>
          </cell>
          <cell r="H379">
            <v>18750</v>
          </cell>
          <cell r="I379" t="str">
            <v>N/A</v>
          </cell>
          <cell r="J379" t="str">
            <v>N/A</v>
          </cell>
          <cell r="K379">
            <v>7612.5</v>
          </cell>
          <cell r="L379">
            <v>0</v>
          </cell>
          <cell r="M379">
            <v>75</v>
          </cell>
          <cell r="N379">
            <v>0</v>
          </cell>
          <cell r="O379">
            <v>0</v>
          </cell>
          <cell r="P379">
            <v>0</v>
          </cell>
          <cell r="Q379">
            <v>0</v>
          </cell>
          <cell r="R379">
            <v>0</v>
          </cell>
          <cell r="S379">
            <v>18750</v>
          </cell>
          <cell r="T379">
            <v>56.25</v>
          </cell>
          <cell r="U379">
            <v>0</v>
          </cell>
          <cell r="V379">
            <v>35</v>
          </cell>
          <cell r="W379">
            <v>0</v>
          </cell>
          <cell r="X379">
            <v>0</v>
          </cell>
          <cell r="Y379">
            <v>0</v>
          </cell>
          <cell r="Z379">
            <v>0</v>
          </cell>
          <cell r="AA379">
            <v>7778.75</v>
          </cell>
        </row>
        <row r="380">
          <cell r="A380" t="str">
            <v>Guardian Automotive Trim (Windsor)</v>
          </cell>
          <cell r="B380">
            <v>37257</v>
          </cell>
          <cell r="C380">
            <v>20522</v>
          </cell>
          <cell r="D380">
            <v>20522</v>
          </cell>
          <cell r="E380" t="str">
            <v>N/A</v>
          </cell>
          <cell r="F380" t="str">
            <v>N/A</v>
          </cell>
          <cell r="G380">
            <v>20000</v>
          </cell>
          <cell r="H380">
            <v>20000</v>
          </cell>
          <cell r="I380" t="str">
            <v>N/A</v>
          </cell>
          <cell r="J380" t="str">
            <v>N/A</v>
          </cell>
          <cell r="K380">
            <v>8120</v>
          </cell>
          <cell r="L380">
            <v>0</v>
          </cell>
          <cell r="M380">
            <v>75</v>
          </cell>
          <cell r="N380">
            <v>0</v>
          </cell>
          <cell r="O380">
            <v>0</v>
          </cell>
          <cell r="P380">
            <v>0</v>
          </cell>
          <cell r="Q380">
            <v>0</v>
          </cell>
          <cell r="R380">
            <v>0</v>
          </cell>
          <cell r="S380">
            <v>20000</v>
          </cell>
          <cell r="T380">
            <v>60</v>
          </cell>
          <cell r="U380">
            <v>0</v>
          </cell>
          <cell r="V380">
            <v>35</v>
          </cell>
          <cell r="W380">
            <v>0</v>
          </cell>
          <cell r="X380">
            <v>0</v>
          </cell>
          <cell r="Y380">
            <v>0</v>
          </cell>
          <cell r="Z380">
            <v>0</v>
          </cell>
          <cell r="AA380">
            <v>8290</v>
          </cell>
        </row>
        <row r="381">
          <cell r="A381" t="str">
            <v>Guardian Automotive Trim (Windsor)</v>
          </cell>
          <cell r="B381">
            <v>37288</v>
          </cell>
          <cell r="C381">
            <v>17361</v>
          </cell>
          <cell r="D381">
            <v>17361</v>
          </cell>
          <cell r="E381" t="str">
            <v>N/A</v>
          </cell>
          <cell r="F381" t="str">
            <v>N/A</v>
          </cell>
          <cell r="G381">
            <v>17364</v>
          </cell>
          <cell r="H381">
            <v>17364</v>
          </cell>
          <cell r="I381" t="str">
            <v>N/A</v>
          </cell>
          <cell r="J381" t="str">
            <v>N/A</v>
          </cell>
          <cell r="K381">
            <v>7049.78</v>
          </cell>
          <cell r="L381">
            <v>0</v>
          </cell>
          <cell r="M381">
            <v>75</v>
          </cell>
          <cell r="N381">
            <v>0</v>
          </cell>
          <cell r="O381">
            <v>0</v>
          </cell>
          <cell r="P381">
            <v>0</v>
          </cell>
          <cell r="Q381">
            <v>0</v>
          </cell>
          <cell r="R381">
            <v>0</v>
          </cell>
          <cell r="S381">
            <v>17364</v>
          </cell>
          <cell r="T381">
            <v>-17.36</v>
          </cell>
          <cell r="U381">
            <v>0</v>
          </cell>
          <cell r="V381">
            <v>35</v>
          </cell>
          <cell r="W381">
            <v>0</v>
          </cell>
          <cell r="X381">
            <v>0</v>
          </cell>
          <cell r="Y381">
            <v>0</v>
          </cell>
          <cell r="Z381">
            <v>0</v>
          </cell>
          <cell r="AA381">
            <v>7142.42</v>
          </cell>
        </row>
        <row r="382">
          <cell r="A382" t="str">
            <v>Guardian Automotive Trim (Windsor)</v>
          </cell>
          <cell r="B382">
            <v>37316</v>
          </cell>
          <cell r="C382">
            <v>16411</v>
          </cell>
          <cell r="D382">
            <v>16411</v>
          </cell>
          <cell r="E382" t="str">
            <v>N/A</v>
          </cell>
          <cell r="F382" t="str">
            <v>N/A</v>
          </cell>
          <cell r="G382">
            <v>16669</v>
          </cell>
          <cell r="H382">
            <v>16669</v>
          </cell>
          <cell r="I382" t="str">
            <v>N/A</v>
          </cell>
          <cell r="J382" t="str">
            <v>N/A</v>
          </cell>
          <cell r="K382">
            <v>6767.61</v>
          </cell>
          <cell r="L382">
            <v>0</v>
          </cell>
          <cell r="M382">
            <v>75</v>
          </cell>
          <cell r="N382">
            <v>0</v>
          </cell>
          <cell r="O382">
            <v>0</v>
          </cell>
          <cell r="P382">
            <v>0</v>
          </cell>
          <cell r="Q382">
            <v>0</v>
          </cell>
          <cell r="R382">
            <v>0</v>
          </cell>
          <cell r="S382">
            <v>16669</v>
          </cell>
          <cell r="T382">
            <v>-16.670000000000002</v>
          </cell>
          <cell r="U382">
            <v>0</v>
          </cell>
          <cell r="V382">
            <v>35</v>
          </cell>
          <cell r="W382">
            <v>0</v>
          </cell>
          <cell r="X382">
            <v>0</v>
          </cell>
          <cell r="Y382">
            <v>0</v>
          </cell>
          <cell r="Z382">
            <v>0</v>
          </cell>
          <cell r="AA382">
            <v>6860.94</v>
          </cell>
        </row>
        <row r="383">
          <cell r="A383" t="str">
            <v>Guardian Automotive Trim (Windsor)</v>
          </cell>
          <cell r="B383">
            <v>37347</v>
          </cell>
          <cell r="C383">
            <v>10452</v>
          </cell>
          <cell r="D383">
            <v>10452</v>
          </cell>
          <cell r="E383" t="str">
            <v>N/A</v>
          </cell>
          <cell r="F383" t="str">
            <v>N/A</v>
          </cell>
          <cell r="G383">
            <v>10667</v>
          </cell>
          <cell r="H383">
            <v>10667</v>
          </cell>
          <cell r="I383" t="str">
            <v>N/A</v>
          </cell>
          <cell r="J383" t="str">
            <v>N/A</v>
          </cell>
          <cell r="K383">
            <v>4330.8</v>
          </cell>
          <cell r="L383">
            <v>0</v>
          </cell>
          <cell r="M383">
            <v>75</v>
          </cell>
          <cell r="N383">
            <v>0</v>
          </cell>
          <cell r="O383">
            <v>0</v>
          </cell>
          <cell r="P383">
            <v>0</v>
          </cell>
          <cell r="Q383">
            <v>0</v>
          </cell>
          <cell r="R383">
            <v>0</v>
          </cell>
          <cell r="S383">
            <v>10667</v>
          </cell>
          <cell r="T383">
            <v>-10.67</v>
          </cell>
          <cell r="U383">
            <v>0</v>
          </cell>
          <cell r="V383">
            <v>35</v>
          </cell>
          <cell r="W383">
            <v>0</v>
          </cell>
          <cell r="X383">
            <v>0</v>
          </cell>
          <cell r="Y383">
            <v>0</v>
          </cell>
          <cell r="Z383">
            <v>0</v>
          </cell>
          <cell r="AA383">
            <v>4430.13</v>
          </cell>
        </row>
        <row r="384">
          <cell r="A384" t="str">
            <v>Guardian Automotive Trim (Windsor)</v>
          </cell>
          <cell r="B384">
            <v>37377</v>
          </cell>
          <cell r="C384">
            <v>8657</v>
          </cell>
          <cell r="D384">
            <v>8657</v>
          </cell>
          <cell r="E384" t="str">
            <v>N/A</v>
          </cell>
          <cell r="F384" t="str">
            <v>N/A</v>
          </cell>
          <cell r="G384">
            <v>9750</v>
          </cell>
          <cell r="H384">
            <v>9750</v>
          </cell>
          <cell r="I384" t="str">
            <v>N/A</v>
          </cell>
          <cell r="J384" t="str">
            <v>N/A</v>
          </cell>
          <cell r="K384">
            <v>3958.5</v>
          </cell>
          <cell r="L384">
            <v>0</v>
          </cell>
          <cell r="M384">
            <v>75</v>
          </cell>
          <cell r="N384">
            <v>0</v>
          </cell>
          <cell r="O384">
            <v>0</v>
          </cell>
          <cell r="P384">
            <v>0</v>
          </cell>
          <cell r="Q384">
            <v>0</v>
          </cell>
          <cell r="R384">
            <v>0</v>
          </cell>
          <cell r="S384">
            <v>0</v>
          </cell>
          <cell r="T384">
            <v>0</v>
          </cell>
          <cell r="U384">
            <v>0</v>
          </cell>
          <cell r="V384">
            <v>35</v>
          </cell>
          <cell r="W384">
            <v>0</v>
          </cell>
          <cell r="X384">
            <v>0</v>
          </cell>
          <cell r="Y384">
            <v>0</v>
          </cell>
          <cell r="Z384">
            <v>0</v>
          </cell>
          <cell r="AA384">
            <v>4068.5</v>
          </cell>
        </row>
        <row r="385">
          <cell r="A385" t="str">
            <v>Guardian Automotive Trim (Windsor)</v>
          </cell>
          <cell r="B385">
            <v>37408</v>
          </cell>
          <cell r="C385">
            <v>5787</v>
          </cell>
          <cell r="D385">
            <v>5787</v>
          </cell>
          <cell r="E385" t="str">
            <v>N/A</v>
          </cell>
          <cell r="F385" t="str">
            <v>N/A</v>
          </cell>
          <cell r="G385">
            <v>5855</v>
          </cell>
          <cell r="H385">
            <v>5855</v>
          </cell>
          <cell r="I385" t="str">
            <v>N/A</v>
          </cell>
          <cell r="J385" t="str">
            <v>N/A</v>
          </cell>
          <cell r="K385">
            <v>2377.13</v>
          </cell>
          <cell r="L385">
            <v>0</v>
          </cell>
          <cell r="M385">
            <v>75</v>
          </cell>
          <cell r="N385">
            <v>0</v>
          </cell>
          <cell r="O385">
            <v>0</v>
          </cell>
          <cell r="P385">
            <v>0</v>
          </cell>
          <cell r="Q385">
            <v>0</v>
          </cell>
          <cell r="R385">
            <v>0</v>
          </cell>
          <cell r="S385">
            <v>0</v>
          </cell>
          <cell r="T385">
            <v>0</v>
          </cell>
          <cell r="U385">
            <v>0</v>
          </cell>
          <cell r="V385">
            <v>35</v>
          </cell>
          <cell r="W385">
            <v>0</v>
          </cell>
          <cell r="X385">
            <v>0</v>
          </cell>
          <cell r="Y385">
            <v>0</v>
          </cell>
          <cell r="Z385">
            <v>0</v>
          </cell>
          <cell r="AA385">
            <v>2487.13</v>
          </cell>
        </row>
        <row r="386">
          <cell r="A386" t="str">
            <v>Guardian Automotive Trim (Windsor)</v>
          </cell>
          <cell r="B386">
            <v>37438</v>
          </cell>
          <cell r="C386">
            <v>5160</v>
          </cell>
          <cell r="D386">
            <v>5160</v>
          </cell>
          <cell r="E386" t="str">
            <v>N/A</v>
          </cell>
          <cell r="F386" t="str">
            <v>N/A</v>
          </cell>
          <cell r="G386">
            <v>4740</v>
          </cell>
          <cell r="H386">
            <v>4740</v>
          </cell>
          <cell r="I386" t="str">
            <v>N/A</v>
          </cell>
          <cell r="J386" t="str">
            <v>N/A</v>
          </cell>
          <cell r="K386">
            <v>1924.44</v>
          </cell>
          <cell r="L386">
            <v>0</v>
          </cell>
          <cell r="M386">
            <v>75</v>
          </cell>
          <cell r="N386">
            <v>0</v>
          </cell>
          <cell r="O386">
            <v>0</v>
          </cell>
          <cell r="P386">
            <v>0</v>
          </cell>
          <cell r="Q386">
            <v>0</v>
          </cell>
          <cell r="R386">
            <v>0</v>
          </cell>
          <cell r="S386">
            <v>0</v>
          </cell>
          <cell r="T386">
            <v>0</v>
          </cell>
          <cell r="U386">
            <v>0</v>
          </cell>
          <cell r="V386">
            <v>35</v>
          </cell>
          <cell r="W386">
            <v>0</v>
          </cell>
          <cell r="X386">
            <v>0</v>
          </cell>
          <cell r="Y386">
            <v>0</v>
          </cell>
          <cell r="Z386">
            <v>0</v>
          </cell>
          <cell r="AA386">
            <v>2034.44</v>
          </cell>
        </row>
        <row r="387">
          <cell r="A387" t="str">
            <v>Hartford Bakery</v>
          </cell>
          <cell r="B387">
            <v>37104</v>
          </cell>
          <cell r="C387">
            <v>4330</v>
          </cell>
          <cell r="D387">
            <v>4330</v>
          </cell>
          <cell r="E387" t="str">
            <v>N/A</v>
          </cell>
          <cell r="F387" t="str">
            <v>N/A</v>
          </cell>
          <cell r="G387">
            <v>4400</v>
          </cell>
          <cell r="H387">
            <v>4400</v>
          </cell>
          <cell r="I387" t="str">
            <v>N/A</v>
          </cell>
          <cell r="J387" t="str">
            <v>N/A</v>
          </cell>
          <cell r="K387">
            <v>1786.4</v>
          </cell>
          <cell r="L387">
            <v>0</v>
          </cell>
          <cell r="M387">
            <v>75</v>
          </cell>
          <cell r="N387">
            <v>0</v>
          </cell>
          <cell r="O387">
            <v>0</v>
          </cell>
          <cell r="P387">
            <v>0</v>
          </cell>
          <cell r="Q387">
            <v>0</v>
          </cell>
          <cell r="R387">
            <v>0</v>
          </cell>
          <cell r="S387">
            <v>4400</v>
          </cell>
          <cell r="T387">
            <v>13.2</v>
          </cell>
          <cell r="U387">
            <v>0</v>
          </cell>
          <cell r="V387">
            <v>35</v>
          </cell>
          <cell r="W387">
            <v>0</v>
          </cell>
          <cell r="X387">
            <v>0</v>
          </cell>
          <cell r="Y387">
            <v>0</v>
          </cell>
          <cell r="Z387">
            <v>0</v>
          </cell>
          <cell r="AA387">
            <v>1909.6</v>
          </cell>
        </row>
        <row r="388">
          <cell r="A388" t="str">
            <v>Hartford Bakery</v>
          </cell>
          <cell r="B388">
            <v>37135</v>
          </cell>
          <cell r="C388">
            <v>3609</v>
          </cell>
          <cell r="D388">
            <v>3609</v>
          </cell>
          <cell r="E388" t="str">
            <v>N/A</v>
          </cell>
          <cell r="F388" t="str">
            <v>N/A</v>
          </cell>
          <cell r="G388">
            <v>4000</v>
          </cell>
          <cell r="H388">
            <v>4000</v>
          </cell>
          <cell r="I388" t="str">
            <v>N/A</v>
          </cell>
          <cell r="J388" t="str">
            <v>N/A</v>
          </cell>
          <cell r="K388">
            <v>1624</v>
          </cell>
          <cell r="L388">
            <v>0</v>
          </cell>
          <cell r="M388">
            <v>75</v>
          </cell>
          <cell r="N388">
            <v>0</v>
          </cell>
          <cell r="O388">
            <v>0</v>
          </cell>
          <cell r="P388">
            <v>0</v>
          </cell>
          <cell r="Q388">
            <v>0</v>
          </cell>
          <cell r="R388">
            <v>0</v>
          </cell>
          <cell r="S388">
            <v>4000</v>
          </cell>
          <cell r="T388">
            <v>12</v>
          </cell>
          <cell r="U388">
            <v>0</v>
          </cell>
          <cell r="V388">
            <v>35</v>
          </cell>
          <cell r="W388">
            <v>0</v>
          </cell>
          <cell r="X388">
            <v>0</v>
          </cell>
          <cell r="Y388">
            <v>0</v>
          </cell>
          <cell r="Z388">
            <v>0</v>
          </cell>
          <cell r="AA388">
            <v>1746</v>
          </cell>
        </row>
        <row r="389">
          <cell r="A389" t="str">
            <v>Hartford Bakery</v>
          </cell>
          <cell r="B389">
            <v>37165</v>
          </cell>
          <cell r="C389">
            <v>4756</v>
          </cell>
          <cell r="D389">
            <v>4756</v>
          </cell>
          <cell r="E389" t="str">
            <v>N/A</v>
          </cell>
          <cell r="F389" t="str">
            <v>N/A</v>
          </cell>
          <cell r="G389">
            <v>4500</v>
          </cell>
          <cell r="H389">
            <v>4500</v>
          </cell>
          <cell r="I389" t="str">
            <v>N/A</v>
          </cell>
          <cell r="J389" t="str">
            <v>N/A</v>
          </cell>
          <cell r="K389">
            <v>1827</v>
          </cell>
          <cell r="L389">
            <v>0</v>
          </cell>
          <cell r="M389">
            <v>75</v>
          </cell>
          <cell r="N389">
            <v>0</v>
          </cell>
          <cell r="O389">
            <v>0</v>
          </cell>
          <cell r="P389">
            <v>0</v>
          </cell>
          <cell r="Q389">
            <v>0</v>
          </cell>
          <cell r="R389">
            <v>0</v>
          </cell>
          <cell r="S389">
            <v>4500</v>
          </cell>
          <cell r="T389">
            <v>13.5</v>
          </cell>
          <cell r="U389">
            <v>0</v>
          </cell>
          <cell r="V389">
            <v>35</v>
          </cell>
          <cell r="W389">
            <v>0</v>
          </cell>
          <cell r="X389">
            <v>0</v>
          </cell>
          <cell r="Y389">
            <v>0</v>
          </cell>
          <cell r="Z389">
            <v>0</v>
          </cell>
          <cell r="AA389">
            <v>1950.5</v>
          </cell>
        </row>
        <row r="390">
          <cell r="A390" t="str">
            <v>Hartford Bakery</v>
          </cell>
          <cell r="B390">
            <v>37196</v>
          </cell>
          <cell r="C390">
            <v>5169</v>
          </cell>
          <cell r="D390">
            <v>5169</v>
          </cell>
          <cell r="E390" t="str">
            <v>N/A</v>
          </cell>
          <cell r="F390" t="str">
            <v>N/A</v>
          </cell>
          <cell r="G390">
            <v>5253</v>
          </cell>
          <cell r="H390">
            <v>5253</v>
          </cell>
          <cell r="I390" t="str">
            <v>N/A</v>
          </cell>
          <cell r="J390" t="str">
            <v>N/A</v>
          </cell>
          <cell r="K390">
            <v>2132.7199999999998</v>
          </cell>
          <cell r="L390">
            <v>0</v>
          </cell>
          <cell r="M390">
            <v>75</v>
          </cell>
          <cell r="N390">
            <v>0</v>
          </cell>
          <cell r="O390">
            <v>0</v>
          </cell>
          <cell r="P390">
            <v>0</v>
          </cell>
          <cell r="Q390">
            <v>0</v>
          </cell>
          <cell r="R390">
            <v>0</v>
          </cell>
          <cell r="S390">
            <v>5253</v>
          </cell>
          <cell r="T390">
            <v>15.76</v>
          </cell>
          <cell r="U390">
            <v>0</v>
          </cell>
          <cell r="V390">
            <v>35</v>
          </cell>
          <cell r="W390">
            <v>0</v>
          </cell>
          <cell r="X390">
            <v>0</v>
          </cell>
          <cell r="Y390">
            <v>0</v>
          </cell>
          <cell r="Z390">
            <v>0</v>
          </cell>
          <cell r="AA390">
            <v>2258.48</v>
          </cell>
        </row>
        <row r="391">
          <cell r="A391" t="str">
            <v>Hartford Bakery</v>
          </cell>
          <cell r="B391">
            <v>37226</v>
          </cell>
          <cell r="C391">
            <v>4775</v>
          </cell>
          <cell r="D391">
            <v>4775</v>
          </cell>
          <cell r="E391" t="str">
            <v>N/A</v>
          </cell>
          <cell r="F391" t="str">
            <v>N/A</v>
          </cell>
          <cell r="G391">
            <v>4855</v>
          </cell>
          <cell r="H391">
            <v>4855</v>
          </cell>
          <cell r="I391" t="str">
            <v>N/A</v>
          </cell>
          <cell r="J391" t="str">
            <v>N/A</v>
          </cell>
          <cell r="K391">
            <v>1971.13</v>
          </cell>
          <cell r="L391">
            <v>0</v>
          </cell>
          <cell r="M391">
            <v>75</v>
          </cell>
          <cell r="N391">
            <v>0</v>
          </cell>
          <cell r="O391">
            <v>0</v>
          </cell>
          <cell r="P391">
            <v>0</v>
          </cell>
          <cell r="Q391">
            <v>0</v>
          </cell>
          <cell r="R391">
            <v>0</v>
          </cell>
          <cell r="S391">
            <v>4855</v>
          </cell>
          <cell r="T391">
            <v>14.56</v>
          </cell>
          <cell r="U391">
            <v>0</v>
          </cell>
          <cell r="V391">
            <v>35</v>
          </cell>
          <cell r="W391">
            <v>0</v>
          </cell>
          <cell r="X391">
            <v>0</v>
          </cell>
          <cell r="Y391">
            <v>0</v>
          </cell>
          <cell r="Z391">
            <v>0</v>
          </cell>
          <cell r="AA391">
            <v>2095.69</v>
          </cell>
        </row>
        <row r="392">
          <cell r="A392" t="str">
            <v>Hartford Bakery</v>
          </cell>
          <cell r="B392">
            <v>37257</v>
          </cell>
          <cell r="C392">
            <v>5378</v>
          </cell>
          <cell r="D392">
            <v>5378</v>
          </cell>
          <cell r="E392" t="str">
            <v>N/A</v>
          </cell>
          <cell r="F392" t="str">
            <v>N/A</v>
          </cell>
          <cell r="G392">
            <v>5465</v>
          </cell>
          <cell r="H392">
            <v>5465</v>
          </cell>
          <cell r="I392" t="str">
            <v>N/A</v>
          </cell>
          <cell r="J392" t="str">
            <v>N/A</v>
          </cell>
          <cell r="K392">
            <v>2218.79</v>
          </cell>
          <cell r="L392">
            <v>0</v>
          </cell>
          <cell r="M392">
            <v>75</v>
          </cell>
          <cell r="N392">
            <v>0</v>
          </cell>
          <cell r="O392">
            <v>0</v>
          </cell>
          <cell r="P392">
            <v>0</v>
          </cell>
          <cell r="Q392">
            <v>0</v>
          </cell>
          <cell r="R392">
            <v>0</v>
          </cell>
          <cell r="S392">
            <v>5465</v>
          </cell>
          <cell r="T392">
            <v>16.39</v>
          </cell>
          <cell r="U392">
            <v>0</v>
          </cell>
          <cell r="V392">
            <v>35</v>
          </cell>
          <cell r="W392">
            <v>0</v>
          </cell>
          <cell r="X392">
            <v>0</v>
          </cell>
          <cell r="Y392">
            <v>0</v>
          </cell>
          <cell r="Z392">
            <v>0</v>
          </cell>
          <cell r="AA392">
            <v>2345.1799999999998</v>
          </cell>
        </row>
        <row r="393">
          <cell r="A393" t="str">
            <v>Hartford Bakery</v>
          </cell>
          <cell r="B393">
            <v>37288</v>
          </cell>
          <cell r="C393">
            <v>4585</v>
          </cell>
          <cell r="D393">
            <v>4585</v>
          </cell>
          <cell r="E393" t="str">
            <v>N/A</v>
          </cell>
          <cell r="F393" t="str">
            <v>N/A</v>
          </cell>
          <cell r="G393">
            <v>5012</v>
          </cell>
          <cell r="H393">
            <v>5012</v>
          </cell>
          <cell r="I393" t="str">
            <v>N/A</v>
          </cell>
          <cell r="J393" t="str">
            <v>N/A</v>
          </cell>
          <cell r="K393">
            <v>2034.87</v>
          </cell>
          <cell r="L393">
            <v>0</v>
          </cell>
          <cell r="M393">
            <v>75</v>
          </cell>
          <cell r="N393">
            <v>0</v>
          </cell>
          <cell r="O393">
            <v>0</v>
          </cell>
          <cell r="P393">
            <v>0</v>
          </cell>
          <cell r="Q393">
            <v>0</v>
          </cell>
          <cell r="R393">
            <v>0</v>
          </cell>
          <cell r="S393">
            <v>5012</v>
          </cell>
          <cell r="T393">
            <v>-5.01</v>
          </cell>
          <cell r="U393">
            <v>0</v>
          </cell>
          <cell r="V393">
            <v>35</v>
          </cell>
          <cell r="W393">
            <v>0</v>
          </cell>
          <cell r="X393">
            <v>0</v>
          </cell>
          <cell r="Y393">
            <v>0</v>
          </cell>
          <cell r="Z393">
            <v>0</v>
          </cell>
          <cell r="AA393">
            <v>2139.86</v>
          </cell>
        </row>
        <row r="394">
          <cell r="A394" t="str">
            <v>Hartford Bakery</v>
          </cell>
          <cell r="B394">
            <v>37316</v>
          </cell>
          <cell r="C394">
            <v>5391</v>
          </cell>
          <cell r="D394">
            <v>5391</v>
          </cell>
          <cell r="E394" t="str">
            <v>N/A</v>
          </cell>
          <cell r="F394" t="str">
            <v>N/A</v>
          </cell>
          <cell r="G394">
            <v>5485</v>
          </cell>
          <cell r="H394">
            <v>5485</v>
          </cell>
          <cell r="I394" t="str">
            <v>N/A</v>
          </cell>
          <cell r="J394" t="str">
            <v>N/A</v>
          </cell>
          <cell r="K394">
            <v>2226.91</v>
          </cell>
          <cell r="L394">
            <v>0</v>
          </cell>
          <cell r="M394">
            <v>75</v>
          </cell>
          <cell r="N394">
            <v>0</v>
          </cell>
          <cell r="O394">
            <v>0</v>
          </cell>
          <cell r="P394">
            <v>0</v>
          </cell>
          <cell r="Q394">
            <v>0</v>
          </cell>
          <cell r="R394">
            <v>0</v>
          </cell>
          <cell r="S394">
            <v>5485</v>
          </cell>
          <cell r="T394">
            <v>-5.49</v>
          </cell>
          <cell r="U394">
            <v>0</v>
          </cell>
          <cell r="V394">
            <v>35</v>
          </cell>
          <cell r="W394">
            <v>0</v>
          </cell>
          <cell r="X394">
            <v>0</v>
          </cell>
          <cell r="Y394">
            <v>0</v>
          </cell>
          <cell r="Z394">
            <v>0</v>
          </cell>
          <cell r="AA394">
            <v>2331.42</v>
          </cell>
        </row>
        <row r="395">
          <cell r="A395" t="str">
            <v>Hartford Bakery</v>
          </cell>
          <cell r="B395">
            <v>37347</v>
          </cell>
          <cell r="C395">
            <v>4420</v>
          </cell>
          <cell r="D395">
            <v>4420</v>
          </cell>
          <cell r="E395" t="str">
            <v>N/A</v>
          </cell>
          <cell r="F395" t="str">
            <v>N/A</v>
          </cell>
          <cell r="G395">
            <v>4700</v>
          </cell>
          <cell r="H395">
            <v>4700</v>
          </cell>
          <cell r="I395" t="str">
            <v>N/A</v>
          </cell>
          <cell r="J395" t="str">
            <v>N/A</v>
          </cell>
          <cell r="K395">
            <v>1908.2</v>
          </cell>
          <cell r="L395">
            <v>0</v>
          </cell>
          <cell r="M395">
            <v>75</v>
          </cell>
          <cell r="N395">
            <v>0</v>
          </cell>
          <cell r="O395">
            <v>0</v>
          </cell>
          <cell r="P395">
            <v>0</v>
          </cell>
          <cell r="Q395">
            <v>0</v>
          </cell>
          <cell r="R395">
            <v>0</v>
          </cell>
          <cell r="S395">
            <v>4700</v>
          </cell>
          <cell r="T395">
            <v>-4.7</v>
          </cell>
          <cell r="U395">
            <v>0</v>
          </cell>
          <cell r="V395">
            <v>35</v>
          </cell>
          <cell r="W395">
            <v>0</v>
          </cell>
          <cell r="X395">
            <v>0</v>
          </cell>
          <cell r="Y395">
            <v>0</v>
          </cell>
          <cell r="Z395">
            <v>0</v>
          </cell>
          <cell r="AA395">
            <v>2013.5</v>
          </cell>
        </row>
        <row r="396">
          <cell r="A396" t="str">
            <v>Hartford Bakery</v>
          </cell>
          <cell r="B396">
            <v>37377</v>
          </cell>
          <cell r="C396">
            <v>4254</v>
          </cell>
          <cell r="D396">
            <v>4254</v>
          </cell>
          <cell r="E396" t="str">
            <v>N/A</v>
          </cell>
          <cell r="F396" t="str">
            <v>N/A</v>
          </cell>
          <cell r="G396">
            <v>4100</v>
          </cell>
          <cell r="H396">
            <v>4100</v>
          </cell>
          <cell r="I396" t="str">
            <v>N/A</v>
          </cell>
          <cell r="J396" t="str">
            <v>N/A</v>
          </cell>
          <cell r="K396">
            <v>1664.6</v>
          </cell>
          <cell r="L396">
            <v>0</v>
          </cell>
          <cell r="M396">
            <v>75</v>
          </cell>
          <cell r="N396">
            <v>0</v>
          </cell>
          <cell r="O396">
            <v>0</v>
          </cell>
          <cell r="P396">
            <v>0</v>
          </cell>
          <cell r="Q396">
            <v>0</v>
          </cell>
          <cell r="R396">
            <v>0</v>
          </cell>
          <cell r="S396">
            <v>0</v>
          </cell>
          <cell r="T396">
            <v>0</v>
          </cell>
          <cell r="U396">
            <v>0</v>
          </cell>
          <cell r="V396">
            <v>35</v>
          </cell>
          <cell r="W396">
            <v>0</v>
          </cell>
          <cell r="X396">
            <v>0</v>
          </cell>
          <cell r="Y396">
            <v>0</v>
          </cell>
          <cell r="Z396">
            <v>0</v>
          </cell>
          <cell r="AA396">
            <v>1774.6</v>
          </cell>
        </row>
        <row r="397">
          <cell r="A397" t="str">
            <v>Hartford Bakery</v>
          </cell>
          <cell r="B397">
            <v>37408</v>
          </cell>
          <cell r="C397">
            <v>4523</v>
          </cell>
          <cell r="D397">
            <v>4523</v>
          </cell>
          <cell r="E397" t="str">
            <v>N/A</v>
          </cell>
          <cell r="F397" t="str">
            <v>N/A</v>
          </cell>
          <cell r="G397">
            <v>4580</v>
          </cell>
          <cell r="H397">
            <v>4580</v>
          </cell>
          <cell r="I397" t="str">
            <v>N/A</v>
          </cell>
          <cell r="J397" t="str">
            <v>N/A</v>
          </cell>
          <cell r="K397">
            <v>1859.48</v>
          </cell>
          <cell r="L397">
            <v>0</v>
          </cell>
          <cell r="M397">
            <v>75</v>
          </cell>
          <cell r="N397">
            <v>0</v>
          </cell>
          <cell r="O397">
            <v>0</v>
          </cell>
          <cell r="P397">
            <v>0</v>
          </cell>
          <cell r="Q397">
            <v>0</v>
          </cell>
          <cell r="R397">
            <v>0</v>
          </cell>
          <cell r="S397">
            <v>0</v>
          </cell>
          <cell r="T397">
            <v>0</v>
          </cell>
          <cell r="U397">
            <v>0</v>
          </cell>
          <cell r="V397">
            <v>35</v>
          </cell>
          <cell r="W397">
            <v>0</v>
          </cell>
          <cell r="X397">
            <v>0</v>
          </cell>
          <cell r="Y397">
            <v>0</v>
          </cell>
          <cell r="Z397">
            <v>0</v>
          </cell>
          <cell r="AA397">
            <v>1969.48</v>
          </cell>
        </row>
        <row r="398">
          <cell r="A398" t="str">
            <v>Hartford Bakery</v>
          </cell>
          <cell r="B398">
            <v>37438</v>
          </cell>
          <cell r="C398">
            <v>4163</v>
          </cell>
          <cell r="D398">
            <v>4163</v>
          </cell>
          <cell r="E398" t="str">
            <v>N/A</v>
          </cell>
          <cell r="F398" t="str">
            <v>N/A</v>
          </cell>
          <cell r="G398">
            <v>4220</v>
          </cell>
          <cell r="H398">
            <v>4220</v>
          </cell>
          <cell r="I398" t="str">
            <v>N/A</v>
          </cell>
          <cell r="J398" t="str">
            <v>N/A</v>
          </cell>
          <cell r="K398">
            <v>1713.32</v>
          </cell>
          <cell r="L398">
            <v>0</v>
          </cell>
          <cell r="M398">
            <v>75</v>
          </cell>
          <cell r="N398">
            <v>0</v>
          </cell>
          <cell r="O398">
            <v>0</v>
          </cell>
          <cell r="P398">
            <v>0</v>
          </cell>
          <cell r="Q398">
            <v>0</v>
          </cell>
          <cell r="R398">
            <v>0</v>
          </cell>
          <cell r="S398">
            <v>0</v>
          </cell>
          <cell r="T398">
            <v>0</v>
          </cell>
          <cell r="U398">
            <v>0</v>
          </cell>
          <cell r="V398">
            <v>35</v>
          </cell>
          <cell r="W398">
            <v>0</v>
          </cell>
          <cell r="X398">
            <v>0</v>
          </cell>
          <cell r="Y398">
            <v>0</v>
          </cell>
          <cell r="Z398">
            <v>0</v>
          </cell>
          <cell r="AA398">
            <v>1823.32</v>
          </cell>
        </row>
        <row r="399">
          <cell r="A399" t="str">
            <v>Hoosier Magnetics</v>
          </cell>
          <cell r="B399">
            <v>37104</v>
          </cell>
          <cell r="C399">
            <v>2281</v>
          </cell>
          <cell r="D399">
            <v>2281</v>
          </cell>
          <cell r="E399" t="str">
            <v>N/A</v>
          </cell>
          <cell r="F399" t="str">
            <v>N/A</v>
          </cell>
          <cell r="G399">
            <v>2800</v>
          </cell>
          <cell r="H399">
            <v>2800</v>
          </cell>
          <cell r="I399" t="str">
            <v>N/A</v>
          </cell>
          <cell r="J399" t="str">
            <v>N/A</v>
          </cell>
          <cell r="K399">
            <v>1136.8</v>
          </cell>
          <cell r="L399">
            <v>0</v>
          </cell>
          <cell r="M399">
            <v>75</v>
          </cell>
          <cell r="N399">
            <v>0</v>
          </cell>
          <cell r="O399">
            <v>0</v>
          </cell>
          <cell r="P399">
            <v>0</v>
          </cell>
          <cell r="Q399">
            <v>0</v>
          </cell>
          <cell r="R399">
            <v>-72.8</v>
          </cell>
          <cell r="S399">
            <v>2800</v>
          </cell>
          <cell r="T399">
            <v>8.4</v>
          </cell>
          <cell r="U399">
            <v>0</v>
          </cell>
          <cell r="V399">
            <v>35</v>
          </cell>
          <cell r="W399">
            <v>1.75</v>
          </cell>
          <cell r="X399">
            <v>0</v>
          </cell>
          <cell r="Y399">
            <v>0</v>
          </cell>
          <cell r="Z399">
            <v>0</v>
          </cell>
          <cell r="AA399">
            <v>1184.1500000000001</v>
          </cell>
        </row>
        <row r="400">
          <cell r="A400" t="str">
            <v>Hoosier Magnetics</v>
          </cell>
          <cell r="B400">
            <v>37135</v>
          </cell>
          <cell r="C400">
            <v>2090</v>
          </cell>
          <cell r="D400">
            <v>2090</v>
          </cell>
          <cell r="E400" t="str">
            <v>N/A</v>
          </cell>
          <cell r="F400" t="str">
            <v>N/A</v>
          </cell>
          <cell r="G400">
            <v>2800</v>
          </cell>
          <cell r="H400">
            <v>2800</v>
          </cell>
          <cell r="I400" t="str">
            <v>N/A</v>
          </cell>
          <cell r="J400" t="str">
            <v>N/A</v>
          </cell>
          <cell r="K400">
            <v>1136.8</v>
          </cell>
          <cell r="L400">
            <v>0</v>
          </cell>
          <cell r="M400">
            <v>75</v>
          </cell>
          <cell r="N400">
            <v>0</v>
          </cell>
          <cell r="O400">
            <v>0</v>
          </cell>
          <cell r="P400">
            <v>0</v>
          </cell>
          <cell r="Q400">
            <v>0</v>
          </cell>
          <cell r="R400">
            <v>-72.8</v>
          </cell>
          <cell r="S400">
            <v>2800</v>
          </cell>
          <cell r="T400">
            <v>8.4</v>
          </cell>
          <cell r="U400">
            <v>0</v>
          </cell>
          <cell r="V400">
            <v>35</v>
          </cell>
          <cell r="W400">
            <v>1.75</v>
          </cell>
          <cell r="X400">
            <v>0</v>
          </cell>
          <cell r="Y400">
            <v>0</v>
          </cell>
          <cell r="Z400">
            <v>0</v>
          </cell>
          <cell r="AA400">
            <v>1184.1500000000001</v>
          </cell>
        </row>
        <row r="401">
          <cell r="A401" t="str">
            <v>Hoosier Magnetics</v>
          </cell>
          <cell r="B401">
            <v>37165</v>
          </cell>
          <cell r="C401">
            <v>2346</v>
          </cell>
          <cell r="D401">
            <v>2346</v>
          </cell>
          <cell r="E401" t="str">
            <v>N/A</v>
          </cell>
          <cell r="F401" t="str">
            <v>N/A</v>
          </cell>
          <cell r="G401">
            <v>0</v>
          </cell>
          <cell r="H401">
            <v>0</v>
          </cell>
          <cell r="I401" t="str">
            <v>N/A</v>
          </cell>
          <cell r="J401" t="str">
            <v>N/A</v>
          </cell>
          <cell r="K401">
            <v>0</v>
          </cell>
          <cell r="L401">
            <v>0</v>
          </cell>
          <cell r="M401">
            <v>75</v>
          </cell>
          <cell r="N401">
            <v>0</v>
          </cell>
          <cell r="O401">
            <v>0</v>
          </cell>
          <cell r="P401">
            <v>0</v>
          </cell>
          <cell r="Q401">
            <v>0</v>
          </cell>
          <cell r="R401">
            <v>0</v>
          </cell>
          <cell r="S401">
            <v>0</v>
          </cell>
          <cell r="T401">
            <v>0</v>
          </cell>
          <cell r="U401">
            <v>0</v>
          </cell>
          <cell r="V401">
            <v>35</v>
          </cell>
          <cell r="W401">
            <v>1.75</v>
          </cell>
          <cell r="X401">
            <v>0</v>
          </cell>
          <cell r="Y401">
            <v>0</v>
          </cell>
          <cell r="Z401">
            <v>0</v>
          </cell>
          <cell r="AA401">
            <v>111.75</v>
          </cell>
        </row>
        <row r="402">
          <cell r="A402" t="str">
            <v>Hoosier Magnetics</v>
          </cell>
          <cell r="B402">
            <v>37196</v>
          </cell>
          <cell r="C402">
            <v>2669</v>
          </cell>
          <cell r="D402">
            <v>2669</v>
          </cell>
          <cell r="E402" t="str">
            <v>N/A</v>
          </cell>
          <cell r="F402" t="str">
            <v>N/A</v>
          </cell>
          <cell r="G402">
            <v>239</v>
          </cell>
          <cell r="H402">
            <v>239</v>
          </cell>
          <cell r="I402" t="str">
            <v>N/A</v>
          </cell>
          <cell r="J402" t="str">
            <v>N/A</v>
          </cell>
          <cell r="K402">
            <v>97.03</v>
          </cell>
          <cell r="L402">
            <v>0</v>
          </cell>
          <cell r="M402">
            <v>75</v>
          </cell>
          <cell r="N402">
            <v>0</v>
          </cell>
          <cell r="O402">
            <v>0</v>
          </cell>
          <cell r="P402">
            <v>0</v>
          </cell>
          <cell r="Q402">
            <v>0</v>
          </cell>
          <cell r="R402">
            <v>-6.21</v>
          </cell>
          <cell r="S402">
            <v>239</v>
          </cell>
          <cell r="T402">
            <v>0.72</v>
          </cell>
          <cell r="U402">
            <v>0</v>
          </cell>
          <cell r="V402">
            <v>35</v>
          </cell>
          <cell r="W402">
            <v>1.75</v>
          </cell>
          <cell r="X402">
            <v>0</v>
          </cell>
          <cell r="Y402">
            <v>0</v>
          </cell>
          <cell r="Z402">
            <v>0</v>
          </cell>
          <cell r="AA402">
            <v>203.29</v>
          </cell>
        </row>
        <row r="403">
          <cell r="A403" t="str">
            <v>Hoosier Magnetics</v>
          </cell>
          <cell r="B403">
            <v>37226</v>
          </cell>
          <cell r="C403">
            <v>2432</v>
          </cell>
          <cell r="D403">
            <v>2432</v>
          </cell>
          <cell r="E403" t="str">
            <v>N/A</v>
          </cell>
          <cell r="F403" t="str">
            <v>N/A</v>
          </cell>
          <cell r="G403">
            <v>2472</v>
          </cell>
          <cell r="H403">
            <v>2472</v>
          </cell>
          <cell r="I403" t="str">
            <v>N/A</v>
          </cell>
          <cell r="J403" t="str">
            <v>N/A</v>
          </cell>
          <cell r="K403">
            <v>1003.63</v>
          </cell>
          <cell r="L403">
            <v>0</v>
          </cell>
          <cell r="M403">
            <v>75</v>
          </cell>
          <cell r="N403">
            <v>0</v>
          </cell>
          <cell r="O403">
            <v>0</v>
          </cell>
          <cell r="P403">
            <v>0</v>
          </cell>
          <cell r="Q403">
            <v>0</v>
          </cell>
          <cell r="R403">
            <v>-64.27</v>
          </cell>
          <cell r="S403">
            <v>2472</v>
          </cell>
          <cell r="T403">
            <v>7.42</v>
          </cell>
          <cell r="U403">
            <v>0</v>
          </cell>
          <cell r="V403">
            <v>35</v>
          </cell>
          <cell r="W403">
            <v>1.75</v>
          </cell>
          <cell r="X403">
            <v>0</v>
          </cell>
          <cell r="Y403">
            <v>0</v>
          </cell>
          <cell r="Z403">
            <v>0</v>
          </cell>
          <cell r="AA403">
            <v>1058.53</v>
          </cell>
        </row>
        <row r="404">
          <cell r="A404" t="str">
            <v>Hoosier Magnetics</v>
          </cell>
          <cell r="B404">
            <v>37257</v>
          </cell>
          <cell r="C404">
            <v>2858</v>
          </cell>
          <cell r="D404">
            <v>2858</v>
          </cell>
          <cell r="E404" t="str">
            <v>N/A</v>
          </cell>
          <cell r="F404" t="str">
            <v>N/A</v>
          </cell>
          <cell r="G404">
            <v>3000</v>
          </cell>
          <cell r="H404">
            <v>3000</v>
          </cell>
          <cell r="I404" t="str">
            <v>N/A</v>
          </cell>
          <cell r="J404" t="str">
            <v>N/A</v>
          </cell>
          <cell r="K404">
            <v>1218</v>
          </cell>
          <cell r="L404">
            <v>0</v>
          </cell>
          <cell r="M404">
            <v>75</v>
          </cell>
          <cell r="N404">
            <v>0</v>
          </cell>
          <cell r="O404">
            <v>0</v>
          </cell>
          <cell r="P404">
            <v>0</v>
          </cell>
          <cell r="Q404">
            <v>0</v>
          </cell>
          <cell r="R404">
            <v>-78</v>
          </cell>
          <cell r="S404">
            <v>3000</v>
          </cell>
          <cell r="T404">
            <v>9</v>
          </cell>
          <cell r="U404">
            <v>0</v>
          </cell>
          <cell r="V404">
            <v>35</v>
          </cell>
          <cell r="W404">
            <v>1.75</v>
          </cell>
          <cell r="X404">
            <v>0</v>
          </cell>
          <cell r="Y404">
            <v>0</v>
          </cell>
          <cell r="Z404">
            <v>0</v>
          </cell>
          <cell r="AA404">
            <v>1260.75</v>
          </cell>
        </row>
        <row r="405">
          <cell r="A405" t="str">
            <v>Hoosier Magnetics</v>
          </cell>
          <cell r="B405">
            <v>37288</v>
          </cell>
          <cell r="C405">
            <v>2454</v>
          </cell>
          <cell r="D405">
            <v>2454</v>
          </cell>
          <cell r="E405" t="str">
            <v>N/A</v>
          </cell>
          <cell r="F405" t="str">
            <v>N/A</v>
          </cell>
          <cell r="G405">
            <v>2516</v>
          </cell>
          <cell r="H405">
            <v>2516</v>
          </cell>
          <cell r="I405" t="str">
            <v>N/A</v>
          </cell>
          <cell r="J405" t="str">
            <v>N/A</v>
          </cell>
          <cell r="K405">
            <v>1021.5</v>
          </cell>
          <cell r="L405">
            <v>0</v>
          </cell>
          <cell r="M405">
            <v>75</v>
          </cell>
          <cell r="N405">
            <v>0</v>
          </cell>
          <cell r="O405">
            <v>0</v>
          </cell>
          <cell r="P405">
            <v>0</v>
          </cell>
          <cell r="Q405">
            <v>0</v>
          </cell>
          <cell r="R405">
            <v>10.06</v>
          </cell>
          <cell r="S405">
            <v>2516</v>
          </cell>
          <cell r="T405">
            <v>-2.52</v>
          </cell>
          <cell r="U405">
            <v>0</v>
          </cell>
          <cell r="V405">
            <v>35</v>
          </cell>
          <cell r="W405">
            <v>1.75</v>
          </cell>
          <cell r="X405">
            <v>0</v>
          </cell>
          <cell r="Y405">
            <v>0</v>
          </cell>
          <cell r="Z405">
            <v>0</v>
          </cell>
          <cell r="AA405">
            <v>1140.79</v>
          </cell>
        </row>
        <row r="406">
          <cell r="A406" t="str">
            <v>Hoosier Magnetics</v>
          </cell>
          <cell r="B406">
            <v>37316</v>
          </cell>
          <cell r="C406">
            <v>2219</v>
          </cell>
          <cell r="D406">
            <v>2219</v>
          </cell>
          <cell r="E406" t="str">
            <v>N/A</v>
          </cell>
          <cell r="F406" t="str">
            <v>N/A</v>
          </cell>
          <cell r="G406">
            <v>2255</v>
          </cell>
          <cell r="H406">
            <v>2255</v>
          </cell>
          <cell r="I406" t="str">
            <v>N/A</v>
          </cell>
          <cell r="J406" t="str">
            <v>N/A</v>
          </cell>
          <cell r="K406">
            <v>915.53</v>
          </cell>
          <cell r="L406">
            <v>0</v>
          </cell>
          <cell r="M406">
            <v>75</v>
          </cell>
          <cell r="N406">
            <v>0</v>
          </cell>
          <cell r="O406">
            <v>0</v>
          </cell>
          <cell r="P406">
            <v>0</v>
          </cell>
          <cell r="Q406">
            <v>0</v>
          </cell>
          <cell r="R406">
            <v>9.02</v>
          </cell>
          <cell r="S406">
            <v>2255</v>
          </cell>
          <cell r="T406">
            <v>-2.25</v>
          </cell>
          <cell r="U406">
            <v>0</v>
          </cell>
          <cell r="V406">
            <v>35</v>
          </cell>
          <cell r="W406">
            <v>1.75</v>
          </cell>
          <cell r="X406">
            <v>0</v>
          </cell>
          <cell r="Y406">
            <v>0</v>
          </cell>
          <cell r="Z406">
            <v>0</v>
          </cell>
          <cell r="AA406">
            <v>1034.05</v>
          </cell>
        </row>
        <row r="407">
          <cell r="A407" t="str">
            <v>Hoosier Magnetics</v>
          </cell>
          <cell r="B407">
            <v>37347</v>
          </cell>
          <cell r="C407">
            <v>1709</v>
          </cell>
          <cell r="D407">
            <v>1709</v>
          </cell>
          <cell r="E407" t="str">
            <v>N/A</v>
          </cell>
          <cell r="F407" t="str">
            <v>N/A</v>
          </cell>
          <cell r="G407">
            <v>1600</v>
          </cell>
          <cell r="H407">
            <v>1600</v>
          </cell>
          <cell r="I407" t="str">
            <v>N/A</v>
          </cell>
          <cell r="J407" t="str">
            <v>N/A</v>
          </cell>
          <cell r="K407">
            <v>649.6</v>
          </cell>
          <cell r="L407">
            <v>0</v>
          </cell>
          <cell r="M407">
            <v>75</v>
          </cell>
          <cell r="N407">
            <v>0</v>
          </cell>
          <cell r="O407">
            <v>0</v>
          </cell>
          <cell r="P407">
            <v>0</v>
          </cell>
          <cell r="Q407">
            <v>0</v>
          </cell>
          <cell r="R407">
            <v>6.4</v>
          </cell>
          <cell r="S407">
            <v>1600</v>
          </cell>
          <cell r="T407">
            <v>-1.6</v>
          </cell>
          <cell r="U407">
            <v>0</v>
          </cell>
          <cell r="V407">
            <v>35</v>
          </cell>
          <cell r="W407">
            <v>1.75</v>
          </cell>
          <cell r="X407">
            <v>0</v>
          </cell>
          <cell r="Y407">
            <v>0</v>
          </cell>
          <cell r="Z407">
            <v>0</v>
          </cell>
          <cell r="AA407">
            <v>766.15</v>
          </cell>
        </row>
        <row r="408">
          <cell r="A408" t="str">
            <v>Hoosier Magnetics</v>
          </cell>
          <cell r="B408">
            <v>37377</v>
          </cell>
          <cell r="C408">
            <v>1238</v>
          </cell>
          <cell r="D408">
            <v>1238</v>
          </cell>
          <cell r="E408" t="str">
            <v>N/A</v>
          </cell>
          <cell r="F408" t="str">
            <v>N/A</v>
          </cell>
          <cell r="G408">
            <v>1500</v>
          </cell>
          <cell r="H408">
            <v>1500</v>
          </cell>
          <cell r="I408" t="str">
            <v>N/A</v>
          </cell>
          <cell r="J408" t="str">
            <v>N/A</v>
          </cell>
          <cell r="K408">
            <v>609</v>
          </cell>
          <cell r="L408">
            <v>0</v>
          </cell>
          <cell r="M408">
            <v>75</v>
          </cell>
          <cell r="N408">
            <v>0</v>
          </cell>
          <cell r="O408">
            <v>0</v>
          </cell>
          <cell r="P408">
            <v>0</v>
          </cell>
          <cell r="Q408">
            <v>0</v>
          </cell>
          <cell r="R408">
            <v>0</v>
          </cell>
          <cell r="S408">
            <v>0</v>
          </cell>
          <cell r="T408">
            <v>0</v>
          </cell>
          <cell r="U408">
            <v>0</v>
          </cell>
          <cell r="V408">
            <v>35</v>
          </cell>
          <cell r="W408">
            <v>1.75</v>
          </cell>
          <cell r="X408">
            <v>0</v>
          </cell>
          <cell r="Y408">
            <v>0</v>
          </cell>
          <cell r="Z408">
            <v>0</v>
          </cell>
          <cell r="AA408">
            <v>720.75</v>
          </cell>
        </row>
        <row r="409">
          <cell r="A409" t="str">
            <v>Hoosier Magnetics</v>
          </cell>
          <cell r="B409">
            <v>37408</v>
          </cell>
          <cell r="C409">
            <v>1890</v>
          </cell>
          <cell r="D409">
            <v>1890</v>
          </cell>
          <cell r="E409" t="str">
            <v>N/A</v>
          </cell>
          <cell r="F409" t="str">
            <v>N/A</v>
          </cell>
          <cell r="G409">
            <v>1725</v>
          </cell>
          <cell r="H409">
            <v>1725</v>
          </cell>
          <cell r="I409" t="str">
            <v>N/A</v>
          </cell>
          <cell r="J409" t="str">
            <v>N/A</v>
          </cell>
          <cell r="K409">
            <v>700.35</v>
          </cell>
          <cell r="L409">
            <v>0</v>
          </cell>
          <cell r="M409">
            <v>75</v>
          </cell>
          <cell r="N409">
            <v>0</v>
          </cell>
          <cell r="O409">
            <v>0</v>
          </cell>
          <cell r="P409">
            <v>0</v>
          </cell>
          <cell r="Q409">
            <v>0</v>
          </cell>
          <cell r="R409">
            <v>0</v>
          </cell>
          <cell r="S409">
            <v>0</v>
          </cell>
          <cell r="T409">
            <v>0</v>
          </cell>
          <cell r="U409">
            <v>0</v>
          </cell>
          <cell r="V409">
            <v>35</v>
          </cell>
          <cell r="W409">
            <v>1.75</v>
          </cell>
          <cell r="X409">
            <v>0</v>
          </cell>
          <cell r="Y409">
            <v>0</v>
          </cell>
          <cell r="Z409">
            <v>0</v>
          </cell>
          <cell r="AA409">
            <v>812.1</v>
          </cell>
        </row>
        <row r="410">
          <cell r="A410" t="str">
            <v>Hoosier Magnetics</v>
          </cell>
          <cell r="B410">
            <v>37438</v>
          </cell>
          <cell r="C410">
            <v>1803</v>
          </cell>
          <cell r="D410">
            <v>1803</v>
          </cell>
          <cell r="E410" t="str">
            <v>N/A</v>
          </cell>
          <cell r="F410" t="str">
            <v>N/A</v>
          </cell>
          <cell r="G410">
            <v>1840</v>
          </cell>
          <cell r="H410">
            <v>1840</v>
          </cell>
          <cell r="I410" t="str">
            <v>N/A</v>
          </cell>
          <cell r="J410" t="str">
            <v>N/A</v>
          </cell>
          <cell r="K410">
            <v>747.04</v>
          </cell>
          <cell r="L410">
            <v>0</v>
          </cell>
          <cell r="M410">
            <v>75</v>
          </cell>
          <cell r="N410">
            <v>0</v>
          </cell>
          <cell r="O410">
            <v>0</v>
          </cell>
          <cell r="P410">
            <v>0</v>
          </cell>
          <cell r="Q410">
            <v>0</v>
          </cell>
          <cell r="R410">
            <v>0</v>
          </cell>
          <cell r="S410">
            <v>0</v>
          </cell>
          <cell r="T410">
            <v>0</v>
          </cell>
          <cell r="U410">
            <v>0</v>
          </cell>
          <cell r="V410">
            <v>35</v>
          </cell>
          <cell r="W410">
            <v>1.75</v>
          </cell>
          <cell r="X410">
            <v>0</v>
          </cell>
          <cell r="Y410">
            <v>0</v>
          </cell>
          <cell r="Z410">
            <v>0</v>
          </cell>
          <cell r="AA410">
            <v>858.79</v>
          </cell>
        </row>
        <row r="411">
          <cell r="A411" t="str">
            <v>Hoover Precision Products</v>
          </cell>
          <cell r="B411">
            <v>37104</v>
          </cell>
          <cell r="C411">
            <v>0</v>
          </cell>
          <cell r="D411">
            <v>0</v>
          </cell>
          <cell r="E411" t="str">
            <v>N/A</v>
          </cell>
          <cell r="F411" t="str">
            <v>N/A</v>
          </cell>
          <cell r="G411">
            <v>0</v>
          </cell>
          <cell r="H411">
            <v>0</v>
          </cell>
          <cell r="I411" t="str">
            <v>N/A</v>
          </cell>
          <cell r="J411" t="str">
            <v>N/A</v>
          </cell>
          <cell r="K411">
            <v>0</v>
          </cell>
          <cell r="L411">
            <v>0</v>
          </cell>
          <cell r="M411">
            <v>75</v>
          </cell>
          <cell r="N411">
            <v>0</v>
          </cell>
          <cell r="O411">
            <v>0</v>
          </cell>
          <cell r="P411">
            <v>0</v>
          </cell>
          <cell r="Q411">
            <v>0</v>
          </cell>
          <cell r="R411">
            <v>0</v>
          </cell>
          <cell r="S411">
            <v>0</v>
          </cell>
          <cell r="T411">
            <v>0</v>
          </cell>
          <cell r="U411">
            <v>0</v>
          </cell>
          <cell r="V411">
            <v>35</v>
          </cell>
          <cell r="W411">
            <v>1.75</v>
          </cell>
          <cell r="X411">
            <v>0</v>
          </cell>
          <cell r="Y411">
            <v>0</v>
          </cell>
          <cell r="Z411">
            <v>0</v>
          </cell>
          <cell r="AA411">
            <v>111.75</v>
          </cell>
        </row>
        <row r="412">
          <cell r="A412" t="str">
            <v>Hoover Precision Products</v>
          </cell>
          <cell r="B412">
            <v>37135</v>
          </cell>
          <cell r="C412">
            <v>0</v>
          </cell>
          <cell r="D412">
            <v>0</v>
          </cell>
          <cell r="E412" t="str">
            <v>N/A</v>
          </cell>
          <cell r="F412" t="str">
            <v>N/A</v>
          </cell>
          <cell r="G412">
            <v>0</v>
          </cell>
          <cell r="H412">
            <v>0</v>
          </cell>
          <cell r="I412" t="str">
            <v>N/A</v>
          </cell>
          <cell r="J412" t="str">
            <v>N/A</v>
          </cell>
          <cell r="K412">
            <v>0</v>
          </cell>
          <cell r="L412">
            <v>0</v>
          </cell>
          <cell r="M412">
            <v>75</v>
          </cell>
          <cell r="N412">
            <v>0</v>
          </cell>
          <cell r="O412">
            <v>0</v>
          </cell>
          <cell r="P412">
            <v>0</v>
          </cell>
          <cell r="Q412">
            <v>0</v>
          </cell>
          <cell r="R412">
            <v>0</v>
          </cell>
          <cell r="S412">
            <v>0</v>
          </cell>
          <cell r="T412">
            <v>0</v>
          </cell>
          <cell r="U412">
            <v>0</v>
          </cell>
          <cell r="V412">
            <v>35</v>
          </cell>
          <cell r="W412">
            <v>1.75</v>
          </cell>
          <cell r="X412">
            <v>0</v>
          </cell>
          <cell r="Y412">
            <v>0</v>
          </cell>
          <cell r="Z412">
            <v>0</v>
          </cell>
          <cell r="AA412">
            <v>111.75</v>
          </cell>
        </row>
        <row r="413">
          <cell r="A413" t="str">
            <v>Hoover Precision Products</v>
          </cell>
          <cell r="B413">
            <v>37165</v>
          </cell>
          <cell r="C413">
            <v>0</v>
          </cell>
          <cell r="D413">
            <v>0</v>
          </cell>
          <cell r="E413" t="str">
            <v>N/A</v>
          </cell>
          <cell r="F413" t="str">
            <v>N/A</v>
          </cell>
          <cell r="G413">
            <v>0</v>
          </cell>
          <cell r="H413">
            <v>0</v>
          </cell>
          <cell r="I413" t="str">
            <v>N/A</v>
          </cell>
          <cell r="J413" t="str">
            <v>N/A</v>
          </cell>
          <cell r="K413">
            <v>0</v>
          </cell>
          <cell r="L413">
            <v>0</v>
          </cell>
          <cell r="M413">
            <v>75</v>
          </cell>
          <cell r="N413">
            <v>0</v>
          </cell>
          <cell r="O413">
            <v>0</v>
          </cell>
          <cell r="P413">
            <v>0</v>
          </cell>
          <cell r="Q413">
            <v>0</v>
          </cell>
          <cell r="R413">
            <v>0</v>
          </cell>
          <cell r="S413">
            <v>0</v>
          </cell>
          <cell r="T413">
            <v>0</v>
          </cell>
          <cell r="U413">
            <v>0</v>
          </cell>
          <cell r="V413">
            <v>35</v>
          </cell>
          <cell r="W413">
            <v>1.75</v>
          </cell>
          <cell r="X413">
            <v>0</v>
          </cell>
          <cell r="Y413">
            <v>0</v>
          </cell>
          <cell r="Z413">
            <v>0</v>
          </cell>
          <cell r="AA413">
            <v>111.75</v>
          </cell>
        </row>
        <row r="414">
          <cell r="A414" t="str">
            <v>Hoover Precision Products</v>
          </cell>
          <cell r="B414">
            <v>37196</v>
          </cell>
          <cell r="C414">
            <v>0</v>
          </cell>
          <cell r="D414">
            <v>0</v>
          </cell>
          <cell r="E414" t="str">
            <v>N/A</v>
          </cell>
          <cell r="F414" t="str">
            <v>N/A</v>
          </cell>
          <cell r="G414">
            <v>0</v>
          </cell>
          <cell r="H414">
            <v>0</v>
          </cell>
          <cell r="I414" t="str">
            <v>N/A</v>
          </cell>
          <cell r="J414" t="str">
            <v>N/A</v>
          </cell>
          <cell r="K414">
            <v>0</v>
          </cell>
          <cell r="L414">
            <v>0</v>
          </cell>
          <cell r="M414">
            <v>75</v>
          </cell>
          <cell r="N414">
            <v>0</v>
          </cell>
          <cell r="O414">
            <v>0</v>
          </cell>
          <cell r="P414">
            <v>0</v>
          </cell>
          <cell r="Q414">
            <v>0</v>
          </cell>
          <cell r="R414">
            <v>0</v>
          </cell>
          <cell r="S414">
            <v>0</v>
          </cell>
          <cell r="T414">
            <v>0</v>
          </cell>
          <cell r="U414">
            <v>0</v>
          </cell>
          <cell r="V414">
            <v>35</v>
          </cell>
          <cell r="W414">
            <v>1.75</v>
          </cell>
          <cell r="X414">
            <v>0</v>
          </cell>
          <cell r="Y414">
            <v>0</v>
          </cell>
          <cell r="Z414">
            <v>0</v>
          </cell>
          <cell r="AA414">
            <v>111.75</v>
          </cell>
        </row>
        <row r="415">
          <cell r="A415" t="str">
            <v>Hoover Precision Products</v>
          </cell>
          <cell r="B415">
            <v>37226</v>
          </cell>
          <cell r="C415">
            <v>0</v>
          </cell>
          <cell r="D415">
            <v>0</v>
          </cell>
          <cell r="E415" t="str">
            <v>N/A</v>
          </cell>
          <cell r="F415" t="str">
            <v>N/A</v>
          </cell>
          <cell r="G415">
            <v>0</v>
          </cell>
          <cell r="H415">
            <v>0</v>
          </cell>
          <cell r="I415" t="str">
            <v>N/A</v>
          </cell>
          <cell r="J415" t="str">
            <v>N/A</v>
          </cell>
          <cell r="K415">
            <v>0</v>
          </cell>
          <cell r="L415">
            <v>0</v>
          </cell>
          <cell r="M415">
            <v>75</v>
          </cell>
          <cell r="N415">
            <v>0</v>
          </cell>
          <cell r="O415">
            <v>0</v>
          </cell>
          <cell r="P415">
            <v>0</v>
          </cell>
          <cell r="Q415">
            <v>0</v>
          </cell>
          <cell r="R415">
            <v>0</v>
          </cell>
          <cell r="S415">
            <v>0</v>
          </cell>
          <cell r="T415">
            <v>0</v>
          </cell>
          <cell r="U415">
            <v>0</v>
          </cell>
          <cell r="V415">
            <v>35</v>
          </cell>
          <cell r="W415">
            <v>1.75</v>
          </cell>
          <cell r="X415">
            <v>0</v>
          </cell>
          <cell r="Y415">
            <v>0</v>
          </cell>
          <cell r="Z415">
            <v>0</v>
          </cell>
          <cell r="AA415">
            <v>111.75</v>
          </cell>
        </row>
        <row r="416">
          <cell r="A416" t="str">
            <v>Hoover Precision Products</v>
          </cell>
          <cell r="B416">
            <v>37257</v>
          </cell>
          <cell r="C416">
            <v>0</v>
          </cell>
          <cell r="D416">
            <v>0</v>
          </cell>
          <cell r="E416" t="str">
            <v>N/A</v>
          </cell>
          <cell r="F416" t="str">
            <v>N/A</v>
          </cell>
          <cell r="G416">
            <v>0</v>
          </cell>
          <cell r="H416">
            <v>0</v>
          </cell>
          <cell r="I416" t="str">
            <v>N/A</v>
          </cell>
          <cell r="J416" t="str">
            <v>N/A</v>
          </cell>
          <cell r="K416">
            <v>0</v>
          </cell>
          <cell r="L416">
            <v>0</v>
          </cell>
          <cell r="M416">
            <v>75</v>
          </cell>
          <cell r="N416">
            <v>0</v>
          </cell>
          <cell r="O416">
            <v>0</v>
          </cell>
          <cell r="P416">
            <v>0</v>
          </cell>
          <cell r="Q416">
            <v>0</v>
          </cell>
          <cell r="R416">
            <v>0</v>
          </cell>
          <cell r="S416">
            <v>0</v>
          </cell>
          <cell r="T416">
            <v>0</v>
          </cell>
          <cell r="U416">
            <v>0</v>
          </cell>
          <cell r="V416">
            <v>35</v>
          </cell>
          <cell r="W416">
            <v>1.75</v>
          </cell>
          <cell r="X416">
            <v>0</v>
          </cell>
          <cell r="Y416">
            <v>0</v>
          </cell>
          <cell r="Z416">
            <v>0</v>
          </cell>
          <cell r="AA416">
            <v>111.75</v>
          </cell>
        </row>
        <row r="417">
          <cell r="A417" t="str">
            <v>Indiana Tube Corporation</v>
          </cell>
          <cell r="B417">
            <v>37104</v>
          </cell>
          <cell r="C417">
            <v>1844</v>
          </cell>
          <cell r="D417">
            <v>1844</v>
          </cell>
          <cell r="E417" t="str">
            <v>N/A</v>
          </cell>
          <cell r="F417" t="str">
            <v>N/A</v>
          </cell>
          <cell r="G417">
            <v>2400</v>
          </cell>
          <cell r="H417">
            <v>2400</v>
          </cell>
          <cell r="I417" t="str">
            <v>N/A</v>
          </cell>
          <cell r="J417" t="str">
            <v>N/A</v>
          </cell>
          <cell r="K417">
            <v>974.4</v>
          </cell>
          <cell r="L417">
            <v>0</v>
          </cell>
          <cell r="M417">
            <v>75</v>
          </cell>
          <cell r="N417">
            <v>0</v>
          </cell>
          <cell r="O417">
            <v>0</v>
          </cell>
          <cell r="P417">
            <v>0</v>
          </cell>
          <cell r="Q417">
            <v>0</v>
          </cell>
          <cell r="R417">
            <v>0</v>
          </cell>
          <cell r="S417">
            <v>2400</v>
          </cell>
          <cell r="T417">
            <v>7.2</v>
          </cell>
          <cell r="U417">
            <v>0</v>
          </cell>
          <cell r="V417">
            <v>35</v>
          </cell>
          <cell r="W417">
            <v>0</v>
          </cell>
          <cell r="X417">
            <v>0</v>
          </cell>
          <cell r="Y417">
            <v>0</v>
          </cell>
          <cell r="Z417">
            <v>0</v>
          </cell>
          <cell r="AA417">
            <v>1091.5999999999999</v>
          </cell>
        </row>
        <row r="418">
          <cell r="A418" t="str">
            <v>Indiana Tube Corporation</v>
          </cell>
          <cell r="B418">
            <v>37135</v>
          </cell>
          <cell r="C418">
            <v>1646</v>
          </cell>
          <cell r="D418">
            <v>1646</v>
          </cell>
          <cell r="E418" t="str">
            <v>N/A</v>
          </cell>
          <cell r="F418" t="str">
            <v>N/A</v>
          </cell>
          <cell r="G418">
            <v>2100</v>
          </cell>
          <cell r="H418">
            <v>2100</v>
          </cell>
          <cell r="I418" t="str">
            <v>N/A</v>
          </cell>
          <cell r="J418" t="str">
            <v>N/A</v>
          </cell>
          <cell r="K418">
            <v>852.6</v>
          </cell>
          <cell r="L418">
            <v>0</v>
          </cell>
          <cell r="M418">
            <v>75</v>
          </cell>
          <cell r="N418">
            <v>0</v>
          </cell>
          <cell r="O418">
            <v>0</v>
          </cell>
          <cell r="P418">
            <v>0</v>
          </cell>
          <cell r="Q418">
            <v>0</v>
          </cell>
          <cell r="R418">
            <v>0</v>
          </cell>
          <cell r="S418">
            <v>2100</v>
          </cell>
          <cell r="T418">
            <v>6.3</v>
          </cell>
          <cell r="U418">
            <v>0</v>
          </cell>
          <cell r="V418">
            <v>35</v>
          </cell>
          <cell r="W418">
            <v>0</v>
          </cell>
          <cell r="X418">
            <v>0</v>
          </cell>
          <cell r="Y418">
            <v>0</v>
          </cell>
          <cell r="Z418">
            <v>0</v>
          </cell>
          <cell r="AA418">
            <v>968.9</v>
          </cell>
        </row>
        <row r="419">
          <cell r="A419" t="str">
            <v>Indiana Tube Corporation</v>
          </cell>
          <cell r="B419">
            <v>37165</v>
          </cell>
          <cell r="C419">
            <v>2598</v>
          </cell>
          <cell r="D419">
            <v>2598</v>
          </cell>
          <cell r="E419" t="str">
            <v>N/A</v>
          </cell>
          <cell r="F419" t="str">
            <v>N/A</v>
          </cell>
          <cell r="G419">
            <v>3500</v>
          </cell>
          <cell r="H419">
            <v>3500</v>
          </cell>
          <cell r="I419" t="str">
            <v>N/A</v>
          </cell>
          <cell r="J419" t="str">
            <v>N/A</v>
          </cell>
          <cell r="K419">
            <v>1421</v>
          </cell>
          <cell r="L419">
            <v>0</v>
          </cell>
          <cell r="M419">
            <v>75</v>
          </cell>
          <cell r="N419">
            <v>0</v>
          </cell>
          <cell r="O419">
            <v>0</v>
          </cell>
          <cell r="P419">
            <v>0</v>
          </cell>
          <cell r="Q419">
            <v>0</v>
          </cell>
          <cell r="R419">
            <v>0</v>
          </cell>
          <cell r="S419">
            <v>3500</v>
          </cell>
          <cell r="T419">
            <v>10.5</v>
          </cell>
          <cell r="U419">
            <v>0</v>
          </cell>
          <cell r="V419">
            <v>35</v>
          </cell>
          <cell r="W419">
            <v>0</v>
          </cell>
          <cell r="X419">
            <v>0</v>
          </cell>
          <cell r="Y419">
            <v>0</v>
          </cell>
          <cell r="Z419">
            <v>0</v>
          </cell>
          <cell r="AA419">
            <v>1541.5</v>
          </cell>
        </row>
        <row r="420">
          <cell r="A420" t="str">
            <v>Indiana Tube Corporation</v>
          </cell>
          <cell r="B420">
            <v>37196</v>
          </cell>
          <cell r="C420">
            <v>3044</v>
          </cell>
          <cell r="D420">
            <v>3044</v>
          </cell>
          <cell r="E420" t="str">
            <v>N/A</v>
          </cell>
          <cell r="F420" t="str">
            <v>N/A</v>
          </cell>
          <cell r="G420">
            <v>5000</v>
          </cell>
          <cell r="H420">
            <v>5000</v>
          </cell>
          <cell r="I420" t="str">
            <v>N/A</v>
          </cell>
          <cell r="J420" t="str">
            <v>N/A</v>
          </cell>
          <cell r="K420">
            <v>2030</v>
          </cell>
          <cell r="L420">
            <v>0</v>
          </cell>
          <cell r="M420">
            <v>75</v>
          </cell>
          <cell r="N420">
            <v>0</v>
          </cell>
          <cell r="O420">
            <v>0</v>
          </cell>
          <cell r="P420">
            <v>0</v>
          </cell>
          <cell r="Q420">
            <v>0</v>
          </cell>
          <cell r="R420">
            <v>0</v>
          </cell>
          <cell r="S420">
            <v>5000</v>
          </cell>
          <cell r="T420">
            <v>15</v>
          </cell>
          <cell r="U420">
            <v>0</v>
          </cell>
          <cell r="V420">
            <v>35</v>
          </cell>
          <cell r="W420">
            <v>0</v>
          </cell>
          <cell r="X420">
            <v>0</v>
          </cell>
          <cell r="Y420">
            <v>0</v>
          </cell>
          <cell r="Z420">
            <v>0</v>
          </cell>
          <cell r="AA420">
            <v>2155</v>
          </cell>
        </row>
        <row r="421">
          <cell r="A421" t="str">
            <v>Indiana Tube Corporation</v>
          </cell>
          <cell r="B421">
            <v>37226</v>
          </cell>
          <cell r="C421">
            <v>2721</v>
          </cell>
          <cell r="D421">
            <v>2721</v>
          </cell>
          <cell r="E421" t="str">
            <v>N/A</v>
          </cell>
          <cell r="F421" t="str">
            <v>N/A</v>
          </cell>
          <cell r="G421">
            <v>6000</v>
          </cell>
          <cell r="H421">
            <v>6000</v>
          </cell>
          <cell r="I421" t="str">
            <v>N/A</v>
          </cell>
          <cell r="J421" t="str">
            <v>N/A</v>
          </cell>
          <cell r="K421">
            <v>2436</v>
          </cell>
          <cell r="L421">
            <v>0</v>
          </cell>
          <cell r="M421">
            <v>75</v>
          </cell>
          <cell r="N421">
            <v>0</v>
          </cell>
          <cell r="O421">
            <v>0</v>
          </cell>
          <cell r="P421">
            <v>0</v>
          </cell>
          <cell r="Q421">
            <v>0</v>
          </cell>
          <cell r="R421">
            <v>0</v>
          </cell>
          <cell r="S421">
            <v>6000</v>
          </cell>
          <cell r="T421">
            <v>18</v>
          </cell>
          <cell r="U421">
            <v>0</v>
          </cell>
          <cell r="V421">
            <v>35</v>
          </cell>
          <cell r="W421">
            <v>0</v>
          </cell>
          <cell r="X421">
            <v>0</v>
          </cell>
          <cell r="Y421">
            <v>0</v>
          </cell>
          <cell r="Z421">
            <v>0</v>
          </cell>
          <cell r="AA421">
            <v>2564</v>
          </cell>
        </row>
        <row r="422">
          <cell r="A422" t="str">
            <v>Indiana Tube Corporation</v>
          </cell>
          <cell r="B422">
            <v>37257</v>
          </cell>
          <cell r="C422">
            <v>5585</v>
          </cell>
          <cell r="D422">
            <v>5585</v>
          </cell>
          <cell r="E422" t="str">
            <v>N/A</v>
          </cell>
          <cell r="F422" t="str">
            <v>N/A</v>
          </cell>
          <cell r="G422">
            <v>6000</v>
          </cell>
          <cell r="H422">
            <v>6000</v>
          </cell>
          <cell r="I422" t="str">
            <v>N/A</v>
          </cell>
          <cell r="J422" t="str">
            <v>N/A</v>
          </cell>
          <cell r="K422">
            <v>2436</v>
          </cell>
          <cell r="L422">
            <v>0</v>
          </cell>
          <cell r="M422">
            <v>75</v>
          </cell>
          <cell r="N422">
            <v>0</v>
          </cell>
          <cell r="O422">
            <v>0</v>
          </cell>
          <cell r="P422">
            <v>0</v>
          </cell>
          <cell r="Q422">
            <v>0</v>
          </cell>
          <cell r="R422">
            <v>0</v>
          </cell>
          <cell r="S422">
            <v>6000</v>
          </cell>
          <cell r="T422">
            <v>18</v>
          </cell>
          <cell r="U422">
            <v>0</v>
          </cell>
          <cell r="V422">
            <v>35</v>
          </cell>
          <cell r="W422">
            <v>0</v>
          </cell>
          <cell r="X422">
            <v>0</v>
          </cell>
          <cell r="Y422">
            <v>0</v>
          </cell>
          <cell r="Z422">
            <v>0</v>
          </cell>
          <cell r="AA422">
            <v>2564</v>
          </cell>
        </row>
        <row r="423">
          <cell r="A423" t="str">
            <v>Indiana Tube Corporation</v>
          </cell>
          <cell r="B423">
            <v>37288</v>
          </cell>
          <cell r="C423">
            <v>4946</v>
          </cell>
          <cell r="D423">
            <v>4946</v>
          </cell>
          <cell r="E423" t="str">
            <v>N/A</v>
          </cell>
          <cell r="F423" t="str">
            <v>N/A</v>
          </cell>
          <cell r="G423">
            <v>4500</v>
          </cell>
          <cell r="H423">
            <v>4500</v>
          </cell>
          <cell r="I423" t="str">
            <v>N/A</v>
          </cell>
          <cell r="J423" t="str">
            <v>N/A</v>
          </cell>
          <cell r="K423">
            <v>1827</v>
          </cell>
          <cell r="L423">
            <v>0</v>
          </cell>
          <cell r="M423">
            <v>75</v>
          </cell>
          <cell r="N423">
            <v>0</v>
          </cell>
          <cell r="O423">
            <v>0</v>
          </cell>
          <cell r="P423">
            <v>0</v>
          </cell>
          <cell r="Q423">
            <v>0</v>
          </cell>
          <cell r="R423">
            <v>0</v>
          </cell>
          <cell r="S423">
            <v>4500</v>
          </cell>
          <cell r="T423">
            <v>-4.5</v>
          </cell>
          <cell r="U423">
            <v>0</v>
          </cell>
          <cell r="V423">
            <v>35</v>
          </cell>
          <cell r="W423">
            <v>0</v>
          </cell>
          <cell r="X423">
            <v>0</v>
          </cell>
          <cell r="Y423">
            <v>0</v>
          </cell>
          <cell r="Z423">
            <v>0</v>
          </cell>
          <cell r="AA423">
            <v>1932.5</v>
          </cell>
        </row>
        <row r="424">
          <cell r="A424" t="str">
            <v>Indiana Tube Corporation</v>
          </cell>
          <cell r="B424">
            <v>37316</v>
          </cell>
          <cell r="C424">
            <v>4035</v>
          </cell>
          <cell r="D424">
            <v>4035</v>
          </cell>
          <cell r="E424" t="str">
            <v>N/A</v>
          </cell>
          <cell r="F424" t="str">
            <v>N/A</v>
          </cell>
          <cell r="G424">
            <v>4185</v>
          </cell>
          <cell r="H424">
            <v>4185</v>
          </cell>
          <cell r="I424" t="str">
            <v>N/A</v>
          </cell>
          <cell r="J424" t="str">
            <v>N/A</v>
          </cell>
          <cell r="K424">
            <v>1699.11</v>
          </cell>
          <cell r="L424">
            <v>0</v>
          </cell>
          <cell r="M424">
            <v>75</v>
          </cell>
          <cell r="N424">
            <v>0</v>
          </cell>
          <cell r="O424">
            <v>0</v>
          </cell>
          <cell r="P424">
            <v>0</v>
          </cell>
          <cell r="Q424">
            <v>0</v>
          </cell>
          <cell r="R424">
            <v>0</v>
          </cell>
          <cell r="S424">
            <v>4185</v>
          </cell>
          <cell r="T424">
            <v>-4.18</v>
          </cell>
          <cell r="U424">
            <v>0</v>
          </cell>
          <cell r="V424">
            <v>35</v>
          </cell>
          <cell r="W424">
            <v>0</v>
          </cell>
          <cell r="X424">
            <v>0</v>
          </cell>
          <cell r="Y424">
            <v>0</v>
          </cell>
          <cell r="Z424">
            <v>0</v>
          </cell>
          <cell r="AA424">
            <v>1804.93</v>
          </cell>
        </row>
        <row r="425">
          <cell r="A425" t="str">
            <v>Indiana Tube Corporation</v>
          </cell>
          <cell r="B425">
            <v>37347</v>
          </cell>
          <cell r="C425">
            <v>2108</v>
          </cell>
          <cell r="D425">
            <v>2108</v>
          </cell>
          <cell r="E425" t="str">
            <v>N/A</v>
          </cell>
          <cell r="F425" t="str">
            <v>N/A</v>
          </cell>
          <cell r="G425">
            <v>2180</v>
          </cell>
          <cell r="H425">
            <v>2180</v>
          </cell>
          <cell r="I425" t="str">
            <v>N/A</v>
          </cell>
          <cell r="J425" t="str">
            <v>N/A</v>
          </cell>
          <cell r="K425">
            <v>885.08</v>
          </cell>
          <cell r="L425">
            <v>0</v>
          </cell>
          <cell r="M425">
            <v>75</v>
          </cell>
          <cell r="N425">
            <v>0</v>
          </cell>
          <cell r="O425">
            <v>0</v>
          </cell>
          <cell r="P425">
            <v>0</v>
          </cell>
          <cell r="Q425">
            <v>0</v>
          </cell>
          <cell r="R425">
            <v>0</v>
          </cell>
          <cell r="S425">
            <v>2180</v>
          </cell>
          <cell r="T425">
            <v>-2.1800000000000002</v>
          </cell>
          <cell r="U425">
            <v>0</v>
          </cell>
          <cell r="V425">
            <v>35</v>
          </cell>
          <cell r="W425">
            <v>0</v>
          </cell>
          <cell r="X425">
            <v>0</v>
          </cell>
          <cell r="Y425">
            <v>0</v>
          </cell>
          <cell r="Z425">
            <v>0</v>
          </cell>
          <cell r="AA425">
            <v>992.9</v>
          </cell>
        </row>
        <row r="426">
          <cell r="A426" t="str">
            <v>Indiana Tube Corporation</v>
          </cell>
          <cell r="B426">
            <v>37377</v>
          </cell>
          <cell r="C426">
            <v>1817</v>
          </cell>
          <cell r="D426">
            <v>1817</v>
          </cell>
          <cell r="E426" t="str">
            <v>N/A</v>
          </cell>
          <cell r="F426" t="str">
            <v>N/A</v>
          </cell>
          <cell r="G426">
            <v>1856</v>
          </cell>
          <cell r="H426">
            <v>1856</v>
          </cell>
          <cell r="I426" t="str">
            <v>N/A</v>
          </cell>
          <cell r="J426" t="str">
            <v>N/A</v>
          </cell>
          <cell r="K426">
            <v>753.54</v>
          </cell>
          <cell r="L426">
            <v>0</v>
          </cell>
          <cell r="M426">
            <v>75</v>
          </cell>
          <cell r="N426">
            <v>0</v>
          </cell>
          <cell r="O426">
            <v>0</v>
          </cell>
          <cell r="P426">
            <v>0</v>
          </cell>
          <cell r="Q426">
            <v>0</v>
          </cell>
          <cell r="R426">
            <v>0</v>
          </cell>
          <cell r="S426">
            <v>0</v>
          </cell>
          <cell r="T426">
            <v>0</v>
          </cell>
          <cell r="U426">
            <v>0</v>
          </cell>
          <cell r="V426">
            <v>35</v>
          </cell>
          <cell r="W426">
            <v>0</v>
          </cell>
          <cell r="X426">
            <v>0</v>
          </cell>
          <cell r="Y426">
            <v>0</v>
          </cell>
          <cell r="Z426">
            <v>0</v>
          </cell>
          <cell r="AA426">
            <v>863.54</v>
          </cell>
        </row>
        <row r="427">
          <cell r="A427" t="str">
            <v>Indiana Tube Corporation</v>
          </cell>
          <cell r="B427">
            <v>37408</v>
          </cell>
          <cell r="C427">
            <v>1632</v>
          </cell>
          <cell r="D427">
            <v>1632</v>
          </cell>
          <cell r="E427" t="str">
            <v>N/A</v>
          </cell>
          <cell r="F427" t="str">
            <v>N/A</v>
          </cell>
          <cell r="G427">
            <v>0</v>
          </cell>
          <cell r="H427">
            <v>0</v>
          </cell>
          <cell r="I427" t="str">
            <v>N/A</v>
          </cell>
          <cell r="J427" t="str">
            <v>N/A</v>
          </cell>
          <cell r="K427">
            <v>0</v>
          </cell>
          <cell r="L427">
            <v>0</v>
          </cell>
          <cell r="M427">
            <v>75</v>
          </cell>
          <cell r="N427">
            <v>0</v>
          </cell>
          <cell r="O427">
            <v>0</v>
          </cell>
          <cell r="P427">
            <v>0</v>
          </cell>
          <cell r="Q427">
            <v>0</v>
          </cell>
          <cell r="R427">
            <v>0</v>
          </cell>
          <cell r="S427">
            <v>0</v>
          </cell>
          <cell r="T427">
            <v>0</v>
          </cell>
          <cell r="U427">
            <v>0</v>
          </cell>
          <cell r="V427">
            <v>35</v>
          </cell>
          <cell r="W427">
            <v>0</v>
          </cell>
          <cell r="X427">
            <v>0</v>
          </cell>
          <cell r="Y427">
            <v>0</v>
          </cell>
          <cell r="Z427">
            <v>0</v>
          </cell>
          <cell r="AA427">
            <v>110</v>
          </cell>
        </row>
        <row r="428">
          <cell r="A428" t="str">
            <v>Indiana Tube Corporation</v>
          </cell>
          <cell r="B428">
            <v>37438</v>
          </cell>
          <cell r="C428">
            <v>1650</v>
          </cell>
          <cell r="D428">
            <v>1650</v>
          </cell>
          <cell r="E428" t="str">
            <v>N/A</v>
          </cell>
          <cell r="F428" t="str">
            <v>N/A</v>
          </cell>
          <cell r="G428">
            <v>0</v>
          </cell>
          <cell r="H428">
            <v>0</v>
          </cell>
          <cell r="I428" t="str">
            <v>N/A</v>
          </cell>
          <cell r="J428" t="str">
            <v>N/A</v>
          </cell>
          <cell r="K428">
            <v>0</v>
          </cell>
          <cell r="L428">
            <v>0</v>
          </cell>
          <cell r="M428">
            <v>75</v>
          </cell>
          <cell r="N428">
            <v>0</v>
          </cell>
          <cell r="O428">
            <v>0</v>
          </cell>
          <cell r="P428">
            <v>0</v>
          </cell>
          <cell r="Q428">
            <v>0</v>
          </cell>
          <cell r="R428">
            <v>0</v>
          </cell>
          <cell r="S428">
            <v>0</v>
          </cell>
          <cell r="T428">
            <v>0</v>
          </cell>
          <cell r="U428">
            <v>0</v>
          </cell>
          <cell r="V428">
            <v>35</v>
          </cell>
          <cell r="W428">
            <v>0</v>
          </cell>
          <cell r="X428">
            <v>0</v>
          </cell>
          <cell r="Y428">
            <v>0</v>
          </cell>
          <cell r="Z428">
            <v>0</v>
          </cell>
          <cell r="AA428">
            <v>110</v>
          </cell>
        </row>
        <row r="429">
          <cell r="A429" t="str">
            <v>Inland Paperboard &amp; Packaging, Inc.</v>
          </cell>
          <cell r="B429">
            <v>37104</v>
          </cell>
          <cell r="C429">
            <v>3836</v>
          </cell>
          <cell r="D429">
            <v>3836</v>
          </cell>
          <cell r="E429" t="str">
            <v>N/A</v>
          </cell>
          <cell r="F429" t="str">
            <v>N/A</v>
          </cell>
          <cell r="G429">
            <v>3898</v>
          </cell>
          <cell r="H429">
            <v>3898</v>
          </cell>
          <cell r="I429" t="str">
            <v>N/A</v>
          </cell>
          <cell r="J429" t="str">
            <v>N/A</v>
          </cell>
          <cell r="K429">
            <v>1582.59</v>
          </cell>
          <cell r="L429">
            <v>0</v>
          </cell>
          <cell r="M429">
            <v>75</v>
          </cell>
          <cell r="N429">
            <v>0</v>
          </cell>
          <cell r="O429">
            <v>0</v>
          </cell>
          <cell r="P429">
            <v>0</v>
          </cell>
          <cell r="Q429">
            <v>0</v>
          </cell>
          <cell r="R429">
            <v>0</v>
          </cell>
          <cell r="S429">
            <v>3898</v>
          </cell>
          <cell r="T429">
            <v>11.69</v>
          </cell>
          <cell r="U429">
            <v>0</v>
          </cell>
          <cell r="V429">
            <v>35</v>
          </cell>
          <cell r="W429">
            <v>0</v>
          </cell>
          <cell r="X429">
            <v>0</v>
          </cell>
          <cell r="Y429">
            <v>0</v>
          </cell>
          <cell r="Z429">
            <v>0</v>
          </cell>
          <cell r="AA429">
            <v>1704.28</v>
          </cell>
        </row>
        <row r="430">
          <cell r="A430" t="str">
            <v>Inland Paperboard &amp; Packaging, Inc.</v>
          </cell>
          <cell r="B430">
            <v>37135</v>
          </cell>
          <cell r="C430">
            <v>4287</v>
          </cell>
          <cell r="D430">
            <v>4287</v>
          </cell>
          <cell r="E430" t="str">
            <v>N/A</v>
          </cell>
          <cell r="F430" t="str">
            <v>N/A</v>
          </cell>
          <cell r="G430">
            <v>4357</v>
          </cell>
          <cell r="H430">
            <v>4357</v>
          </cell>
          <cell r="I430" t="str">
            <v>N/A</v>
          </cell>
          <cell r="J430" t="str">
            <v>N/A</v>
          </cell>
          <cell r="K430">
            <v>1768.94</v>
          </cell>
          <cell r="L430">
            <v>0</v>
          </cell>
          <cell r="M430">
            <v>75</v>
          </cell>
          <cell r="N430">
            <v>0</v>
          </cell>
          <cell r="O430">
            <v>0</v>
          </cell>
          <cell r="P430">
            <v>0</v>
          </cell>
          <cell r="Q430">
            <v>0</v>
          </cell>
          <cell r="R430">
            <v>0</v>
          </cell>
          <cell r="S430">
            <v>4357</v>
          </cell>
          <cell r="T430">
            <v>13.07</v>
          </cell>
          <cell r="U430">
            <v>0</v>
          </cell>
          <cell r="V430">
            <v>35</v>
          </cell>
          <cell r="W430">
            <v>0</v>
          </cell>
          <cell r="X430">
            <v>0</v>
          </cell>
          <cell r="Y430">
            <v>0</v>
          </cell>
          <cell r="Z430">
            <v>0</v>
          </cell>
          <cell r="AA430">
            <v>1892.01</v>
          </cell>
        </row>
        <row r="431">
          <cell r="A431" t="str">
            <v>Inland Paperboard &amp; Packaging, Inc.</v>
          </cell>
          <cell r="B431">
            <v>37165</v>
          </cell>
          <cell r="C431">
            <v>6625</v>
          </cell>
          <cell r="D431">
            <v>6625</v>
          </cell>
          <cell r="E431" t="str">
            <v>N/A</v>
          </cell>
          <cell r="F431" t="str">
            <v>N/A</v>
          </cell>
          <cell r="G431">
            <v>6733</v>
          </cell>
          <cell r="H431">
            <v>6733</v>
          </cell>
          <cell r="I431" t="str">
            <v>N/A</v>
          </cell>
          <cell r="J431" t="str">
            <v>N/A</v>
          </cell>
          <cell r="K431">
            <v>2733.6</v>
          </cell>
          <cell r="L431">
            <v>0</v>
          </cell>
          <cell r="M431">
            <v>75</v>
          </cell>
          <cell r="N431">
            <v>0</v>
          </cell>
          <cell r="O431">
            <v>0</v>
          </cell>
          <cell r="P431">
            <v>0</v>
          </cell>
          <cell r="Q431">
            <v>0</v>
          </cell>
          <cell r="R431">
            <v>0</v>
          </cell>
          <cell r="S431">
            <v>6733</v>
          </cell>
          <cell r="T431">
            <v>20.2</v>
          </cell>
          <cell r="U431">
            <v>0</v>
          </cell>
          <cell r="V431">
            <v>35</v>
          </cell>
          <cell r="W431">
            <v>0</v>
          </cell>
          <cell r="X431">
            <v>0</v>
          </cell>
          <cell r="Y431">
            <v>0</v>
          </cell>
          <cell r="Z431">
            <v>0</v>
          </cell>
          <cell r="AA431">
            <v>2863.8</v>
          </cell>
        </row>
        <row r="432">
          <cell r="A432" t="str">
            <v>Inland Paperboard &amp; Packaging, Inc.</v>
          </cell>
          <cell r="B432">
            <v>37196</v>
          </cell>
          <cell r="C432">
            <v>8263</v>
          </cell>
          <cell r="D432">
            <v>8263</v>
          </cell>
          <cell r="E432" t="str">
            <v>N/A</v>
          </cell>
          <cell r="F432" t="str">
            <v>N/A</v>
          </cell>
          <cell r="G432">
            <v>8397</v>
          </cell>
          <cell r="H432">
            <v>8397</v>
          </cell>
          <cell r="I432" t="str">
            <v>N/A</v>
          </cell>
          <cell r="J432" t="str">
            <v>N/A</v>
          </cell>
          <cell r="K432">
            <v>3409.18</v>
          </cell>
          <cell r="L432">
            <v>0</v>
          </cell>
          <cell r="M432">
            <v>75</v>
          </cell>
          <cell r="N432">
            <v>0</v>
          </cell>
          <cell r="O432">
            <v>0</v>
          </cell>
          <cell r="P432">
            <v>0</v>
          </cell>
          <cell r="Q432">
            <v>0</v>
          </cell>
          <cell r="R432">
            <v>0</v>
          </cell>
          <cell r="S432">
            <v>8397</v>
          </cell>
          <cell r="T432">
            <v>25.19</v>
          </cell>
          <cell r="U432">
            <v>0</v>
          </cell>
          <cell r="V432">
            <v>35</v>
          </cell>
          <cell r="W432">
            <v>0</v>
          </cell>
          <cell r="X432">
            <v>0</v>
          </cell>
          <cell r="Y432">
            <v>0</v>
          </cell>
          <cell r="Z432">
            <v>0</v>
          </cell>
          <cell r="AA432">
            <v>3544.37</v>
          </cell>
        </row>
        <row r="433">
          <cell r="A433" t="str">
            <v>Inland Paperboard &amp; Packaging, Inc.</v>
          </cell>
          <cell r="B433">
            <v>37226</v>
          </cell>
          <cell r="C433">
            <v>8745</v>
          </cell>
          <cell r="D433">
            <v>8745</v>
          </cell>
          <cell r="E433" t="str">
            <v>N/A</v>
          </cell>
          <cell r="F433" t="str">
            <v>N/A</v>
          </cell>
          <cell r="G433">
            <v>8887</v>
          </cell>
          <cell r="H433">
            <v>8887</v>
          </cell>
          <cell r="I433" t="str">
            <v>N/A</v>
          </cell>
          <cell r="J433" t="str">
            <v>N/A</v>
          </cell>
          <cell r="K433">
            <v>3608.12</v>
          </cell>
          <cell r="L433">
            <v>0</v>
          </cell>
          <cell r="M433">
            <v>75</v>
          </cell>
          <cell r="N433">
            <v>0</v>
          </cell>
          <cell r="O433">
            <v>0</v>
          </cell>
          <cell r="P433">
            <v>0</v>
          </cell>
          <cell r="Q433">
            <v>0</v>
          </cell>
          <cell r="R433">
            <v>0</v>
          </cell>
          <cell r="S433">
            <v>8887</v>
          </cell>
          <cell r="T433">
            <v>26.66</v>
          </cell>
          <cell r="U433">
            <v>0</v>
          </cell>
          <cell r="V433">
            <v>35</v>
          </cell>
          <cell r="W433">
            <v>0</v>
          </cell>
          <cell r="X433">
            <v>0</v>
          </cell>
          <cell r="Y433">
            <v>0</v>
          </cell>
          <cell r="Z433">
            <v>0</v>
          </cell>
          <cell r="AA433">
            <v>3744.78</v>
          </cell>
        </row>
        <row r="434">
          <cell r="A434" t="str">
            <v>Inland Paperboard &amp; Packaging, Inc.</v>
          </cell>
          <cell r="B434">
            <v>37257</v>
          </cell>
          <cell r="C434">
            <v>11565</v>
          </cell>
          <cell r="D434">
            <v>11565</v>
          </cell>
          <cell r="E434" t="str">
            <v>N/A</v>
          </cell>
          <cell r="F434" t="str">
            <v>N/A</v>
          </cell>
          <cell r="G434">
            <v>11753</v>
          </cell>
          <cell r="H434">
            <v>11753</v>
          </cell>
          <cell r="I434" t="str">
            <v>N/A</v>
          </cell>
          <cell r="J434" t="str">
            <v>N/A</v>
          </cell>
          <cell r="K434">
            <v>4771.72</v>
          </cell>
          <cell r="L434">
            <v>0</v>
          </cell>
          <cell r="M434">
            <v>75</v>
          </cell>
          <cell r="N434">
            <v>0</v>
          </cell>
          <cell r="O434">
            <v>0</v>
          </cell>
          <cell r="P434">
            <v>0</v>
          </cell>
          <cell r="Q434">
            <v>0</v>
          </cell>
          <cell r="R434">
            <v>0</v>
          </cell>
          <cell r="S434">
            <v>11753</v>
          </cell>
          <cell r="T434">
            <v>35.26</v>
          </cell>
          <cell r="U434">
            <v>0</v>
          </cell>
          <cell r="V434">
            <v>35</v>
          </cell>
          <cell r="W434">
            <v>0</v>
          </cell>
          <cell r="X434">
            <v>0</v>
          </cell>
          <cell r="Y434">
            <v>0</v>
          </cell>
          <cell r="Z434">
            <v>0</v>
          </cell>
          <cell r="AA434">
            <v>4916.9799999999996</v>
          </cell>
        </row>
        <row r="435">
          <cell r="A435" t="str">
            <v>Inland Paperboard &amp; Packaging, Inc.</v>
          </cell>
          <cell r="B435">
            <v>37288</v>
          </cell>
          <cell r="C435">
            <v>11366</v>
          </cell>
          <cell r="D435">
            <v>11366</v>
          </cell>
          <cell r="E435" t="str">
            <v>N/A</v>
          </cell>
          <cell r="F435" t="str">
            <v>N/A</v>
          </cell>
          <cell r="G435">
            <v>11670</v>
          </cell>
          <cell r="H435">
            <v>11670</v>
          </cell>
          <cell r="I435" t="str">
            <v>N/A</v>
          </cell>
          <cell r="J435" t="str">
            <v>N/A</v>
          </cell>
          <cell r="K435">
            <v>4738.0200000000004</v>
          </cell>
          <cell r="L435">
            <v>0</v>
          </cell>
          <cell r="M435">
            <v>75</v>
          </cell>
          <cell r="N435">
            <v>0</v>
          </cell>
          <cell r="O435">
            <v>0</v>
          </cell>
          <cell r="P435">
            <v>0</v>
          </cell>
          <cell r="Q435">
            <v>0</v>
          </cell>
          <cell r="R435">
            <v>0</v>
          </cell>
          <cell r="S435">
            <v>11670</v>
          </cell>
          <cell r="T435">
            <v>-11.67</v>
          </cell>
          <cell r="U435">
            <v>0</v>
          </cell>
          <cell r="V435">
            <v>35</v>
          </cell>
          <cell r="W435">
            <v>0</v>
          </cell>
          <cell r="X435">
            <v>0</v>
          </cell>
          <cell r="Y435">
            <v>0</v>
          </cell>
          <cell r="Z435">
            <v>0</v>
          </cell>
          <cell r="AA435">
            <v>4836.3500000000004</v>
          </cell>
        </row>
        <row r="436">
          <cell r="A436" t="str">
            <v>Inland Paperboard &amp; Packaging, Inc.</v>
          </cell>
          <cell r="B436">
            <v>37316</v>
          </cell>
          <cell r="C436">
            <v>10032</v>
          </cell>
          <cell r="D436">
            <v>10032</v>
          </cell>
          <cell r="E436" t="str">
            <v>N/A</v>
          </cell>
          <cell r="F436" t="str">
            <v>N/A</v>
          </cell>
          <cell r="G436">
            <v>10190</v>
          </cell>
          <cell r="H436">
            <v>10190</v>
          </cell>
          <cell r="I436" t="str">
            <v>N/A</v>
          </cell>
          <cell r="J436" t="str">
            <v>N/A</v>
          </cell>
          <cell r="K436">
            <v>4137.1400000000003</v>
          </cell>
          <cell r="L436">
            <v>0</v>
          </cell>
          <cell r="M436">
            <v>75</v>
          </cell>
          <cell r="N436">
            <v>0</v>
          </cell>
          <cell r="O436">
            <v>0</v>
          </cell>
          <cell r="P436">
            <v>0</v>
          </cell>
          <cell r="Q436">
            <v>0</v>
          </cell>
          <cell r="R436">
            <v>0</v>
          </cell>
          <cell r="S436">
            <v>10190</v>
          </cell>
          <cell r="T436">
            <v>-10.19</v>
          </cell>
          <cell r="U436">
            <v>0</v>
          </cell>
          <cell r="V436">
            <v>35</v>
          </cell>
          <cell r="W436">
            <v>0</v>
          </cell>
          <cell r="X436">
            <v>0</v>
          </cell>
          <cell r="Y436">
            <v>0</v>
          </cell>
          <cell r="Z436">
            <v>0</v>
          </cell>
          <cell r="AA436">
            <v>4236.95</v>
          </cell>
        </row>
        <row r="437">
          <cell r="A437" t="str">
            <v>Inland Paperboard &amp; Packaging, Inc.</v>
          </cell>
          <cell r="B437">
            <v>37347</v>
          </cell>
          <cell r="C437">
            <v>6992</v>
          </cell>
          <cell r="D437">
            <v>6992</v>
          </cell>
          <cell r="E437" t="str">
            <v>N/A</v>
          </cell>
          <cell r="F437" t="str">
            <v>N/A</v>
          </cell>
          <cell r="G437">
            <v>7084</v>
          </cell>
          <cell r="H437">
            <v>7084</v>
          </cell>
          <cell r="I437" t="str">
            <v>N/A</v>
          </cell>
          <cell r="J437" t="str">
            <v>N/A</v>
          </cell>
          <cell r="K437">
            <v>2876.1</v>
          </cell>
          <cell r="L437">
            <v>0</v>
          </cell>
          <cell r="M437">
            <v>75</v>
          </cell>
          <cell r="N437">
            <v>0</v>
          </cell>
          <cell r="O437">
            <v>0</v>
          </cell>
          <cell r="P437">
            <v>0</v>
          </cell>
          <cell r="Q437">
            <v>0</v>
          </cell>
          <cell r="R437">
            <v>0</v>
          </cell>
          <cell r="S437">
            <v>7084</v>
          </cell>
          <cell r="T437">
            <v>-7.08</v>
          </cell>
          <cell r="U437">
            <v>0</v>
          </cell>
          <cell r="V437">
            <v>35</v>
          </cell>
          <cell r="W437">
            <v>0</v>
          </cell>
          <cell r="X437">
            <v>0</v>
          </cell>
          <cell r="Y437">
            <v>0</v>
          </cell>
          <cell r="Z437">
            <v>0</v>
          </cell>
          <cell r="AA437">
            <v>2979.02</v>
          </cell>
        </row>
        <row r="438">
          <cell r="A438" t="str">
            <v>Inland Paperboard &amp; Packaging, Inc.</v>
          </cell>
          <cell r="B438">
            <v>37377</v>
          </cell>
          <cell r="C438">
            <v>5727</v>
          </cell>
          <cell r="D438">
            <v>5727</v>
          </cell>
          <cell r="E438" t="str">
            <v>N/A</v>
          </cell>
          <cell r="F438" t="str">
            <v>N/A</v>
          </cell>
          <cell r="G438">
            <v>5900</v>
          </cell>
          <cell r="H438">
            <v>5900</v>
          </cell>
          <cell r="I438" t="str">
            <v>N/A</v>
          </cell>
          <cell r="J438" t="str">
            <v>N/A</v>
          </cell>
          <cell r="K438">
            <v>2395.4</v>
          </cell>
          <cell r="L438">
            <v>0</v>
          </cell>
          <cell r="M438">
            <v>75</v>
          </cell>
          <cell r="N438">
            <v>0</v>
          </cell>
          <cell r="O438">
            <v>0</v>
          </cell>
          <cell r="P438">
            <v>0</v>
          </cell>
          <cell r="Q438">
            <v>0</v>
          </cell>
          <cell r="R438">
            <v>0</v>
          </cell>
          <cell r="S438">
            <v>0</v>
          </cell>
          <cell r="T438">
            <v>0</v>
          </cell>
          <cell r="U438">
            <v>0</v>
          </cell>
          <cell r="V438">
            <v>35</v>
          </cell>
          <cell r="W438">
            <v>0</v>
          </cell>
          <cell r="X438">
            <v>0</v>
          </cell>
          <cell r="Y438">
            <v>0</v>
          </cell>
          <cell r="Z438">
            <v>0</v>
          </cell>
          <cell r="AA438">
            <v>2505.4</v>
          </cell>
        </row>
        <row r="439">
          <cell r="A439" t="str">
            <v>Inland Paperboard &amp; Packaging, Inc.</v>
          </cell>
          <cell r="B439">
            <v>37408</v>
          </cell>
          <cell r="C439">
            <v>3682</v>
          </cell>
          <cell r="D439">
            <v>3682</v>
          </cell>
          <cell r="E439" t="str">
            <v>N/A</v>
          </cell>
          <cell r="F439" t="str">
            <v>N/A</v>
          </cell>
          <cell r="G439">
            <v>3800</v>
          </cell>
          <cell r="H439">
            <v>3800</v>
          </cell>
          <cell r="I439" t="str">
            <v>N/A</v>
          </cell>
          <cell r="J439" t="str">
            <v>N/A</v>
          </cell>
          <cell r="K439">
            <v>1542.8</v>
          </cell>
          <cell r="L439">
            <v>0</v>
          </cell>
          <cell r="M439">
            <v>75</v>
          </cell>
          <cell r="N439">
            <v>0</v>
          </cell>
          <cell r="O439">
            <v>0</v>
          </cell>
          <cell r="P439">
            <v>0</v>
          </cell>
          <cell r="Q439">
            <v>0</v>
          </cell>
          <cell r="R439">
            <v>0</v>
          </cell>
          <cell r="S439">
            <v>0</v>
          </cell>
          <cell r="T439">
            <v>0</v>
          </cell>
          <cell r="U439">
            <v>0</v>
          </cell>
          <cell r="V439">
            <v>35</v>
          </cell>
          <cell r="W439">
            <v>0</v>
          </cell>
          <cell r="X439">
            <v>0</v>
          </cell>
          <cell r="Y439">
            <v>0</v>
          </cell>
          <cell r="Z439">
            <v>0</v>
          </cell>
          <cell r="AA439">
            <v>1652.8</v>
          </cell>
        </row>
        <row r="440">
          <cell r="A440" t="str">
            <v>Inland Paperboard &amp; Packaging, Inc.</v>
          </cell>
          <cell r="B440">
            <v>37438</v>
          </cell>
          <cell r="C440">
            <v>3727</v>
          </cell>
          <cell r="D440">
            <v>3727</v>
          </cell>
          <cell r="E440" t="str">
            <v>N/A</v>
          </cell>
          <cell r="F440" t="str">
            <v>N/A</v>
          </cell>
          <cell r="G440">
            <v>3680</v>
          </cell>
          <cell r="H440">
            <v>3680</v>
          </cell>
          <cell r="I440" t="str">
            <v>N/A</v>
          </cell>
          <cell r="J440" t="str">
            <v>N/A</v>
          </cell>
          <cell r="K440">
            <v>1494.08</v>
          </cell>
          <cell r="L440">
            <v>0</v>
          </cell>
          <cell r="M440">
            <v>75</v>
          </cell>
          <cell r="N440">
            <v>0</v>
          </cell>
          <cell r="O440">
            <v>0</v>
          </cell>
          <cell r="P440">
            <v>0</v>
          </cell>
          <cell r="Q440">
            <v>0</v>
          </cell>
          <cell r="R440">
            <v>0</v>
          </cell>
          <cell r="S440">
            <v>0</v>
          </cell>
          <cell r="T440">
            <v>0</v>
          </cell>
          <cell r="U440">
            <v>0</v>
          </cell>
          <cell r="V440">
            <v>35</v>
          </cell>
          <cell r="W440">
            <v>0</v>
          </cell>
          <cell r="X440">
            <v>0</v>
          </cell>
          <cell r="Y440">
            <v>0</v>
          </cell>
          <cell r="Z440">
            <v>0</v>
          </cell>
          <cell r="AA440">
            <v>1604.08</v>
          </cell>
        </row>
        <row r="441">
          <cell r="A441" t="str">
            <v>Kerry Ingredients (Modern Maid)</v>
          </cell>
          <cell r="B441">
            <v>37104</v>
          </cell>
          <cell r="C441">
            <v>7732</v>
          </cell>
          <cell r="D441">
            <v>7732</v>
          </cell>
          <cell r="E441" t="str">
            <v>N/A</v>
          </cell>
          <cell r="F441" t="str">
            <v>N/A</v>
          </cell>
          <cell r="G441">
            <v>7859</v>
          </cell>
          <cell r="H441">
            <v>7859</v>
          </cell>
          <cell r="I441" t="str">
            <v>N/A</v>
          </cell>
          <cell r="J441" t="str">
            <v>N/A</v>
          </cell>
          <cell r="K441">
            <v>3190.75</v>
          </cell>
          <cell r="L441">
            <v>0</v>
          </cell>
          <cell r="M441">
            <v>75</v>
          </cell>
          <cell r="N441">
            <v>0</v>
          </cell>
          <cell r="O441">
            <v>0</v>
          </cell>
          <cell r="P441">
            <v>0</v>
          </cell>
          <cell r="Q441">
            <v>0</v>
          </cell>
          <cell r="R441">
            <v>0</v>
          </cell>
          <cell r="S441">
            <v>7859</v>
          </cell>
          <cell r="T441">
            <v>23.58</v>
          </cell>
          <cell r="U441">
            <v>0</v>
          </cell>
          <cell r="V441">
            <v>35</v>
          </cell>
          <cell r="W441">
            <v>0</v>
          </cell>
          <cell r="X441">
            <v>0</v>
          </cell>
          <cell r="Y441">
            <v>0</v>
          </cell>
          <cell r="Z441">
            <v>0</v>
          </cell>
          <cell r="AA441">
            <v>3324.33</v>
          </cell>
        </row>
        <row r="442">
          <cell r="A442" t="str">
            <v>Kerry Ingredients (Modern Maid)</v>
          </cell>
          <cell r="B442">
            <v>37135</v>
          </cell>
          <cell r="C442">
            <v>7472</v>
          </cell>
          <cell r="D442">
            <v>7472</v>
          </cell>
          <cell r="E442" t="str">
            <v>N/A</v>
          </cell>
          <cell r="F442" t="str">
            <v>N/A</v>
          </cell>
          <cell r="G442">
            <v>7593</v>
          </cell>
          <cell r="H442">
            <v>7593</v>
          </cell>
          <cell r="I442" t="str">
            <v>N/A</v>
          </cell>
          <cell r="J442" t="str">
            <v>N/A</v>
          </cell>
          <cell r="K442">
            <v>3082.76</v>
          </cell>
          <cell r="L442">
            <v>0</v>
          </cell>
          <cell r="M442">
            <v>75</v>
          </cell>
          <cell r="N442">
            <v>0</v>
          </cell>
          <cell r="O442">
            <v>0</v>
          </cell>
          <cell r="P442">
            <v>0</v>
          </cell>
          <cell r="Q442">
            <v>0</v>
          </cell>
          <cell r="R442">
            <v>0</v>
          </cell>
          <cell r="S442">
            <v>7593</v>
          </cell>
          <cell r="T442">
            <v>22.78</v>
          </cell>
          <cell r="U442">
            <v>0</v>
          </cell>
          <cell r="V442">
            <v>35</v>
          </cell>
          <cell r="W442">
            <v>0</v>
          </cell>
          <cell r="X442">
            <v>0</v>
          </cell>
          <cell r="Y442">
            <v>0</v>
          </cell>
          <cell r="Z442">
            <v>0</v>
          </cell>
          <cell r="AA442">
            <v>3215.54</v>
          </cell>
        </row>
        <row r="443">
          <cell r="A443" t="str">
            <v>Kerry Ingredients (Modern Maid)</v>
          </cell>
          <cell r="B443">
            <v>37165</v>
          </cell>
          <cell r="C443">
            <v>8924</v>
          </cell>
          <cell r="D443">
            <v>8924</v>
          </cell>
          <cell r="E443" t="str">
            <v>N/A</v>
          </cell>
          <cell r="F443" t="str">
            <v>N/A</v>
          </cell>
          <cell r="G443">
            <v>9069</v>
          </cell>
          <cell r="H443">
            <v>9069</v>
          </cell>
          <cell r="I443" t="str">
            <v>N/A</v>
          </cell>
          <cell r="J443" t="str">
            <v>N/A</v>
          </cell>
          <cell r="K443">
            <v>3682.01</v>
          </cell>
          <cell r="L443">
            <v>0</v>
          </cell>
          <cell r="M443">
            <v>75</v>
          </cell>
          <cell r="N443">
            <v>0</v>
          </cell>
          <cell r="O443">
            <v>0</v>
          </cell>
          <cell r="P443">
            <v>0</v>
          </cell>
          <cell r="Q443">
            <v>0</v>
          </cell>
          <cell r="R443">
            <v>0</v>
          </cell>
          <cell r="S443">
            <v>9069</v>
          </cell>
          <cell r="T443">
            <v>27.21</v>
          </cell>
          <cell r="U443">
            <v>0</v>
          </cell>
          <cell r="V443">
            <v>35</v>
          </cell>
          <cell r="W443">
            <v>0</v>
          </cell>
          <cell r="X443">
            <v>0</v>
          </cell>
          <cell r="Y443">
            <v>0</v>
          </cell>
          <cell r="Z443">
            <v>0</v>
          </cell>
          <cell r="AA443">
            <v>3819.22</v>
          </cell>
        </row>
        <row r="444">
          <cell r="A444" t="str">
            <v>Kerry Ingredients (Modern Maid)</v>
          </cell>
          <cell r="B444">
            <v>37196</v>
          </cell>
          <cell r="C444">
            <v>7518</v>
          </cell>
          <cell r="D444">
            <v>7518</v>
          </cell>
          <cell r="E444" t="str">
            <v>N/A</v>
          </cell>
          <cell r="F444" t="str">
            <v>N/A</v>
          </cell>
          <cell r="G444">
            <v>7640</v>
          </cell>
          <cell r="H444">
            <v>7640</v>
          </cell>
          <cell r="I444" t="str">
            <v>N/A</v>
          </cell>
          <cell r="J444" t="str">
            <v>N/A</v>
          </cell>
          <cell r="K444">
            <v>3101.84</v>
          </cell>
          <cell r="L444">
            <v>0</v>
          </cell>
          <cell r="M444">
            <v>75</v>
          </cell>
          <cell r="N444">
            <v>0</v>
          </cell>
          <cell r="O444">
            <v>0</v>
          </cell>
          <cell r="P444">
            <v>0</v>
          </cell>
          <cell r="Q444">
            <v>0</v>
          </cell>
          <cell r="R444">
            <v>0</v>
          </cell>
          <cell r="S444">
            <v>7640</v>
          </cell>
          <cell r="T444">
            <v>22.92</v>
          </cell>
          <cell r="U444">
            <v>0</v>
          </cell>
          <cell r="V444">
            <v>35</v>
          </cell>
          <cell r="W444">
            <v>0</v>
          </cell>
          <cell r="X444">
            <v>0</v>
          </cell>
          <cell r="Y444">
            <v>0</v>
          </cell>
          <cell r="Z444">
            <v>0</v>
          </cell>
          <cell r="AA444">
            <v>3234.76</v>
          </cell>
        </row>
        <row r="445">
          <cell r="A445" t="str">
            <v>Kerry Ingredients (Modern Maid)</v>
          </cell>
          <cell r="B445">
            <v>37226</v>
          </cell>
          <cell r="C445">
            <v>6827</v>
          </cell>
          <cell r="D445">
            <v>6827</v>
          </cell>
          <cell r="E445" t="str">
            <v>N/A</v>
          </cell>
          <cell r="F445" t="str">
            <v>N/A</v>
          </cell>
          <cell r="G445">
            <v>6827</v>
          </cell>
          <cell r="H445">
            <v>6827</v>
          </cell>
          <cell r="I445" t="str">
            <v>N/A</v>
          </cell>
          <cell r="J445" t="str">
            <v>N/A</v>
          </cell>
          <cell r="K445">
            <v>2771.76</v>
          </cell>
          <cell r="L445">
            <v>0</v>
          </cell>
          <cell r="M445">
            <v>75</v>
          </cell>
          <cell r="N445">
            <v>0</v>
          </cell>
          <cell r="O445">
            <v>0</v>
          </cell>
          <cell r="P445">
            <v>0</v>
          </cell>
          <cell r="Q445">
            <v>0</v>
          </cell>
          <cell r="R445">
            <v>0</v>
          </cell>
          <cell r="S445">
            <v>6827</v>
          </cell>
          <cell r="T445">
            <v>20.48</v>
          </cell>
          <cell r="U445">
            <v>0</v>
          </cell>
          <cell r="V445">
            <v>35</v>
          </cell>
          <cell r="W445">
            <v>0</v>
          </cell>
          <cell r="X445">
            <v>0</v>
          </cell>
          <cell r="Y445">
            <v>0</v>
          </cell>
          <cell r="Z445">
            <v>0</v>
          </cell>
          <cell r="AA445">
            <v>2902.24</v>
          </cell>
        </row>
        <row r="446">
          <cell r="A446" t="str">
            <v>Kerry Ingredients (Modern Maid)</v>
          </cell>
          <cell r="B446">
            <v>37257</v>
          </cell>
          <cell r="C446">
            <v>9174</v>
          </cell>
          <cell r="D446">
            <v>9174</v>
          </cell>
          <cell r="E446" t="str">
            <v>N/A</v>
          </cell>
          <cell r="F446" t="str">
            <v>N/A</v>
          </cell>
          <cell r="G446">
            <v>9317</v>
          </cell>
          <cell r="H446">
            <v>9317</v>
          </cell>
          <cell r="I446" t="str">
            <v>N/A</v>
          </cell>
          <cell r="J446" t="str">
            <v>N/A</v>
          </cell>
          <cell r="K446">
            <v>3782.7</v>
          </cell>
          <cell r="L446">
            <v>0</v>
          </cell>
          <cell r="M446">
            <v>75</v>
          </cell>
          <cell r="N446">
            <v>0</v>
          </cell>
          <cell r="O446">
            <v>0</v>
          </cell>
          <cell r="P446">
            <v>0</v>
          </cell>
          <cell r="Q446">
            <v>0</v>
          </cell>
          <cell r="R446">
            <v>0</v>
          </cell>
          <cell r="S446">
            <v>9317</v>
          </cell>
          <cell r="T446">
            <v>27.95</v>
          </cell>
          <cell r="U446">
            <v>0</v>
          </cell>
          <cell r="V446">
            <v>35</v>
          </cell>
          <cell r="W446">
            <v>0</v>
          </cell>
          <cell r="X446">
            <v>0</v>
          </cell>
          <cell r="Y446">
            <v>0</v>
          </cell>
          <cell r="Z446">
            <v>0</v>
          </cell>
          <cell r="AA446">
            <v>3920.65</v>
          </cell>
        </row>
        <row r="447">
          <cell r="A447" t="str">
            <v>Kerry Ingredients (Modern Maid)</v>
          </cell>
          <cell r="B447">
            <v>37288</v>
          </cell>
          <cell r="C447">
            <v>8001</v>
          </cell>
          <cell r="D447">
            <v>8001</v>
          </cell>
          <cell r="E447" t="str">
            <v>N/A</v>
          </cell>
          <cell r="F447" t="str">
            <v>N/A</v>
          </cell>
          <cell r="G447">
            <v>8260</v>
          </cell>
          <cell r="H447">
            <v>8260</v>
          </cell>
          <cell r="I447" t="str">
            <v>N/A</v>
          </cell>
          <cell r="J447" t="str">
            <v>N/A</v>
          </cell>
          <cell r="K447">
            <v>3353.56</v>
          </cell>
          <cell r="L447">
            <v>0</v>
          </cell>
          <cell r="M447">
            <v>75</v>
          </cell>
          <cell r="N447">
            <v>0</v>
          </cell>
          <cell r="O447">
            <v>0</v>
          </cell>
          <cell r="P447">
            <v>0</v>
          </cell>
          <cell r="Q447">
            <v>0</v>
          </cell>
          <cell r="R447">
            <v>0</v>
          </cell>
          <cell r="S447">
            <v>8260</v>
          </cell>
          <cell r="T447">
            <v>-8.26</v>
          </cell>
          <cell r="U447">
            <v>0</v>
          </cell>
          <cell r="V447">
            <v>35</v>
          </cell>
          <cell r="W447">
            <v>0</v>
          </cell>
          <cell r="X447">
            <v>0</v>
          </cell>
          <cell r="Y447">
            <v>0</v>
          </cell>
          <cell r="Z447">
            <v>0</v>
          </cell>
          <cell r="AA447">
            <v>3455.3</v>
          </cell>
        </row>
        <row r="448">
          <cell r="A448" t="str">
            <v>Kerry Ingredients (Modern Maid)</v>
          </cell>
          <cell r="B448">
            <v>37316</v>
          </cell>
          <cell r="C448">
            <v>7480</v>
          </cell>
          <cell r="D448">
            <v>7480</v>
          </cell>
          <cell r="E448" t="str">
            <v>N/A</v>
          </cell>
          <cell r="F448" t="str">
            <v>N/A</v>
          </cell>
          <cell r="G448">
            <v>7598</v>
          </cell>
          <cell r="H448">
            <v>7598</v>
          </cell>
          <cell r="I448" t="str">
            <v>N/A</v>
          </cell>
          <cell r="J448" t="str">
            <v>N/A</v>
          </cell>
          <cell r="K448">
            <v>3084.79</v>
          </cell>
          <cell r="L448">
            <v>0</v>
          </cell>
          <cell r="M448">
            <v>75</v>
          </cell>
          <cell r="N448">
            <v>0</v>
          </cell>
          <cell r="O448">
            <v>0</v>
          </cell>
          <cell r="P448">
            <v>0</v>
          </cell>
          <cell r="Q448">
            <v>0</v>
          </cell>
          <cell r="R448">
            <v>0</v>
          </cell>
          <cell r="S448">
            <v>7598</v>
          </cell>
          <cell r="T448">
            <v>-7.6</v>
          </cell>
          <cell r="U448">
            <v>0</v>
          </cell>
          <cell r="V448">
            <v>35</v>
          </cell>
          <cell r="W448">
            <v>0</v>
          </cell>
          <cell r="X448">
            <v>0</v>
          </cell>
          <cell r="Y448">
            <v>0</v>
          </cell>
          <cell r="Z448">
            <v>0</v>
          </cell>
          <cell r="AA448">
            <v>3187.19</v>
          </cell>
        </row>
        <row r="449">
          <cell r="A449" t="str">
            <v>Kerry Ingredients (Modern Maid)</v>
          </cell>
          <cell r="B449">
            <v>37347</v>
          </cell>
          <cell r="C449">
            <v>7764</v>
          </cell>
          <cell r="D449">
            <v>7764</v>
          </cell>
          <cell r="E449" t="str">
            <v>N/A</v>
          </cell>
          <cell r="F449" t="str">
            <v>N/A</v>
          </cell>
          <cell r="G449">
            <v>7879</v>
          </cell>
          <cell r="H449">
            <v>7879</v>
          </cell>
          <cell r="I449" t="str">
            <v>N/A</v>
          </cell>
          <cell r="J449" t="str">
            <v>N/A</v>
          </cell>
          <cell r="K449">
            <v>3198.87</v>
          </cell>
          <cell r="L449">
            <v>0</v>
          </cell>
          <cell r="M449">
            <v>75</v>
          </cell>
          <cell r="N449">
            <v>0</v>
          </cell>
          <cell r="O449">
            <v>0</v>
          </cell>
          <cell r="P449">
            <v>0</v>
          </cell>
          <cell r="Q449">
            <v>0</v>
          </cell>
          <cell r="R449">
            <v>0</v>
          </cell>
          <cell r="S449">
            <v>7879</v>
          </cell>
          <cell r="T449">
            <v>-7.88</v>
          </cell>
          <cell r="U449">
            <v>0</v>
          </cell>
          <cell r="V449">
            <v>35</v>
          </cell>
          <cell r="W449">
            <v>0</v>
          </cell>
          <cell r="X449">
            <v>0</v>
          </cell>
          <cell r="Y449">
            <v>0</v>
          </cell>
          <cell r="Z449">
            <v>0</v>
          </cell>
          <cell r="AA449">
            <v>3300.99</v>
          </cell>
        </row>
        <row r="450">
          <cell r="A450" t="str">
            <v>Kerry Ingredients (Modern Maid)</v>
          </cell>
          <cell r="B450">
            <v>37377</v>
          </cell>
          <cell r="C450">
            <v>7396</v>
          </cell>
          <cell r="D450">
            <v>7396</v>
          </cell>
          <cell r="E450" t="str">
            <v>N/A</v>
          </cell>
          <cell r="F450" t="str">
            <v>N/A</v>
          </cell>
          <cell r="G450">
            <v>7521</v>
          </cell>
          <cell r="H450">
            <v>7521</v>
          </cell>
          <cell r="I450" t="str">
            <v>N/A</v>
          </cell>
          <cell r="J450" t="str">
            <v>N/A</v>
          </cell>
          <cell r="K450">
            <v>3053.53</v>
          </cell>
          <cell r="L450">
            <v>0</v>
          </cell>
          <cell r="M450">
            <v>75</v>
          </cell>
          <cell r="N450">
            <v>0</v>
          </cell>
          <cell r="O450">
            <v>0</v>
          </cell>
          <cell r="P450">
            <v>0</v>
          </cell>
          <cell r="Q450">
            <v>0</v>
          </cell>
          <cell r="R450">
            <v>0</v>
          </cell>
          <cell r="S450">
            <v>0</v>
          </cell>
          <cell r="T450">
            <v>0</v>
          </cell>
          <cell r="U450">
            <v>0</v>
          </cell>
          <cell r="V450">
            <v>35</v>
          </cell>
          <cell r="W450">
            <v>0</v>
          </cell>
          <cell r="X450">
            <v>0</v>
          </cell>
          <cell r="Y450">
            <v>0</v>
          </cell>
          <cell r="Z450">
            <v>0</v>
          </cell>
          <cell r="AA450">
            <v>3163.53</v>
          </cell>
        </row>
        <row r="451">
          <cell r="A451" t="str">
            <v>Kerry Ingredients (Modern Maid)</v>
          </cell>
          <cell r="B451">
            <v>37408</v>
          </cell>
          <cell r="C451">
            <v>6788</v>
          </cell>
          <cell r="D451">
            <v>6788</v>
          </cell>
          <cell r="E451" t="str">
            <v>N/A</v>
          </cell>
          <cell r="F451" t="str">
            <v>N/A</v>
          </cell>
          <cell r="G451">
            <v>7402</v>
          </cell>
          <cell r="H451">
            <v>7402</v>
          </cell>
          <cell r="I451" t="str">
            <v>N/A</v>
          </cell>
          <cell r="J451" t="str">
            <v>N/A</v>
          </cell>
          <cell r="K451">
            <v>3005.21</v>
          </cell>
          <cell r="L451">
            <v>0</v>
          </cell>
          <cell r="M451">
            <v>75</v>
          </cell>
          <cell r="N451">
            <v>0</v>
          </cell>
          <cell r="O451">
            <v>0</v>
          </cell>
          <cell r="P451">
            <v>0</v>
          </cell>
          <cell r="Q451">
            <v>0</v>
          </cell>
          <cell r="R451">
            <v>0</v>
          </cell>
          <cell r="S451">
            <v>0</v>
          </cell>
          <cell r="T451">
            <v>0</v>
          </cell>
          <cell r="U451">
            <v>0</v>
          </cell>
          <cell r="V451">
            <v>35</v>
          </cell>
          <cell r="W451">
            <v>0</v>
          </cell>
          <cell r="X451">
            <v>0</v>
          </cell>
          <cell r="Y451">
            <v>0</v>
          </cell>
          <cell r="Z451">
            <v>0</v>
          </cell>
          <cell r="AA451">
            <v>3115.21</v>
          </cell>
        </row>
        <row r="452">
          <cell r="A452" t="str">
            <v>Kerry Ingredients (Modern Maid)</v>
          </cell>
          <cell r="B452">
            <v>37438</v>
          </cell>
          <cell r="C452">
            <v>5773</v>
          </cell>
          <cell r="D452">
            <v>5773</v>
          </cell>
          <cell r="E452" t="str">
            <v>N/A</v>
          </cell>
          <cell r="F452" t="str">
            <v>N/A</v>
          </cell>
          <cell r="G452">
            <v>6000</v>
          </cell>
          <cell r="H452">
            <v>6000</v>
          </cell>
          <cell r="I452" t="str">
            <v>N/A</v>
          </cell>
          <cell r="J452" t="str">
            <v>N/A</v>
          </cell>
          <cell r="K452">
            <v>2436</v>
          </cell>
          <cell r="L452">
            <v>0</v>
          </cell>
          <cell r="M452">
            <v>75</v>
          </cell>
          <cell r="N452">
            <v>0</v>
          </cell>
          <cell r="O452">
            <v>0</v>
          </cell>
          <cell r="P452">
            <v>0</v>
          </cell>
          <cell r="Q452">
            <v>0</v>
          </cell>
          <cell r="R452">
            <v>0</v>
          </cell>
          <cell r="S452">
            <v>0</v>
          </cell>
          <cell r="T452">
            <v>0</v>
          </cell>
          <cell r="U452">
            <v>0</v>
          </cell>
          <cell r="V452">
            <v>35</v>
          </cell>
          <cell r="W452">
            <v>0</v>
          </cell>
          <cell r="X452">
            <v>0</v>
          </cell>
          <cell r="Y452">
            <v>0</v>
          </cell>
          <cell r="Z452">
            <v>0</v>
          </cell>
          <cell r="AA452">
            <v>2546</v>
          </cell>
        </row>
        <row r="453">
          <cell r="A453" t="str">
            <v>Mead Johnson – Evansville Plant</v>
          </cell>
          <cell r="B453">
            <v>37104</v>
          </cell>
          <cell r="C453">
            <v>38545</v>
          </cell>
          <cell r="D453">
            <v>38545</v>
          </cell>
          <cell r="E453" t="str">
            <v>N/A</v>
          </cell>
          <cell r="F453" t="str">
            <v>N/A</v>
          </cell>
          <cell r="G453">
            <v>35500</v>
          </cell>
          <cell r="H453">
            <v>35500</v>
          </cell>
          <cell r="I453" t="str">
            <v>N/A</v>
          </cell>
          <cell r="J453" t="str">
            <v>N/A</v>
          </cell>
          <cell r="K453">
            <v>6035</v>
          </cell>
          <cell r="L453">
            <v>0</v>
          </cell>
          <cell r="M453">
            <v>75</v>
          </cell>
          <cell r="N453">
            <v>0</v>
          </cell>
          <cell r="O453">
            <v>0</v>
          </cell>
          <cell r="P453">
            <v>0</v>
          </cell>
          <cell r="Q453">
            <v>0</v>
          </cell>
          <cell r="R453">
            <v>0</v>
          </cell>
          <cell r="S453">
            <v>35500</v>
          </cell>
          <cell r="T453">
            <v>106.5</v>
          </cell>
          <cell r="U453">
            <v>0</v>
          </cell>
          <cell r="V453">
            <v>35</v>
          </cell>
          <cell r="W453">
            <v>1.75</v>
          </cell>
          <cell r="X453">
            <v>0</v>
          </cell>
          <cell r="Y453">
            <v>0</v>
          </cell>
          <cell r="Z453">
            <v>0</v>
          </cell>
          <cell r="AA453">
            <v>6253.25</v>
          </cell>
        </row>
        <row r="454">
          <cell r="A454" t="str">
            <v>Mead Johnson – Evansville Plant</v>
          </cell>
          <cell r="B454">
            <v>37135</v>
          </cell>
          <cell r="C454">
            <v>35456</v>
          </cell>
          <cell r="D454">
            <v>35456</v>
          </cell>
          <cell r="E454" t="str">
            <v>N/A</v>
          </cell>
          <cell r="F454" t="str">
            <v>N/A</v>
          </cell>
          <cell r="G454">
            <v>34100</v>
          </cell>
          <cell r="H454">
            <v>34100</v>
          </cell>
          <cell r="I454" t="str">
            <v>N/A</v>
          </cell>
          <cell r="J454" t="str">
            <v>N/A</v>
          </cell>
          <cell r="K454">
            <v>5797</v>
          </cell>
          <cell r="L454">
            <v>0</v>
          </cell>
          <cell r="M454">
            <v>75</v>
          </cell>
          <cell r="N454">
            <v>0</v>
          </cell>
          <cell r="O454">
            <v>0</v>
          </cell>
          <cell r="P454">
            <v>0</v>
          </cell>
          <cell r="Q454">
            <v>0</v>
          </cell>
          <cell r="R454">
            <v>0</v>
          </cell>
          <cell r="S454">
            <v>34100</v>
          </cell>
          <cell r="T454">
            <v>102.3</v>
          </cell>
          <cell r="U454">
            <v>0</v>
          </cell>
          <cell r="V454">
            <v>35</v>
          </cell>
          <cell r="W454">
            <v>1.75</v>
          </cell>
          <cell r="X454">
            <v>0</v>
          </cell>
          <cell r="Y454">
            <v>0</v>
          </cell>
          <cell r="Z454">
            <v>0</v>
          </cell>
          <cell r="AA454">
            <v>6011.05</v>
          </cell>
        </row>
        <row r="455">
          <cell r="A455" t="str">
            <v>Mead Johnson – Evansville Plant</v>
          </cell>
          <cell r="B455">
            <v>37165</v>
          </cell>
          <cell r="C455">
            <v>43102</v>
          </cell>
          <cell r="D455">
            <v>43102</v>
          </cell>
          <cell r="E455" t="str">
            <v>N/A</v>
          </cell>
          <cell r="F455" t="str">
            <v>N/A</v>
          </cell>
          <cell r="G455">
            <v>40700</v>
          </cell>
          <cell r="H455">
            <v>40700</v>
          </cell>
          <cell r="I455" t="str">
            <v>N/A</v>
          </cell>
          <cell r="J455" t="str">
            <v>N/A</v>
          </cell>
          <cell r="K455">
            <v>6919</v>
          </cell>
          <cell r="L455">
            <v>0</v>
          </cell>
          <cell r="M455">
            <v>75</v>
          </cell>
          <cell r="N455">
            <v>0</v>
          </cell>
          <cell r="O455">
            <v>0</v>
          </cell>
          <cell r="P455">
            <v>0</v>
          </cell>
          <cell r="Q455">
            <v>0</v>
          </cell>
          <cell r="R455">
            <v>0</v>
          </cell>
          <cell r="S455">
            <v>40700</v>
          </cell>
          <cell r="T455">
            <v>122.1</v>
          </cell>
          <cell r="U455">
            <v>0</v>
          </cell>
          <cell r="V455">
            <v>35</v>
          </cell>
          <cell r="W455">
            <v>1.75</v>
          </cell>
          <cell r="X455">
            <v>0</v>
          </cell>
          <cell r="Y455">
            <v>0</v>
          </cell>
          <cell r="Z455">
            <v>0</v>
          </cell>
          <cell r="AA455">
            <v>7152.85</v>
          </cell>
        </row>
        <row r="456">
          <cell r="A456" t="str">
            <v>Mead Johnson – Evansville Plant</v>
          </cell>
          <cell r="B456">
            <v>37196</v>
          </cell>
          <cell r="C456">
            <v>41599</v>
          </cell>
          <cell r="D456">
            <v>41599</v>
          </cell>
          <cell r="E456" t="str">
            <v>N/A</v>
          </cell>
          <cell r="F456" t="str">
            <v>N/A</v>
          </cell>
          <cell r="G456">
            <v>50810</v>
          </cell>
          <cell r="H456">
            <v>50810</v>
          </cell>
          <cell r="I456" t="str">
            <v>N/A</v>
          </cell>
          <cell r="J456" t="str">
            <v>N/A</v>
          </cell>
          <cell r="K456">
            <v>8637.7000000000007</v>
          </cell>
          <cell r="L456">
            <v>0</v>
          </cell>
          <cell r="M456">
            <v>75</v>
          </cell>
          <cell r="N456">
            <v>0</v>
          </cell>
          <cell r="O456">
            <v>0</v>
          </cell>
          <cell r="P456">
            <v>0</v>
          </cell>
          <cell r="Q456">
            <v>0</v>
          </cell>
          <cell r="R456">
            <v>0</v>
          </cell>
          <cell r="S456">
            <v>50810</v>
          </cell>
          <cell r="T456">
            <v>152.43</v>
          </cell>
          <cell r="U456">
            <v>0</v>
          </cell>
          <cell r="V456">
            <v>35</v>
          </cell>
          <cell r="W456">
            <v>1.75</v>
          </cell>
          <cell r="X456">
            <v>0</v>
          </cell>
          <cell r="Y456">
            <v>0</v>
          </cell>
          <cell r="Z456">
            <v>0</v>
          </cell>
          <cell r="AA456">
            <v>8901.8799999999992</v>
          </cell>
        </row>
        <row r="457">
          <cell r="A457" t="str">
            <v>Mead Johnson – Evansville Plant</v>
          </cell>
          <cell r="B457">
            <v>37226</v>
          </cell>
          <cell r="C457">
            <v>45623</v>
          </cell>
          <cell r="D457">
            <v>45623</v>
          </cell>
          <cell r="E457" t="str">
            <v>N/A</v>
          </cell>
          <cell r="F457" t="str">
            <v>N/A</v>
          </cell>
          <cell r="G457">
            <v>51450</v>
          </cell>
          <cell r="H457">
            <v>51450</v>
          </cell>
          <cell r="I457" t="str">
            <v>N/A</v>
          </cell>
          <cell r="J457" t="str">
            <v>N/A</v>
          </cell>
          <cell r="K457">
            <v>8746.5</v>
          </cell>
          <cell r="L457">
            <v>0</v>
          </cell>
          <cell r="M457">
            <v>75</v>
          </cell>
          <cell r="N457">
            <v>0</v>
          </cell>
          <cell r="O457">
            <v>0</v>
          </cell>
          <cell r="P457">
            <v>0</v>
          </cell>
          <cell r="Q457">
            <v>0</v>
          </cell>
          <cell r="R457">
            <v>0</v>
          </cell>
          <cell r="S457">
            <v>51450</v>
          </cell>
          <cell r="T457">
            <v>154.35</v>
          </cell>
          <cell r="U457">
            <v>0</v>
          </cell>
          <cell r="V457">
            <v>35</v>
          </cell>
          <cell r="W457">
            <v>1.75</v>
          </cell>
          <cell r="X457">
            <v>0</v>
          </cell>
          <cell r="Y457">
            <v>0</v>
          </cell>
          <cell r="Z457">
            <v>0</v>
          </cell>
          <cell r="AA457">
            <v>9012.6</v>
          </cell>
        </row>
        <row r="458">
          <cell r="A458" t="str">
            <v>Mead Johnson – Evansville Plant</v>
          </cell>
          <cell r="B458">
            <v>37257</v>
          </cell>
          <cell r="C458">
            <v>48999</v>
          </cell>
          <cell r="D458">
            <v>48999</v>
          </cell>
          <cell r="E458" t="str">
            <v>N/A</v>
          </cell>
          <cell r="F458" t="str">
            <v>N/A</v>
          </cell>
          <cell r="G458">
            <v>51000</v>
          </cell>
          <cell r="H458">
            <v>51000</v>
          </cell>
          <cell r="I458" t="str">
            <v>N/A</v>
          </cell>
          <cell r="J458" t="str">
            <v>N/A</v>
          </cell>
          <cell r="K458">
            <v>8670</v>
          </cell>
          <cell r="L458">
            <v>0</v>
          </cell>
          <cell r="M458">
            <v>75</v>
          </cell>
          <cell r="N458">
            <v>0</v>
          </cell>
          <cell r="O458">
            <v>0</v>
          </cell>
          <cell r="P458">
            <v>0</v>
          </cell>
          <cell r="Q458">
            <v>0</v>
          </cell>
          <cell r="R458">
            <v>0</v>
          </cell>
          <cell r="S458">
            <v>51000</v>
          </cell>
          <cell r="T458">
            <v>153</v>
          </cell>
          <cell r="U458">
            <v>0</v>
          </cell>
          <cell r="V458">
            <v>35</v>
          </cell>
          <cell r="W458">
            <v>1.75</v>
          </cell>
          <cell r="X458">
            <v>0</v>
          </cell>
          <cell r="Y458">
            <v>0</v>
          </cell>
          <cell r="Z458">
            <v>0</v>
          </cell>
          <cell r="AA458">
            <v>8934.75</v>
          </cell>
        </row>
        <row r="459">
          <cell r="A459" t="str">
            <v>Mead Johnson – Evansville Plant</v>
          </cell>
          <cell r="B459">
            <v>37288</v>
          </cell>
          <cell r="C459">
            <v>46288</v>
          </cell>
          <cell r="D459">
            <v>46288</v>
          </cell>
          <cell r="E459" t="str">
            <v>N/A</v>
          </cell>
          <cell r="F459" t="str">
            <v>N/A</v>
          </cell>
          <cell r="G459">
            <v>50000</v>
          </cell>
          <cell r="H459">
            <v>50000</v>
          </cell>
          <cell r="I459" t="str">
            <v>N/A</v>
          </cell>
          <cell r="J459" t="str">
            <v>N/A</v>
          </cell>
          <cell r="K459">
            <v>8500</v>
          </cell>
          <cell r="L459">
            <v>0</v>
          </cell>
          <cell r="M459">
            <v>75</v>
          </cell>
          <cell r="N459">
            <v>0</v>
          </cell>
          <cell r="O459">
            <v>0</v>
          </cell>
          <cell r="P459">
            <v>0</v>
          </cell>
          <cell r="Q459">
            <v>0</v>
          </cell>
          <cell r="R459">
            <v>0</v>
          </cell>
          <cell r="S459">
            <v>0</v>
          </cell>
          <cell r="T459">
            <v>0</v>
          </cell>
          <cell r="U459">
            <v>0</v>
          </cell>
          <cell r="V459">
            <v>35</v>
          </cell>
          <cell r="W459">
            <v>1.75</v>
          </cell>
          <cell r="X459">
            <v>0</v>
          </cell>
          <cell r="Y459">
            <v>0</v>
          </cell>
          <cell r="Z459">
            <v>0</v>
          </cell>
          <cell r="AA459">
            <v>8611.75</v>
          </cell>
        </row>
        <row r="460">
          <cell r="A460" t="str">
            <v>Mead Johnson – Evansville Plant</v>
          </cell>
          <cell r="B460">
            <v>37316</v>
          </cell>
          <cell r="C460">
            <v>48017</v>
          </cell>
          <cell r="D460">
            <v>48017</v>
          </cell>
          <cell r="E460" t="str">
            <v>N/A</v>
          </cell>
          <cell r="F460" t="str">
            <v>N/A</v>
          </cell>
          <cell r="G460">
            <v>43493</v>
          </cell>
          <cell r="H460">
            <v>43493</v>
          </cell>
          <cell r="I460" t="str">
            <v>N/A</v>
          </cell>
          <cell r="J460" t="str">
            <v>N/A</v>
          </cell>
          <cell r="K460">
            <v>7393.81</v>
          </cell>
          <cell r="L460">
            <v>0</v>
          </cell>
          <cell r="M460">
            <v>75</v>
          </cell>
          <cell r="N460">
            <v>0</v>
          </cell>
          <cell r="O460">
            <v>0</v>
          </cell>
          <cell r="P460">
            <v>0</v>
          </cell>
          <cell r="Q460">
            <v>0</v>
          </cell>
          <cell r="R460">
            <v>0</v>
          </cell>
          <cell r="S460">
            <v>0</v>
          </cell>
          <cell r="T460">
            <v>0</v>
          </cell>
          <cell r="U460">
            <v>0</v>
          </cell>
          <cell r="V460">
            <v>35</v>
          </cell>
          <cell r="W460">
            <v>1.75</v>
          </cell>
          <cell r="X460">
            <v>0</v>
          </cell>
          <cell r="Y460">
            <v>0</v>
          </cell>
          <cell r="Z460">
            <v>0</v>
          </cell>
          <cell r="AA460">
            <v>7505.56</v>
          </cell>
        </row>
        <row r="461">
          <cell r="A461" t="str">
            <v>Mead Johnson – Evansville Plant</v>
          </cell>
          <cell r="B461">
            <v>37347</v>
          </cell>
          <cell r="C461">
            <v>41217</v>
          </cell>
          <cell r="D461">
            <v>41217</v>
          </cell>
          <cell r="E461" t="str">
            <v>N/A</v>
          </cell>
          <cell r="F461" t="str">
            <v>N/A</v>
          </cell>
          <cell r="G461">
            <v>43300</v>
          </cell>
          <cell r="H461">
            <v>43300</v>
          </cell>
          <cell r="I461" t="str">
            <v>N/A</v>
          </cell>
          <cell r="J461" t="str">
            <v>N/A</v>
          </cell>
          <cell r="K461">
            <v>7361</v>
          </cell>
          <cell r="L461">
            <v>0</v>
          </cell>
          <cell r="M461">
            <v>75</v>
          </cell>
          <cell r="N461">
            <v>0</v>
          </cell>
          <cell r="O461">
            <v>0</v>
          </cell>
          <cell r="P461">
            <v>0</v>
          </cell>
          <cell r="Q461">
            <v>0</v>
          </cell>
          <cell r="R461">
            <v>0</v>
          </cell>
          <cell r="S461">
            <v>0</v>
          </cell>
          <cell r="T461">
            <v>0</v>
          </cell>
          <cell r="U461">
            <v>0</v>
          </cell>
          <cell r="V461">
            <v>35</v>
          </cell>
          <cell r="W461">
            <v>1.75</v>
          </cell>
          <cell r="X461">
            <v>0</v>
          </cell>
          <cell r="Y461">
            <v>0</v>
          </cell>
          <cell r="Z461">
            <v>0</v>
          </cell>
          <cell r="AA461">
            <v>7472.75</v>
          </cell>
        </row>
        <row r="462">
          <cell r="A462" t="str">
            <v>Mead Johnson – Evansville Plant</v>
          </cell>
          <cell r="B462">
            <v>37377</v>
          </cell>
          <cell r="C462">
            <v>43862</v>
          </cell>
          <cell r="D462">
            <v>43862</v>
          </cell>
          <cell r="E462" t="str">
            <v>N/A</v>
          </cell>
          <cell r="F462" t="str">
            <v>N/A</v>
          </cell>
          <cell r="G462">
            <v>43700</v>
          </cell>
          <cell r="H462">
            <v>43700</v>
          </cell>
          <cell r="I462" t="str">
            <v>N/A</v>
          </cell>
          <cell r="J462" t="str">
            <v>N/A</v>
          </cell>
          <cell r="K462">
            <v>7429</v>
          </cell>
          <cell r="L462">
            <v>0</v>
          </cell>
          <cell r="M462">
            <v>75</v>
          </cell>
          <cell r="N462">
            <v>0</v>
          </cell>
          <cell r="O462">
            <v>0</v>
          </cell>
          <cell r="P462">
            <v>0</v>
          </cell>
          <cell r="Q462">
            <v>0</v>
          </cell>
          <cell r="R462">
            <v>0</v>
          </cell>
          <cell r="S462">
            <v>0</v>
          </cell>
          <cell r="T462">
            <v>0</v>
          </cell>
          <cell r="U462">
            <v>0</v>
          </cell>
          <cell r="V462">
            <v>35</v>
          </cell>
          <cell r="W462">
            <v>1.75</v>
          </cell>
          <cell r="X462">
            <v>0</v>
          </cell>
          <cell r="Y462">
            <v>0</v>
          </cell>
          <cell r="Z462">
            <v>0</v>
          </cell>
          <cell r="AA462">
            <v>7540.75</v>
          </cell>
        </row>
        <row r="463">
          <cell r="A463" t="str">
            <v>Mead Johnson – Evansville Plant</v>
          </cell>
          <cell r="B463">
            <v>37408</v>
          </cell>
          <cell r="C463">
            <v>36387</v>
          </cell>
          <cell r="D463">
            <v>36387</v>
          </cell>
          <cell r="E463" t="str">
            <v>N/A</v>
          </cell>
          <cell r="F463" t="str">
            <v>N/A</v>
          </cell>
          <cell r="G463">
            <v>39300</v>
          </cell>
          <cell r="H463">
            <v>39300</v>
          </cell>
          <cell r="I463" t="str">
            <v>N/A</v>
          </cell>
          <cell r="J463" t="str">
            <v>N/A</v>
          </cell>
          <cell r="K463">
            <v>6681</v>
          </cell>
          <cell r="L463">
            <v>0</v>
          </cell>
          <cell r="M463">
            <v>75</v>
          </cell>
          <cell r="N463">
            <v>0</v>
          </cell>
          <cell r="O463">
            <v>0</v>
          </cell>
          <cell r="P463">
            <v>0</v>
          </cell>
          <cell r="Q463">
            <v>0</v>
          </cell>
          <cell r="R463">
            <v>0</v>
          </cell>
          <cell r="S463">
            <v>0</v>
          </cell>
          <cell r="T463">
            <v>0</v>
          </cell>
          <cell r="U463">
            <v>0</v>
          </cell>
          <cell r="V463">
            <v>35</v>
          </cell>
          <cell r="W463">
            <v>1.75</v>
          </cell>
          <cell r="X463">
            <v>0</v>
          </cell>
          <cell r="Y463">
            <v>0</v>
          </cell>
          <cell r="Z463">
            <v>0</v>
          </cell>
          <cell r="AA463">
            <v>6792.75</v>
          </cell>
        </row>
        <row r="464">
          <cell r="A464" t="str">
            <v>Mead Johnson – Evansville Plant</v>
          </cell>
          <cell r="B464">
            <v>37438</v>
          </cell>
          <cell r="C464">
            <v>32338</v>
          </cell>
          <cell r="D464">
            <v>32338</v>
          </cell>
          <cell r="E464" t="str">
            <v>N/A</v>
          </cell>
          <cell r="F464" t="str">
            <v>N/A</v>
          </cell>
          <cell r="G464">
            <v>34000</v>
          </cell>
          <cell r="H464">
            <v>34000</v>
          </cell>
          <cell r="I464" t="str">
            <v>N/A</v>
          </cell>
          <cell r="J464" t="str">
            <v>N/A</v>
          </cell>
          <cell r="K464">
            <v>5780</v>
          </cell>
          <cell r="L464">
            <v>0</v>
          </cell>
          <cell r="M464">
            <v>75</v>
          </cell>
          <cell r="N464">
            <v>0</v>
          </cell>
          <cell r="O464">
            <v>0</v>
          </cell>
          <cell r="P464">
            <v>0</v>
          </cell>
          <cell r="Q464">
            <v>0</v>
          </cell>
          <cell r="R464">
            <v>0</v>
          </cell>
          <cell r="S464">
            <v>0</v>
          </cell>
          <cell r="T464">
            <v>0</v>
          </cell>
          <cell r="U464">
            <v>0</v>
          </cell>
          <cell r="V464">
            <v>35</v>
          </cell>
          <cell r="W464">
            <v>1.75</v>
          </cell>
          <cell r="X464">
            <v>0</v>
          </cell>
          <cell r="Y464">
            <v>0</v>
          </cell>
          <cell r="Z464">
            <v>0</v>
          </cell>
          <cell r="AA464">
            <v>5891.75</v>
          </cell>
        </row>
        <row r="465">
          <cell r="A465" t="str">
            <v>Mead Johnson – Mt. Vernon Plant</v>
          </cell>
          <cell r="B465">
            <v>37104</v>
          </cell>
          <cell r="C465">
            <v>9215</v>
          </cell>
          <cell r="D465">
            <v>9215</v>
          </cell>
          <cell r="E465" t="str">
            <v>N/A</v>
          </cell>
          <cell r="F465" t="str">
            <v>N/A</v>
          </cell>
          <cell r="G465">
            <v>7600</v>
          </cell>
          <cell r="H465">
            <v>7600</v>
          </cell>
          <cell r="I465" t="str">
            <v>N/A</v>
          </cell>
          <cell r="J465" t="str">
            <v>N/A</v>
          </cell>
          <cell r="K465">
            <v>3085.6</v>
          </cell>
          <cell r="L465">
            <v>0</v>
          </cell>
          <cell r="M465">
            <v>75</v>
          </cell>
          <cell r="N465">
            <v>0</v>
          </cell>
          <cell r="O465">
            <v>0</v>
          </cell>
          <cell r="P465">
            <v>0</v>
          </cell>
          <cell r="Q465">
            <v>0</v>
          </cell>
          <cell r="R465">
            <v>0</v>
          </cell>
          <cell r="S465">
            <v>7600</v>
          </cell>
          <cell r="T465">
            <v>22.8</v>
          </cell>
          <cell r="U465">
            <v>0</v>
          </cell>
          <cell r="V465">
            <v>35</v>
          </cell>
          <cell r="W465">
            <v>1.75</v>
          </cell>
          <cell r="X465">
            <v>0</v>
          </cell>
          <cell r="Y465">
            <v>0</v>
          </cell>
          <cell r="Z465">
            <v>0</v>
          </cell>
          <cell r="AA465">
            <v>3220.15</v>
          </cell>
        </row>
        <row r="466">
          <cell r="A466" t="str">
            <v>Mead Johnson – Mt. Vernon Plant</v>
          </cell>
          <cell r="B466">
            <v>37135</v>
          </cell>
          <cell r="C466">
            <v>9609</v>
          </cell>
          <cell r="D466">
            <v>9609</v>
          </cell>
          <cell r="E466" t="str">
            <v>N/A</v>
          </cell>
          <cell r="F466" t="str">
            <v>N/A</v>
          </cell>
          <cell r="G466">
            <v>9500</v>
          </cell>
          <cell r="H466">
            <v>9500</v>
          </cell>
          <cell r="I466" t="str">
            <v>N/A</v>
          </cell>
          <cell r="J466" t="str">
            <v>N/A</v>
          </cell>
          <cell r="K466">
            <v>3857</v>
          </cell>
          <cell r="L466">
            <v>0</v>
          </cell>
          <cell r="M466">
            <v>75</v>
          </cell>
          <cell r="N466">
            <v>0</v>
          </cell>
          <cell r="O466">
            <v>0</v>
          </cell>
          <cell r="P466">
            <v>0</v>
          </cell>
          <cell r="Q466">
            <v>0</v>
          </cell>
          <cell r="R466">
            <v>0</v>
          </cell>
          <cell r="S466">
            <v>9500</v>
          </cell>
          <cell r="T466">
            <v>28.5</v>
          </cell>
          <cell r="U466">
            <v>0</v>
          </cell>
          <cell r="V466">
            <v>35</v>
          </cell>
          <cell r="W466">
            <v>1.75</v>
          </cell>
          <cell r="X466">
            <v>0</v>
          </cell>
          <cell r="Y466">
            <v>0</v>
          </cell>
          <cell r="Z466">
            <v>0</v>
          </cell>
          <cell r="AA466">
            <v>3997.25</v>
          </cell>
        </row>
        <row r="467">
          <cell r="A467" t="str">
            <v>Mead Johnson – Mt. Vernon Plant</v>
          </cell>
          <cell r="B467">
            <v>37165</v>
          </cell>
          <cell r="C467">
            <v>10841</v>
          </cell>
          <cell r="D467">
            <v>10841</v>
          </cell>
          <cell r="E467" t="str">
            <v>N/A</v>
          </cell>
          <cell r="F467" t="str">
            <v>N/A</v>
          </cell>
          <cell r="G467">
            <v>10200</v>
          </cell>
          <cell r="H467">
            <v>10200</v>
          </cell>
          <cell r="I467" t="str">
            <v>N/A</v>
          </cell>
          <cell r="J467" t="str">
            <v>N/A</v>
          </cell>
          <cell r="K467">
            <v>4141.2</v>
          </cell>
          <cell r="L467">
            <v>0</v>
          </cell>
          <cell r="M467">
            <v>75</v>
          </cell>
          <cell r="N467">
            <v>0</v>
          </cell>
          <cell r="O467">
            <v>0</v>
          </cell>
          <cell r="P467">
            <v>0</v>
          </cell>
          <cell r="Q467">
            <v>0</v>
          </cell>
          <cell r="R467">
            <v>0</v>
          </cell>
          <cell r="S467">
            <v>10200</v>
          </cell>
          <cell r="T467">
            <v>30.6</v>
          </cell>
          <cell r="U467">
            <v>0</v>
          </cell>
          <cell r="V467">
            <v>35</v>
          </cell>
          <cell r="W467">
            <v>1.75</v>
          </cell>
          <cell r="X467">
            <v>0</v>
          </cell>
          <cell r="Y467">
            <v>0</v>
          </cell>
          <cell r="Z467">
            <v>0</v>
          </cell>
          <cell r="AA467">
            <v>4283.55</v>
          </cell>
        </row>
        <row r="468">
          <cell r="A468" t="str">
            <v>Mead Johnson – Mt. Vernon Plant</v>
          </cell>
          <cell r="B468">
            <v>37196</v>
          </cell>
          <cell r="C468">
            <v>11024</v>
          </cell>
          <cell r="D468">
            <v>11024</v>
          </cell>
          <cell r="E468" t="str">
            <v>N/A</v>
          </cell>
          <cell r="F468" t="str">
            <v>N/A</v>
          </cell>
          <cell r="G468">
            <v>10900</v>
          </cell>
          <cell r="H468">
            <v>10900</v>
          </cell>
          <cell r="I468" t="str">
            <v>N/A</v>
          </cell>
          <cell r="J468" t="str">
            <v>N/A</v>
          </cell>
          <cell r="K468">
            <v>4425.3999999999996</v>
          </cell>
          <cell r="L468">
            <v>0</v>
          </cell>
          <cell r="M468">
            <v>75</v>
          </cell>
          <cell r="N468">
            <v>0</v>
          </cell>
          <cell r="O468">
            <v>0</v>
          </cell>
          <cell r="P468">
            <v>0</v>
          </cell>
          <cell r="Q468">
            <v>0</v>
          </cell>
          <cell r="R468">
            <v>0</v>
          </cell>
          <cell r="S468">
            <v>10900</v>
          </cell>
          <cell r="T468">
            <v>32.700000000000003</v>
          </cell>
          <cell r="U468">
            <v>0</v>
          </cell>
          <cell r="V468">
            <v>35</v>
          </cell>
          <cell r="W468">
            <v>1.75</v>
          </cell>
          <cell r="X468">
            <v>0</v>
          </cell>
          <cell r="Y468">
            <v>0</v>
          </cell>
          <cell r="Z468">
            <v>0</v>
          </cell>
          <cell r="AA468">
            <v>4569.8500000000004</v>
          </cell>
        </row>
        <row r="469">
          <cell r="A469" t="str">
            <v>Mead Johnson – Mt. Vernon Plant</v>
          </cell>
          <cell r="B469">
            <v>37226</v>
          </cell>
          <cell r="C469">
            <v>12282</v>
          </cell>
          <cell r="D469">
            <v>12282</v>
          </cell>
          <cell r="E469" t="str">
            <v>N/A</v>
          </cell>
          <cell r="F469" t="str">
            <v>N/A</v>
          </cell>
          <cell r="G469">
            <v>12600</v>
          </cell>
          <cell r="H469">
            <v>12600</v>
          </cell>
          <cell r="I469" t="str">
            <v>N/A</v>
          </cell>
          <cell r="J469" t="str">
            <v>N/A</v>
          </cell>
          <cell r="K469">
            <v>5115.6000000000004</v>
          </cell>
          <cell r="L469">
            <v>0</v>
          </cell>
          <cell r="M469">
            <v>75</v>
          </cell>
          <cell r="N469">
            <v>0</v>
          </cell>
          <cell r="O469">
            <v>0</v>
          </cell>
          <cell r="P469">
            <v>0</v>
          </cell>
          <cell r="Q469">
            <v>0</v>
          </cell>
          <cell r="R469">
            <v>0</v>
          </cell>
          <cell r="S469">
            <v>12600</v>
          </cell>
          <cell r="T469">
            <v>37.799999999999997</v>
          </cell>
          <cell r="U469">
            <v>0</v>
          </cell>
          <cell r="V469">
            <v>35</v>
          </cell>
          <cell r="W469">
            <v>1.75</v>
          </cell>
          <cell r="X469">
            <v>0</v>
          </cell>
          <cell r="Y469">
            <v>0</v>
          </cell>
          <cell r="Z469">
            <v>0</v>
          </cell>
          <cell r="AA469">
            <v>5265.15</v>
          </cell>
        </row>
        <row r="470">
          <cell r="A470" t="str">
            <v>Mead Johnson – Mt. Vernon Plant</v>
          </cell>
          <cell r="B470">
            <v>37257</v>
          </cell>
          <cell r="C470">
            <v>13268</v>
          </cell>
          <cell r="D470">
            <v>13268</v>
          </cell>
          <cell r="E470" t="str">
            <v>N/A</v>
          </cell>
          <cell r="F470" t="str">
            <v>N/A</v>
          </cell>
          <cell r="G470">
            <v>13200</v>
          </cell>
          <cell r="H470">
            <v>13200</v>
          </cell>
          <cell r="I470" t="str">
            <v>N/A</v>
          </cell>
          <cell r="J470" t="str">
            <v>N/A</v>
          </cell>
          <cell r="K470">
            <v>5359.2</v>
          </cell>
          <cell r="L470">
            <v>0</v>
          </cell>
          <cell r="M470">
            <v>75</v>
          </cell>
          <cell r="N470">
            <v>0</v>
          </cell>
          <cell r="O470">
            <v>0</v>
          </cell>
          <cell r="P470">
            <v>0</v>
          </cell>
          <cell r="Q470">
            <v>0</v>
          </cell>
          <cell r="R470">
            <v>0</v>
          </cell>
          <cell r="S470">
            <v>13200</v>
          </cell>
          <cell r="T470">
            <v>39.6</v>
          </cell>
          <cell r="U470">
            <v>0</v>
          </cell>
          <cell r="V470">
            <v>35</v>
          </cell>
          <cell r="W470">
            <v>1.75</v>
          </cell>
          <cell r="X470">
            <v>0</v>
          </cell>
          <cell r="Y470">
            <v>0</v>
          </cell>
          <cell r="Z470">
            <v>0</v>
          </cell>
          <cell r="AA470">
            <v>5510.55</v>
          </cell>
        </row>
        <row r="471">
          <cell r="A471" t="str">
            <v>Mead Johnson – Mt. Vernon Plant</v>
          </cell>
          <cell r="B471">
            <v>37288</v>
          </cell>
          <cell r="C471">
            <v>12381</v>
          </cell>
          <cell r="D471">
            <v>12381</v>
          </cell>
          <cell r="E471" t="str">
            <v>N/A</v>
          </cell>
          <cell r="F471" t="str">
            <v>N/A</v>
          </cell>
          <cell r="G471">
            <v>12000</v>
          </cell>
          <cell r="H471">
            <v>12000</v>
          </cell>
          <cell r="I471" t="str">
            <v>N/A</v>
          </cell>
          <cell r="J471" t="str">
            <v>N/A</v>
          </cell>
          <cell r="K471">
            <v>4872</v>
          </cell>
          <cell r="L471">
            <v>0</v>
          </cell>
          <cell r="M471">
            <v>75</v>
          </cell>
          <cell r="N471">
            <v>0</v>
          </cell>
          <cell r="O471">
            <v>0</v>
          </cell>
          <cell r="P471">
            <v>0</v>
          </cell>
          <cell r="Q471">
            <v>0</v>
          </cell>
          <cell r="R471">
            <v>0</v>
          </cell>
          <cell r="S471">
            <v>12000</v>
          </cell>
          <cell r="T471">
            <v>-12</v>
          </cell>
          <cell r="U471">
            <v>0</v>
          </cell>
          <cell r="V471">
            <v>35</v>
          </cell>
          <cell r="W471">
            <v>1.75</v>
          </cell>
          <cell r="X471">
            <v>0</v>
          </cell>
          <cell r="Y471">
            <v>0</v>
          </cell>
          <cell r="Z471">
            <v>0</v>
          </cell>
          <cell r="AA471">
            <v>4971.75</v>
          </cell>
        </row>
        <row r="472">
          <cell r="A472" t="str">
            <v>Mead Johnson – Mt. Vernon Plant</v>
          </cell>
          <cell r="B472">
            <v>37316</v>
          </cell>
          <cell r="C472">
            <v>12803</v>
          </cell>
          <cell r="D472">
            <v>12803</v>
          </cell>
          <cell r="E472" t="str">
            <v>N/A</v>
          </cell>
          <cell r="F472" t="str">
            <v>N/A</v>
          </cell>
          <cell r="G472">
            <v>12208</v>
          </cell>
          <cell r="H472">
            <v>12208</v>
          </cell>
          <cell r="I472" t="str">
            <v>N/A</v>
          </cell>
          <cell r="J472" t="str">
            <v>N/A</v>
          </cell>
          <cell r="K472">
            <v>4956.45</v>
          </cell>
          <cell r="L472">
            <v>0</v>
          </cell>
          <cell r="M472">
            <v>75</v>
          </cell>
          <cell r="N472">
            <v>0</v>
          </cell>
          <cell r="O472">
            <v>0</v>
          </cell>
          <cell r="P472">
            <v>0</v>
          </cell>
          <cell r="Q472">
            <v>0</v>
          </cell>
          <cell r="R472">
            <v>0</v>
          </cell>
          <cell r="S472">
            <v>12208</v>
          </cell>
          <cell r="T472">
            <v>-12.21</v>
          </cell>
          <cell r="U472">
            <v>0</v>
          </cell>
          <cell r="V472">
            <v>35</v>
          </cell>
          <cell r="W472">
            <v>1.75</v>
          </cell>
          <cell r="X472">
            <v>0</v>
          </cell>
          <cell r="Y472">
            <v>0</v>
          </cell>
          <cell r="Z472">
            <v>0</v>
          </cell>
          <cell r="AA472">
            <v>5055.99</v>
          </cell>
        </row>
        <row r="473">
          <cell r="A473" t="str">
            <v>Mead Johnson – Mt. Vernon Plant</v>
          </cell>
          <cell r="B473">
            <v>37347</v>
          </cell>
          <cell r="C473">
            <v>10737</v>
          </cell>
          <cell r="D473">
            <v>10737</v>
          </cell>
          <cell r="E473" t="str">
            <v>N/A</v>
          </cell>
          <cell r="F473" t="str">
            <v>N/A</v>
          </cell>
          <cell r="G473">
            <v>10870</v>
          </cell>
          <cell r="H473">
            <v>10870</v>
          </cell>
          <cell r="I473" t="str">
            <v>N/A</v>
          </cell>
          <cell r="J473" t="str">
            <v>N/A</v>
          </cell>
          <cell r="K473">
            <v>4413.22</v>
          </cell>
          <cell r="L473">
            <v>0</v>
          </cell>
          <cell r="M473">
            <v>75</v>
          </cell>
          <cell r="N473">
            <v>0</v>
          </cell>
          <cell r="O473">
            <v>0</v>
          </cell>
          <cell r="P473">
            <v>0</v>
          </cell>
          <cell r="Q473">
            <v>0</v>
          </cell>
          <cell r="R473">
            <v>0</v>
          </cell>
          <cell r="S473">
            <v>10870</v>
          </cell>
          <cell r="T473">
            <v>-10.87</v>
          </cell>
          <cell r="U473">
            <v>0</v>
          </cell>
          <cell r="V473">
            <v>35</v>
          </cell>
          <cell r="W473">
            <v>1.75</v>
          </cell>
          <cell r="X473">
            <v>0</v>
          </cell>
          <cell r="Y473">
            <v>0</v>
          </cell>
          <cell r="Z473">
            <v>0</v>
          </cell>
          <cell r="AA473">
            <v>4514.1000000000004</v>
          </cell>
        </row>
        <row r="474">
          <cell r="A474" t="str">
            <v>Mead Johnson – Mt. Vernon Plant</v>
          </cell>
          <cell r="B474">
            <v>37377</v>
          </cell>
          <cell r="C474">
            <v>10413</v>
          </cell>
          <cell r="D474">
            <v>10413</v>
          </cell>
          <cell r="E474" t="str">
            <v>N/A</v>
          </cell>
          <cell r="F474" t="str">
            <v>N/A</v>
          </cell>
          <cell r="G474">
            <v>10592</v>
          </cell>
          <cell r="H474">
            <v>10592</v>
          </cell>
          <cell r="I474" t="str">
            <v>N/A</v>
          </cell>
          <cell r="J474" t="str">
            <v>N/A</v>
          </cell>
          <cell r="K474">
            <v>4300.3500000000004</v>
          </cell>
          <cell r="L474">
            <v>0</v>
          </cell>
          <cell r="M474">
            <v>75</v>
          </cell>
          <cell r="N474">
            <v>0</v>
          </cell>
          <cell r="O474">
            <v>0</v>
          </cell>
          <cell r="P474">
            <v>0</v>
          </cell>
          <cell r="Q474">
            <v>0</v>
          </cell>
          <cell r="R474">
            <v>0</v>
          </cell>
          <cell r="S474">
            <v>0</v>
          </cell>
          <cell r="T474">
            <v>0</v>
          </cell>
          <cell r="U474">
            <v>0</v>
          </cell>
          <cell r="V474">
            <v>35</v>
          </cell>
          <cell r="W474">
            <v>1.75</v>
          </cell>
          <cell r="X474">
            <v>0</v>
          </cell>
          <cell r="Y474">
            <v>0</v>
          </cell>
          <cell r="Z474">
            <v>0</v>
          </cell>
          <cell r="AA474">
            <v>4412.1000000000004</v>
          </cell>
        </row>
        <row r="475">
          <cell r="A475" t="str">
            <v>Mead Johnson – Mt. Vernon Plant</v>
          </cell>
          <cell r="B475">
            <v>37408</v>
          </cell>
          <cell r="C475">
            <v>8082</v>
          </cell>
          <cell r="D475">
            <v>8082</v>
          </cell>
          <cell r="E475" t="str">
            <v>N/A</v>
          </cell>
          <cell r="F475" t="str">
            <v>N/A</v>
          </cell>
          <cell r="G475">
            <v>8600</v>
          </cell>
          <cell r="H475">
            <v>8600</v>
          </cell>
          <cell r="I475" t="str">
            <v>N/A</v>
          </cell>
          <cell r="J475" t="str">
            <v>N/A</v>
          </cell>
          <cell r="K475">
            <v>3491.6</v>
          </cell>
          <cell r="L475">
            <v>0</v>
          </cell>
          <cell r="M475">
            <v>75</v>
          </cell>
          <cell r="N475">
            <v>0</v>
          </cell>
          <cell r="O475">
            <v>0</v>
          </cell>
          <cell r="P475">
            <v>0</v>
          </cell>
          <cell r="Q475">
            <v>0</v>
          </cell>
          <cell r="R475">
            <v>0</v>
          </cell>
          <cell r="S475">
            <v>0</v>
          </cell>
          <cell r="T475">
            <v>0</v>
          </cell>
          <cell r="U475">
            <v>0</v>
          </cell>
          <cell r="V475">
            <v>35</v>
          </cell>
          <cell r="W475">
            <v>1.75</v>
          </cell>
          <cell r="X475">
            <v>0</v>
          </cell>
          <cell r="Y475">
            <v>0</v>
          </cell>
          <cell r="Z475">
            <v>0</v>
          </cell>
          <cell r="AA475">
            <v>3603.35</v>
          </cell>
        </row>
        <row r="476">
          <cell r="A476" t="str">
            <v>Mead Johnson – Mt. Vernon Plant</v>
          </cell>
          <cell r="B476">
            <v>37438</v>
          </cell>
          <cell r="C476">
            <v>7565</v>
          </cell>
          <cell r="D476">
            <v>7565</v>
          </cell>
          <cell r="E476" t="str">
            <v>N/A</v>
          </cell>
          <cell r="F476" t="str">
            <v>N/A</v>
          </cell>
          <cell r="G476">
            <v>8200</v>
          </cell>
          <cell r="H476">
            <v>8200</v>
          </cell>
          <cell r="I476" t="str">
            <v>N/A</v>
          </cell>
          <cell r="J476" t="str">
            <v>N/A</v>
          </cell>
          <cell r="K476">
            <v>3329.2</v>
          </cell>
          <cell r="L476">
            <v>0</v>
          </cell>
          <cell r="M476">
            <v>75</v>
          </cell>
          <cell r="N476">
            <v>0</v>
          </cell>
          <cell r="O476">
            <v>0</v>
          </cell>
          <cell r="P476">
            <v>0</v>
          </cell>
          <cell r="Q476">
            <v>0</v>
          </cell>
          <cell r="R476">
            <v>0</v>
          </cell>
          <cell r="S476">
            <v>0</v>
          </cell>
          <cell r="T476">
            <v>0</v>
          </cell>
          <cell r="U476">
            <v>0</v>
          </cell>
          <cell r="V476">
            <v>35</v>
          </cell>
          <cell r="W476">
            <v>1.75</v>
          </cell>
          <cell r="X476">
            <v>0</v>
          </cell>
          <cell r="Y476">
            <v>0</v>
          </cell>
          <cell r="Z476">
            <v>0</v>
          </cell>
          <cell r="AA476">
            <v>3440.95</v>
          </cell>
        </row>
        <row r="477">
          <cell r="A477" t="str">
            <v>Mid-States Rubber Products</v>
          </cell>
          <cell r="B477">
            <v>37104</v>
          </cell>
          <cell r="C477">
            <v>3395</v>
          </cell>
          <cell r="D477">
            <v>3395</v>
          </cell>
          <cell r="E477" t="str">
            <v>N/A</v>
          </cell>
          <cell r="F477" t="str">
            <v>N/A</v>
          </cell>
          <cell r="G477">
            <v>3514</v>
          </cell>
          <cell r="H477">
            <v>3514</v>
          </cell>
          <cell r="I477" t="str">
            <v>N/A</v>
          </cell>
          <cell r="J477" t="str">
            <v>N/A</v>
          </cell>
          <cell r="K477">
            <v>1426.68</v>
          </cell>
          <cell r="L477">
            <v>0</v>
          </cell>
          <cell r="M477">
            <v>75</v>
          </cell>
          <cell r="N477">
            <v>0</v>
          </cell>
          <cell r="O477">
            <v>0</v>
          </cell>
          <cell r="P477">
            <v>0</v>
          </cell>
          <cell r="Q477">
            <v>0</v>
          </cell>
          <cell r="R477">
            <v>-91.36</v>
          </cell>
          <cell r="S477">
            <v>3514</v>
          </cell>
          <cell r="T477">
            <v>10.54</v>
          </cell>
          <cell r="U477">
            <v>0</v>
          </cell>
          <cell r="V477">
            <v>35</v>
          </cell>
          <cell r="W477">
            <v>0</v>
          </cell>
          <cell r="X477">
            <v>0</v>
          </cell>
          <cell r="Y477">
            <v>0</v>
          </cell>
          <cell r="Z477">
            <v>0</v>
          </cell>
          <cell r="AA477">
            <v>1455.86</v>
          </cell>
        </row>
        <row r="478">
          <cell r="A478" t="str">
            <v>Mid-States Rubber Products</v>
          </cell>
          <cell r="B478">
            <v>37135</v>
          </cell>
          <cell r="C478">
            <v>2731</v>
          </cell>
          <cell r="D478">
            <v>2731</v>
          </cell>
          <cell r="E478" t="str">
            <v>N/A</v>
          </cell>
          <cell r="F478" t="str">
            <v>N/A</v>
          </cell>
          <cell r="G478">
            <v>3000</v>
          </cell>
          <cell r="H478">
            <v>3000</v>
          </cell>
          <cell r="I478" t="str">
            <v>N/A</v>
          </cell>
          <cell r="J478" t="str">
            <v>N/A</v>
          </cell>
          <cell r="K478">
            <v>1218</v>
          </cell>
          <cell r="L478">
            <v>0</v>
          </cell>
          <cell r="M478">
            <v>75</v>
          </cell>
          <cell r="N478">
            <v>0</v>
          </cell>
          <cell r="O478">
            <v>0</v>
          </cell>
          <cell r="P478">
            <v>0</v>
          </cell>
          <cell r="Q478">
            <v>0</v>
          </cell>
          <cell r="R478">
            <v>-78</v>
          </cell>
          <cell r="S478">
            <v>3000</v>
          </cell>
          <cell r="T478">
            <v>9</v>
          </cell>
          <cell r="U478">
            <v>0</v>
          </cell>
          <cell r="V478">
            <v>35</v>
          </cell>
          <cell r="W478">
            <v>0</v>
          </cell>
          <cell r="X478">
            <v>0</v>
          </cell>
          <cell r="Y478">
            <v>0</v>
          </cell>
          <cell r="Z478">
            <v>0</v>
          </cell>
          <cell r="AA478">
            <v>1259</v>
          </cell>
        </row>
        <row r="479">
          <cell r="A479" t="str">
            <v>Mid-States Rubber Products</v>
          </cell>
          <cell r="B479">
            <v>37165</v>
          </cell>
          <cell r="C479">
            <v>3343</v>
          </cell>
          <cell r="D479">
            <v>3343</v>
          </cell>
          <cell r="E479" t="str">
            <v>N/A</v>
          </cell>
          <cell r="F479" t="str">
            <v>N/A</v>
          </cell>
          <cell r="G479">
            <v>4000</v>
          </cell>
          <cell r="H479">
            <v>4000</v>
          </cell>
          <cell r="I479" t="str">
            <v>N/A</v>
          </cell>
          <cell r="J479" t="str">
            <v>N/A</v>
          </cell>
          <cell r="K479">
            <v>1624</v>
          </cell>
          <cell r="L479">
            <v>0</v>
          </cell>
          <cell r="M479">
            <v>75</v>
          </cell>
          <cell r="N479">
            <v>0</v>
          </cell>
          <cell r="O479">
            <v>0</v>
          </cell>
          <cell r="P479">
            <v>0</v>
          </cell>
          <cell r="Q479">
            <v>0</v>
          </cell>
          <cell r="R479">
            <v>-104</v>
          </cell>
          <cell r="S479">
            <v>4000</v>
          </cell>
          <cell r="T479">
            <v>12</v>
          </cell>
          <cell r="U479">
            <v>0</v>
          </cell>
          <cell r="V479">
            <v>35</v>
          </cell>
          <cell r="W479">
            <v>0</v>
          </cell>
          <cell r="X479">
            <v>0</v>
          </cell>
          <cell r="Y479">
            <v>0</v>
          </cell>
          <cell r="Z479">
            <v>0</v>
          </cell>
          <cell r="AA479">
            <v>1642</v>
          </cell>
        </row>
        <row r="480">
          <cell r="A480" t="str">
            <v>Mid-States Rubber Products</v>
          </cell>
          <cell r="B480">
            <v>37196</v>
          </cell>
          <cell r="C480">
            <v>3493</v>
          </cell>
          <cell r="D480">
            <v>3493</v>
          </cell>
          <cell r="E480" t="str">
            <v>N/A</v>
          </cell>
          <cell r="F480" t="str">
            <v>N/A</v>
          </cell>
          <cell r="G480">
            <v>2925</v>
          </cell>
          <cell r="H480">
            <v>2925</v>
          </cell>
          <cell r="I480" t="str">
            <v>N/A</v>
          </cell>
          <cell r="J480" t="str">
            <v>N/A</v>
          </cell>
          <cell r="K480">
            <v>1187.55</v>
          </cell>
          <cell r="L480">
            <v>0</v>
          </cell>
          <cell r="M480">
            <v>75</v>
          </cell>
          <cell r="N480">
            <v>0</v>
          </cell>
          <cell r="O480">
            <v>0</v>
          </cell>
          <cell r="P480">
            <v>0</v>
          </cell>
          <cell r="Q480">
            <v>0</v>
          </cell>
          <cell r="R480">
            <v>-76.05</v>
          </cell>
          <cell r="S480">
            <v>2925</v>
          </cell>
          <cell r="T480">
            <v>8.7799999999999994</v>
          </cell>
          <cell r="U480">
            <v>0</v>
          </cell>
          <cell r="V480">
            <v>35</v>
          </cell>
          <cell r="W480">
            <v>0</v>
          </cell>
          <cell r="X480">
            <v>0</v>
          </cell>
          <cell r="Y480">
            <v>0</v>
          </cell>
          <cell r="Z480">
            <v>0</v>
          </cell>
          <cell r="AA480">
            <v>1230.28</v>
          </cell>
        </row>
        <row r="481">
          <cell r="A481" t="str">
            <v>Mid-States Rubber Products</v>
          </cell>
          <cell r="B481">
            <v>37226</v>
          </cell>
          <cell r="C481">
            <v>3107</v>
          </cell>
          <cell r="D481">
            <v>3107</v>
          </cell>
          <cell r="E481" t="str">
            <v>N/A</v>
          </cell>
          <cell r="F481" t="str">
            <v>N/A</v>
          </cell>
          <cell r="G481">
            <v>4180</v>
          </cell>
          <cell r="H481">
            <v>4180</v>
          </cell>
          <cell r="I481" t="str">
            <v>N/A</v>
          </cell>
          <cell r="J481" t="str">
            <v>N/A</v>
          </cell>
          <cell r="K481">
            <v>1697.08</v>
          </cell>
          <cell r="L481">
            <v>0</v>
          </cell>
          <cell r="M481">
            <v>75</v>
          </cell>
          <cell r="N481">
            <v>0</v>
          </cell>
          <cell r="O481">
            <v>0</v>
          </cell>
          <cell r="P481">
            <v>0</v>
          </cell>
          <cell r="Q481">
            <v>0</v>
          </cell>
          <cell r="R481">
            <v>-108.68</v>
          </cell>
          <cell r="S481">
            <v>4180</v>
          </cell>
          <cell r="T481">
            <v>12.54</v>
          </cell>
          <cell r="U481">
            <v>0</v>
          </cell>
          <cell r="V481">
            <v>35</v>
          </cell>
          <cell r="W481">
            <v>0</v>
          </cell>
          <cell r="X481">
            <v>0</v>
          </cell>
          <cell r="Y481">
            <v>0</v>
          </cell>
          <cell r="Z481">
            <v>0</v>
          </cell>
          <cell r="AA481">
            <v>1710.94</v>
          </cell>
        </row>
        <row r="482">
          <cell r="A482" t="str">
            <v>Mid-States Rubber Products</v>
          </cell>
          <cell r="B482">
            <v>37257</v>
          </cell>
          <cell r="C482">
            <v>4888</v>
          </cell>
          <cell r="D482">
            <v>4888</v>
          </cell>
          <cell r="E482" t="str">
            <v>N/A</v>
          </cell>
          <cell r="F482" t="str">
            <v>N/A</v>
          </cell>
          <cell r="G482">
            <v>3856</v>
          </cell>
          <cell r="H482">
            <v>3856</v>
          </cell>
          <cell r="I482" t="str">
            <v>N/A</v>
          </cell>
          <cell r="J482" t="str">
            <v>N/A</v>
          </cell>
          <cell r="K482">
            <v>1565.54</v>
          </cell>
          <cell r="L482">
            <v>0</v>
          </cell>
          <cell r="M482">
            <v>75</v>
          </cell>
          <cell r="N482">
            <v>0</v>
          </cell>
          <cell r="O482">
            <v>0</v>
          </cell>
          <cell r="P482">
            <v>0</v>
          </cell>
          <cell r="Q482">
            <v>0</v>
          </cell>
          <cell r="R482">
            <v>-100.26</v>
          </cell>
          <cell r="S482">
            <v>3856</v>
          </cell>
          <cell r="T482">
            <v>11.57</v>
          </cell>
          <cell r="U482">
            <v>0</v>
          </cell>
          <cell r="V482">
            <v>35</v>
          </cell>
          <cell r="W482">
            <v>0</v>
          </cell>
          <cell r="X482">
            <v>0</v>
          </cell>
          <cell r="Y482">
            <v>0</v>
          </cell>
          <cell r="Z482">
            <v>0</v>
          </cell>
          <cell r="AA482">
            <v>1586.85</v>
          </cell>
        </row>
        <row r="483">
          <cell r="A483" t="str">
            <v>Mid-States Rubber Products</v>
          </cell>
          <cell r="B483">
            <v>37288</v>
          </cell>
          <cell r="C483">
            <v>4469</v>
          </cell>
          <cell r="D483">
            <v>4469</v>
          </cell>
          <cell r="E483" t="str">
            <v>N/A</v>
          </cell>
          <cell r="F483" t="str">
            <v>N/A</v>
          </cell>
          <cell r="G483">
            <v>4241</v>
          </cell>
          <cell r="H483">
            <v>4241</v>
          </cell>
          <cell r="I483" t="str">
            <v>N/A</v>
          </cell>
          <cell r="J483" t="str">
            <v>N/A</v>
          </cell>
          <cell r="K483">
            <v>1721.62</v>
          </cell>
          <cell r="L483">
            <v>0</v>
          </cell>
          <cell r="M483">
            <v>75</v>
          </cell>
          <cell r="N483">
            <v>0</v>
          </cell>
          <cell r="O483">
            <v>0</v>
          </cell>
          <cell r="P483">
            <v>0</v>
          </cell>
          <cell r="Q483">
            <v>0</v>
          </cell>
          <cell r="R483">
            <v>16</v>
          </cell>
          <cell r="S483">
            <v>3916</v>
          </cell>
          <cell r="T483">
            <v>-4</v>
          </cell>
          <cell r="U483">
            <v>0</v>
          </cell>
          <cell r="V483">
            <v>35</v>
          </cell>
          <cell r="W483">
            <v>41.13000000000001</v>
          </cell>
          <cell r="X483">
            <v>10956.720000000001</v>
          </cell>
          <cell r="Y483">
            <v>325</v>
          </cell>
          <cell r="Z483">
            <v>10956.720000000001</v>
          </cell>
          <cell r="AA483">
            <v>12840.839999999997</v>
          </cell>
        </row>
        <row r="484">
          <cell r="A484" t="str">
            <v>Mid-States Rubber Products</v>
          </cell>
          <cell r="B484">
            <v>37316</v>
          </cell>
          <cell r="C484">
            <v>3759</v>
          </cell>
          <cell r="D484">
            <v>3759</v>
          </cell>
          <cell r="E484" t="str">
            <v>N/A</v>
          </cell>
          <cell r="F484" t="str">
            <v>N/A</v>
          </cell>
          <cell r="G484">
            <v>3930</v>
          </cell>
          <cell r="H484">
            <v>3930</v>
          </cell>
          <cell r="I484" t="str">
            <v>N/A</v>
          </cell>
          <cell r="J484" t="str">
            <v>N/A</v>
          </cell>
          <cell r="K484">
            <v>1595.58</v>
          </cell>
          <cell r="L484">
            <v>0</v>
          </cell>
          <cell r="M484">
            <v>75</v>
          </cell>
          <cell r="N484">
            <v>0</v>
          </cell>
          <cell r="O484">
            <v>0</v>
          </cell>
          <cell r="P484">
            <v>0</v>
          </cell>
          <cell r="Q484">
            <v>0</v>
          </cell>
          <cell r="R484">
            <v>15.72</v>
          </cell>
          <cell r="S484">
            <v>3930</v>
          </cell>
          <cell r="T484">
            <v>-3.93</v>
          </cell>
          <cell r="U484">
            <v>0</v>
          </cell>
          <cell r="V484">
            <v>35</v>
          </cell>
          <cell r="W484">
            <v>0</v>
          </cell>
          <cell r="X484">
            <v>0</v>
          </cell>
          <cell r="Y484">
            <v>0</v>
          </cell>
          <cell r="Z484">
            <v>0</v>
          </cell>
          <cell r="AA484">
            <v>1717.37</v>
          </cell>
        </row>
        <row r="485">
          <cell r="A485" t="str">
            <v>Mid-States Rubber Products</v>
          </cell>
          <cell r="B485">
            <v>37347</v>
          </cell>
          <cell r="C485">
            <v>3321</v>
          </cell>
          <cell r="D485">
            <v>3321</v>
          </cell>
          <cell r="E485" t="str">
            <v>N/A</v>
          </cell>
          <cell r="F485" t="str">
            <v>N/A</v>
          </cell>
          <cell r="G485">
            <v>3651</v>
          </cell>
          <cell r="H485">
            <v>3651</v>
          </cell>
          <cell r="I485" t="str">
            <v>N/A</v>
          </cell>
          <cell r="J485" t="str">
            <v>N/A</v>
          </cell>
          <cell r="K485">
            <v>1482.31</v>
          </cell>
          <cell r="L485">
            <v>0</v>
          </cell>
          <cell r="M485">
            <v>75</v>
          </cell>
          <cell r="N485">
            <v>0</v>
          </cell>
          <cell r="O485">
            <v>0</v>
          </cell>
          <cell r="P485">
            <v>0</v>
          </cell>
          <cell r="Q485">
            <v>0</v>
          </cell>
          <cell r="R485">
            <v>14.6</v>
          </cell>
          <cell r="S485">
            <v>3651</v>
          </cell>
          <cell r="T485">
            <v>-3.65</v>
          </cell>
          <cell r="U485">
            <v>0</v>
          </cell>
          <cell r="V485">
            <v>35</v>
          </cell>
          <cell r="W485">
            <v>0</v>
          </cell>
          <cell r="X485">
            <v>0</v>
          </cell>
          <cell r="Y485">
            <v>0</v>
          </cell>
          <cell r="Z485">
            <v>0</v>
          </cell>
          <cell r="AA485">
            <v>1603.26</v>
          </cell>
        </row>
        <row r="486">
          <cell r="A486" t="str">
            <v>Mid-States Rubber Products</v>
          </cell>
          <cell r="B486">
            <v>37377</v>
          </cell>
          <cell r="C486">
            <v>2563</v>
          </cell>
          <cell r="D486">
            <v>2563</v>
          </cell>
          <cell r="E486" t="str">
            <v>N/A</v>
          </cell>
          <cell r="F486" t="str">
            <v>N/A</v>
          </cell>
          <cell r="G486">
            <v>2760</v>
          </cell>
          <cell r="H486">
            <v>2760</v>
          </cell>
          <cell r="I486" t="str">
            <v>N/A</v>
          </cell>
          <cell r="J486" t="str">
            <v>N/A</v>
          </cell>
          <cell r="K486">
            <v>1120.56</v>
          </cell>
          <cell r="L486">
            <v>0</v>
          </cell>
          <cell r="M486">
            <v>75</v>
          </cell>
          <cell r="N486">
            <v>0</v>
          </cell>
          <cell r="O486">
            <v>0</v>
          </cell>
          <cell r="P486">
            <v>0</v>
          </cell>
          <cell r="Q486">
            <v>0</v>
          </cell>
          <cell r="R486">
            <v>0</v>
          </cell>
          <cell r="S486">
            <v>0</v>
          </cell>
          <cell r="T486">
            <v>0</v>
          </cell>
          <cell r="U486">
            <v>0</v>
          </cell>
          <cell r="V486">
            <v>35</v>
          </cell>
          <cell r="W486">
            <v>0</v>
          </cell>
          <cell r="X486">
            <v>0</v>
          </cell>
          <cell r="Y486">
            <v>0</v>
          </cell>
          <cell r="Z486">
            <v>0</v>
          </cell>
          <cell r="AA486">
            <v>1230.56</v>
          </cell>
        </row>
        <row r="487">
          <cell r="A487" t="str">
            <v>Mid-States Rubber Products</v>
          </cell>
          <cell r="B487">
            <v>37408</v>
          </cell>
          <cell r="C487">
            <v>2297</v>
          </cell>
          <cell r="D487">
            <v>2297</v>
          </cell>
          <cell r="E487" t="str">
            <v>N/A</v>
          </cell>
          <cell r="F487" t="str">
            <v>N/A</v>
          </cell>
          <cell r="G487">
            <v>1920</v>
          </cell>
          <cell r="H487">
            <v>1920</v>
          </cell>
          <cell r="I487" t="str">
            <v>N/A</v>
          </cell>
          <cell r="J487" t="str">
            <v>N/A</v>
          </cell>
          <cell r="K487">
            <v>779.52</v>
          </cell>
          <cell r="L487">
            <v>0</v>
          </cell>
          <cell r="M487">
            <v>75</v>
          </cell>
          <cell r="N487">
            <v>0</v>
          </cell>
          <cell r="O487">
            <v>0</v>
          </cell>
          <cell r="P487">
            <v>0</v>
          </cell>
          <cell r="Q487">
            <v>0</v>
          </cell>
          <cell r="R487">
            <v>0</v>
          </cell>
          <cell r="S487">
            <v>0</v>
          </cell>
          <cell r="T487">
            <v>0</v>
          </cell>
          <cell r="U487">
            <v>0</v>
          </cell>
          <cell r="V487">
            <v>35</v>
          </cell>
          <cell r="W487">
            <v>0</v>
          </cell>
          <cell r="X487">
            <v>0</v>
          </cell>
          <cell r="Y487">
            <v>0</v>
          </cell>
          <cell r="Z487">
            <v>0</v>
          </cell>
          <cell r="AA487">
            <v>889.52</v>
          </cell>
        </row>
        <row r="488">
          <cell r="A488" t="str">
            <v>Mid-States Rubber Products</v>
          </cell>
          <cell r="B488">
            <v>37438</v>
          </cell>
          <cell r="C488">
            <v>2035</v>
          </cell>
          <cell r="D488">
            <v>2035</v>
          </cell>
          <cell r="E488" t="str">
            <v>N/A</v>
          </cell>
          <cell r="F488" t="str">
            <v>N/A</v>
          </cell>
          <cell r="G488">
            <v>2305</v>
          </cell>
          <cell r="H488">
            <v>2305</v>
          </cell>
          <cell r="I488" t="str">
            <v>N/A</v>
          </cell>
          <cell r="J488" t="str">
            <v>N/A</v>
          </cell>
          <cell r="K488">
            <v>935.83</v>
          </cell>
          <cell r="L488">
            <v>0</v>
          </cell>
          <cell r="M488">
            <v>75</v>
          </cell>
          <cell r="N488">
            <v>0</v>
          </cell>
          <cell r="O488">
            <v>0</v>
          </cell>
          <cell r="P488">
            <v>0</v>
          </cell>
          <cell r="Q488">
            <v>0</v>
          </cell>
          <cell r="R488">
            <v>0</v>
          </cell>
          <cell r="S488">
            <v>0</v>
          </cell>
          <cell r="T488">
            <v>0</v>
          </cell>
          <cell r="U488">
            <v>0</v>
          </cell>
          <cell r="V488">
            <v>35</v>
          </cell>
          <cell r="W488">
            <v>0</v>
          </cell>
          <cell r="X488">
            <v>0</v>
          </cell>
          <cell r="Y488">
            <v>0</v>
          </cell>
          <cell r="Z488">
            <v>0</v>
          </cell>
          <cell r="AA488">
            <v>1045.83</v>
          </cell>
        </row>
        <row r="489">
          <cell r="A489" t="str">
            <v>Packaging Corporation of America</v>
          </cell>
          <cell r="B489">
            <v>37104</v>
          </cell>
          <cell r="C489">
            <v>3700</v>
          </cell>
          <cell r="D489">
            <v>3700</v>
          </cell>
          <cell r="E489" t="str">
            <v>N/A</v>
          </cell>
          <cell r="F489" t="str">
            <v>N/A</v>
          </cell>
          <cell r="G489">
            <v>3759</v>
          </cell>
          <cell r="H489">
            <v>3759</v>
          </cell>
          <cell r="I489" t="str">
            <v>N/A</v>
          </cell>
          <cell r="J489" t="str">
            <v>N/A</v>
          </cell>
          <cell r="K489">
            <v>1526.15</v>
          </cell>
          <cell r="L489">
            <v>0</v>
          </cell>
          <cell r="M489">
            <v>75</v>
          </cell>
          <cell r="N489">
            <v>0</v>
          </cell>
          <cell r="O489">
            <v>0</v>
          </cell>
          <cell r="P489">
            <v>0</v>
          </cell>
          <cell r="Q489">
            <v>0</v>
          </cell>
          <cell r="R489">
            <v>-97.73</v>
          </cell>
          <cell r="S489">
            <v>3759</v>
          </cell>
          <cell r="T489">
            <v>11.28</v>
          </cell>
          <cell r="U489">
            <v>0</v>
          </cell>
          <cell r="V489">
            <v>35</v>
          </cell>
          <cell r="W489">
            <v>1.75</v>
          </cell>
          <cell r="X489">
            <v>0</v>
          </cell>
          <cell r="Y489">
            <v>0</v>
          </cell>
          <cell r="Z489">
            <v>0</v>
          </cell>
          <cell r="AA489">
            <v>1551.45</v>
          </cell>
        </row>
        <row r="490">
          <cell r="A490" t="str">
            <v>Packaging Corporation of America</v>
          </cell>
          <cell r="B490">
            <v>37135</v>
          </cell>
          <cell r="C490">
            <v>3354</v>
          </cell>
          <cell r="D490">
            <v>3354</v>
          </cell>
          <cell r="E490" t="str">
            <v>N/A</v>
          </cell>
          <cell r="F490" t="str">
            <v>N/A</v>
          </cell>
          <cell r="G490">
            <v>3409</v>
          </cell>
          <cell r="H490">
            <v>3409</v>
          </cell>
          <cell r="I490" t="str">
            <v>N/A</v>
          </cell>
          <cell r="J490" t="str">
            <v>N/A</v>
          </cell>
          <cell r="K490">
            <v>1384.05</v>
          </cell>
          <cell r="L490">
            <v>0</v>
          </cell>
          <cell r="M490">
            <v>75</v>
          </cell>
          <cell r="N490">
            <v>0</v>
          </cell>
          <cell r="O490">
            <v>0</v>
          </cell>
          <cell r="P490">
            <v>0</v>
          </cell>
          <cell r="Q490">
            <v>0</v>
          </cell>
          <cell r="R490">
            <v>-88.63</v>
          </cell>
          <cell r="S490">
            <v>3409</v>
          </cell>
          <cell r="T490">
            <v>10.23</v>
          </cell>
          <cell r="U490">
            <v>0</v>
          </cell>
          <cell r="V490">
            <v>35</v>
          </cell>
          <cell r="W490">
            <v>1.75</v>
          </cell>
          <cell r="X490">
            <v>0</v>
          </cell>
          <cell r="Y490">
            <v>0</v>
          </cell>
          <cell r="Z490">
            <v>0</v>
          </cell>
          <cell r="AA490">
            <v>1417.4</v>
          </cell>
        </row>
        <row r="491">
          <cell r="A491" t="str">
            <v>Packaging Corporation of America</v>
          </cell>
          <cell r="B491">
            <v>37165</v>
          </cell>
          <cell r="C491">
            <v>3582</v>
          </cell>
          <cell r="D491">
            <v>3582</v>
          </cell>
          <cell r="E491" t="str">
            <v>N/A</v>
          </cell>
          <cell r="F491" t="str">
            <v>N/A</v>
          </cell>
          <cell r="G491">
            <v>3545</v>
          </cell>
          <cell r="H491">
            <v>3545</v>
          </cell>
          <cell r="I491" t="str">
            <v>N/A</v>
          </cell>
          <cell r="J491" t="str">
            <v>N/A</v>
          </cell>
          <cell r="K491">
            <v>1439.27</v>
          </cell>
          <cell r="L491">
            <v>0</v>
          </cell>
          <cell r="M491">
            <v>75</v>
          </cell>
          <cell r="N491">
            <v>0</v>
          </cell>
          <cell r="O491">
            <v>0</v>
          </cell>
          <cell r="P491">
            <v>0</v>
          </cell>
          <cell r="Q491">
            <v>0</v>
          </cell>
          <cell r="R491">
            <v>-92.17</v>
          </cell>
          <cell r="S491">
            <v>3545</v>
          </cell>
          <cell r="T491">
            <v>10.63</v>
          </cell>
          <cell r="U491">
            <v>0</v>
          </cell>
          <cell r="V491">
            <v>35</v>
          </cell>
          <cell r="W491">
            <v>1.75</v>
          </cell>
          <cell r="X491">
            <v>0</v>
          </cell>
          <cell r="Y491">
            <v>0</v>
          </cell>
          <cell r="Z491">
            <v>0</v>
          </cell>
          <cell r="AA491">
            <v>1469.48</v>
          </cell>
        </row>
        <row r="492">
          <cell r="A492" t="str">
            <v>Packaging Corporation of America</v>
          </cell>
          <cell r="B492">
            <v>37196</v>
          </cell>
          <cell r="C492">
            <v>3773</v>
          </cell>
          <cell r="D492">
            <v>3773</v>
          </cell>
          <cell r="E492" t="str">
            <v>N/A</v>
          </cell>
          <cell r="F492" t="str">
            <v>N/A</v>
          </cell>
          <cell r="G492">
            <v>3834</v>
          </cell>
          <cell r="H492">
            <v>3834</v>
          </cell>
          <cell r="I492" t="str">
            <v>N/A</v>
          </cell>
          <cell r="J492" t="str">
            <v>N/A</v>
          </cell>
          <cell r="K492">
            <v>1556.6</v>
          </cell>
          <cell r="L492">
            <v>0</v>
          </cell>
          <cell r="M492">
            <v>75</v>
          </cell>
          <cell r="N492">
            <v>0</v>
          </cell>
          <cell r="O492">
            <v>0</v>
          </cell>
          <cell r="P492">
            <v>0</v>
          </cell>
          <cell r="Q492">
            <v>0</v>
          </cell>
          <cell r="R492">
            <v>-99.68</v>
          </cell>
          <cell r="S492">
            <v>3834</v>
          </cell>
          <cell r="T492">
            <v>11.5</v>
          </cell>
          <cell r="U492">
            <v>0</v>
          </cell>
          <cell r="V492">
            <v>35</v>
          </cell>
          <cell r="W492">
            <v>1.75</v>
          </cell>
          <cell r="X492">
            <v>0</v>
          </cell>
          <cell r="Y492">
            <v>0</v>
          </cell>
          <cell r="Z492">
            <v>0</v>
          </cell>
          <cell r="AA492">
            <v>1580.17</v>
          </cell>
        </row>
        <row r="493">
          <cell r="A493" t="str">
            <v>Packaging Corporation of America</v>
          </cell>
          <cell r="B493">
            <v>37226</v>
          </cell>
          <cell r="C493">
            <v>4453</v>
          </cell>
          <cell r="D493">
            <v>4453</v>
          </cell>
          <cell r="E493" t="str">
            <v>N/A</v>
          </cell>
          <cell r="F493" t="str">
            <v>N/A</v>
          </cell>
          <cell r="G493">
            <v>4588</v>
          </cell>
          <cell r="H493">
            <v>4588</v>
          </cell>
          <cell r="I493" t="str">
            <v>N/A</v>
          </cell>
          <cell r="J493" t="str">
            <v>N/A</v>
          </cell>
          <cell r="K493">
            <v>1862.73</v>
          </cell>
          <cell r="L493">
            <v>0</v>
          </cell>
          <cell r="M493">
            <v>75</v>
          </cell>
          <cell r="N493">
            <v>0</v>
          </cell>
          <cell r="O493">
            <v>0</v>
          </cell>
          <cell r="P493">
            <v>0</v>
          </cell>
          <cell r="Q493">
            <v>0</v>
          </cell>
          <cell r="R493">
            <v>-119.29</v>
          </cell>
          <cell r="S493">
            <v>4588</v>
          </cell>
          <cell r="T493">
            <v>13.76</v>
          </cell>
          <cell r="U493">
            <v>0</v>
          </cell>
          <cell r="V493">
            <v>35</v>
          </cell>
          <cell r="W493">
            <v>1.75</v>
          </cell>
          <cell r="X493">
            <v>0</v>
          </cell>
          <cell r="Y493">
            <v>0</v>
          </cell>
          <cell r="Z493">
            <v>0</v>
          </cell>
          <cell r="AA493">
            <v>1868.95</v>
          </cell>
        </row>
        <row r="494">
          <cell r="A494" t="str">
            <v>Packaging Corporation of America</v>
          </cell>
          <cell r="B494">
            <v>37257</v>
          </cell>
          <cell r="C494">
            <v>5535</v>
          </cell>
          <cell r="D494">
            <v>5535</v>
          </cell>
          <cell r="E494" t="str">
            <v>N/A</v>
          </cell>
          <cell r="F494" t="str">
            <v>N/A</v>
          </cell>
          <cell r="G494">
            <v>5655</v>
          </cell>
          <cell r="H494">
            <v>5655</v>
          </cell>
          <cell r="I494" t="str">
            <v>N/A</v>
          </cell>
          <cell r="J494" t="str">
            <v>N/A</v>
          </cell>
          <cell r="K494">
            <v>2295.9299999999998</v>
          </cell>
          <cell r="L494">
            <v>0</v>
          </cell>
          <cell r="M494">
            <v>75</v>
          </cell>
          <cell r="N494">
            <v>0</v>
          </cell>
          <cell r="O494">
            <v>0</v>
          </cell>
          <cell r="P494">
            <v>0</v>
          </cell>
          <cell r="Q494">
            <v>0</v>
          </cell>
          <cell r="R494">
            <v>-147.03</v>
          </cell>
          <cell r="S494">
            <v>5655</v>
          </cell>
          <cell r="T494">
            <v>16.96</v>
          </cell>
          <cell r="U494">
            <v>0</v>
          </cell>
          <cell r="V494">
            <v>35</v>
          </cell>
          <cell r="W494">
            <v>1.75</v>
          </cell>
          <cell r="X494">
            <v>0</v>
          </cell>
          <cell r="Y494">
            <v>0</v>
          </cell>
          <cell r="Z494">
            <v>0</v>
          </cell>
          <cell r="AA494">
            <v>2277.61</v>
          </cell>
        </row>
        <row r="495">
          <cell r="A495" t="str">
            <v>Packaging Corporation of America</v>
          </cell>
          <cell r="B495">
            <v>37288</v>
          </cell>
          <cell r="C495">
            <v>4536</v>
          </cell>
          <cell r="D495">
            <v>4536</v>
          </cell>
          <cell r="E495" t="str">
            <v>N/A</v>
          </cell>
          <cell r="F495" t="str">
            <v>N/A</v>
          </cell>
          <cell r="G495">
            <v>5704</v>
          </cell>
          <cell r="H495">
            <v>5704</v>
          </cell>
          <cell r="I495" t="str">
            <v>N/A</v>
          </cell>
          <cell r="J495" t="str">
            <v>N/A</v>
          </cell>
          <cell r="K495">
            <v>2315.8200000000002</v>
          </cell>
          <cell r="L495">
            <v>0</v>
          </cell>
          <cell r="M495">
            <v>75</v>
          </cell>
          <cell r="N495">
            <v>0</v>
          </cell>
          <cell r="O495">
            <v>0</v>
          </cell>
          <cell r="P495">
            <v>0</v>
          </cell>
          <cell r="Q495">
            <v>0</v>
          </cell>
          <cell r="R495">
            <v>22.82</v>
          </cell>
          <cell r="S495">
            <v>5704</v>
          </cell>
          <cell r="T495">
            <v>-5.7</v>
          </cell>
          <cell r="U495">
            <v>0</v>
          </cell>
          <cell r="V495">
            <v>35</v>
          </cell>
          <cell r="W495">
            <v>1.75</v>
          </cell>
          <cell r="X495">
            <v>0</v>
          </cell>
          <cell r="Y495">
            <v>0</v>
          </cell>
          <cell r="Z495">
            <v>0</v>
          </cell>
          <cell r="AA495">
            <v>2444.69</v>
          </cell>
        </row>
        <row r="496">
          <cell r="A496" t="str">
            <v>Packaging Corporation of America</v>
          </cell>
          <cell r="B496">
            <v>37316</v>
          </cell>
          <cell r="C496">
            <v>4247</v>
          </cell>
          <cell r="D496">
            <v>4247</v>
          </cell>
          <cell r="E496" t="str">
            <v>N/A</v>
          </cell>
          <cell r="F496" t="str">
            <v>N/A</v>
          </cell>
          <cell r="G496">
            <v>4340</v>
          </cell>
          <cell r="H496">
            <v>4340</v>
          </cell>
          <cell r="I496" t="str">
            <v>N/A</v>
          </cell>
          <cell r="J496" t="str">
            <v>N/A</v>
          </cell>
          <cell r="K496">
            <v>1762.04</v>
          </cell>
          <cell r="L496">
            <v>0</v>
          </cell>
          <cell r="M496">
            <v>75</v>
          </cell>
          <cell r="N496">
            <v>0</v>
          </cell>
          <cell r="O496">
            <v>0</v>
          </cell>
          <cell r="P496">
            <v>0</v>
          </cell>
          <cell r="Q496">
            <v>0</v>
          </cell>
          <cell r="R496">
            <v>17.36</v>
          </cell>
          <cell r="S496">
            <v>4340</v>
          </cell>
          <cell r="T496">
            <v>-4.34</v>
          </cell>
          <cell r="U496">
            <v>0</v>
          </cell>
          <cell r="V496">
            <v>35</v>
          </cell>
          <cell r="W496">
            <v>1.75</v>
          </cell>
          <cell r="X496">
            <v>0</v>
          </cell>
          <cell r="Y496">
            <v>0</v>
          </cell>
          <cell r="Z496">
            <v>0</v>
          </cell>
          <cell r="AA496">
            <v>1886.81</v>
          </cell>
        </row>
        <row r="497">
          <cell r="A497" t="str">
            <v>Packaging Corporation of America</v>
          </cell>
          <cell r="B497">
            <v>37347</v>
          </cell>
          <cell r="C497">
            <v>3676</v>
          </cell>
          <cell r="D497">
            <v>3676</v>
          </cell>
          <cell r="E497" t="str">
            <v>N/A</v>
          </cell>
          <cell r="F497" t="str">
            <v>N/A</v>
          </cell>
          <cell r="G497">
            <v>3690</v>
          </cell>
          <cell r="H497">
            <v>3690</v>
          </cell>
          <cell r="I497" t="str">
            <v>N/A</v>
          </cell>
          <cell r="J497" t="str">
            <v>N/A</v>
          </cell>
          <cell r="K497">
            <v>1498.14</v>
          </cell>
          <cell r="L497">
            <v>0</v>
          </cell>
          <cell r="M497">
            <v>75</v>
          </cell>
          <cell r="N497">
            <v>0</v>
          </cell>
          <cell r="O497">
            <v>0</v>
          </cell>
          <cell r="P497">
            <v>0</v>
          </cell>
          <cell r="Q497">
            <v>0</v>
          </cell>
          <cell r="R497">
            <v>14.76</v>
          </cell>
          <cell r="S497">
            <v>3690</v>
          </cell>
          <cell r="T497">
            <v>-3.69</v>
          </cell>
          <cell r="U497">
            <v>0</v>
          </cell>
          <cell r="V497">
            <v>35</v>
          </cell>
          <cell r="W497">
            <v>1.75</v>
          </cell>
          <cell r="X497">
            <v>0</v>
          </cell>
          <cell r="Y497">
            <v>0</v>
          </cell>
          <cell r="Z497">
            <v>0</v>
          </cell>
          <cell r="AA497">
            <v>1620.96</v>
          </cell>
        </row>
        <row r="498">
          <cell r="A498" t="str">
            <v>Packaging Corporation of America</v>
          </cell>
          <cell r="B498">
            <v>37377</v>
          </cell>
          <cell r="C498">
            <v>3286</v>
          </cell>
          <cell r="D498">
            <v>3286</v>
          </cell>
          <cell r="E498" t="str">
            <v>N/A</v>
          </cell>
          <cell r="F498" t="str">
            <v>N/A</v>
          </cell>
          <cell r="G498">
            <v>3600</v>
          </cell>
          <cell r="H498">
            <v>3600</v>
          </cell>
          <cell r="I498" t="str">
            <v>N/A</v>
          </cell>
          <cell r="J498" t="str">
            <v>N/A</v>
          </cell>
          <cell r="K498">
            <v>1461.6</v>
          </cell>
          <cell r="L498">
            <v>0</v>
          </cell>
          <cell r="M498">
            <v>75</v>
          </cell>
          <cell r="N498">
            <v>0</v>
          </cell>
          <cell r="O498">
            <v>0</v>
          </cell>
          <cell r="P498">
            <v>0</v>
          </cell>
          <cell r="Q498">
            <v>0</v>
          </cell>
          <cell r="R498">
            <v>0</v>
          </cell>
          <cell r="S498">
            <v>0</v>
          </cell>
          <cell r="T498">
            <v>0</v>
          </cell>
          <cell r="U498">
            <v>0</v>
          </cell>
          <cell r="V498">
            <v>35</v>
          </cell>
          <cell r="W498">
            <v>1.75</v>
          </cell>
          <cell r="X498">
            <v>0</v>
          </cell>
          <cell r="Y498">
            <v>0</v>
          </cell>
          <cell r="Z498">
            <v>0</v>
          </cell>
          <cell r="AA498">
            <v>1573.35</v>
          </cell>
        </row>
        <row r="499">
          <cell r="A499" t="str">
            <v>Packaging Corporation of America</v>
          </cell>
          <cell r="B499">
            <v>37408</v>
          </cell>
          <cell r="C499">
            <v>3558</v>
          </cell>
          <cell r="D499">
            <v>3558</v>
          </cell>
          <cell r="E499" t="str">
            <v>N/A</v>
          </cell>
          <cell r="F499" t="str">
            <v>N/A</v>
          </cell>
          <cell r="G499">
            <v>3000</v>
          </cell>
          <cell r="H499">
            <v>3000</v>
          </cell>
          <cell r="I499" t="str">
            <v>N/A</v>
          </cell>
          <cell r="J499" t="str">
            <v>N/A</v>
          </cell>
          <cell r="K499">
            <v>1218</v>
          </cell>
          <cell r="L499">
            <v>0</v>
          </cell>
          <cell r="M499">
            <v>75</v>
          </cell>
          <cell r="N499">
            <v>0</v>
          </cell>
          <cell r="O499">
            <v>0</v>
          </cell>
          <cell r="P499">
            <v>0</v>
          </cell>
          <cell r="Q499">
            <v>0</v>
          </cell>
          <cell r="R499">
            <v>0</v>
          </cell>
          <cell r="S499">
            <v>0</v>
          </cell>
          <cell r="T499">
            <v>0</v>
          </cell>
          <cell r="U499">
            <v>0</v>
          </cell>
          <cell r="V499">
            <v>35</v>
          </cell>
          <cell r="W499">
            <v>1.75</v>
          </cell>
          <cell r="X499">
            <v>0</v>
          </cell>
          <cell r="Y499">
            <v>0</v>
          </cell>
          <cell r="Z499">
            <v>0</v>
          </cell>
          <cell r="AA499">
            <v>1329.75</v>
          </cell>
        </row>
        <row r="500">
          <cell r="A500" t="str">
            <v>Packaging Corporation of America</v>
          </cell>
          <cell r="B500">
            <v>37438</v>
          </cell>
          <cell r="C500">
            <v>3547</v>
          </cell>
          <cell r="D500">
            <v>3547</v>
          </cell>
          <cell r="E500" t="str">
            <v>N/A</v>
          </cell>
          <cell r="F500" t="str">
            <v>N/A</v>
          </cell>
          <cell r="G500">
            <v>3070</v>
          </cell>
          <cell r="H500">
            <v>3070</v>
          </cell>
          <cell r="I500" t="str">
            <v>N/A</v>
          </cell>
          <cell r="J500" t="str">
            <v>N/A</v>
          </cell>
          <cell r="K500">
            <v>1246.42</v>
          </cell>
          <cell r="L500">
            <v>0</v>
          </cell>
          <cell r="M500">
            <v>75</v>
          </cell>
          <cell r="N500">
            <v>0</v>
          </cell>
          <cell r="O500">
            <v>0</v>
          </cell>
          <cell r="P500">
            <v>0</v>
          </cell>
          <cell r="Q500">
            <v>0</v>
          </cell>
          <cell r="R500">
            <v>0</v>
          </cell>
          <cell r="S500">
            <v>0</v>
          </cell>
          <cell r="T500">
            <v>0</v>
          </cell>
          <cell r="U500">
            <v>0</v>
          </cell>
          <cell r="V500">
            <v>35</v>
          </cell>
          <cell r="W500">
            <v>1.75</v>
          </cell>
          <cell r="X500">
            <v>0</v>
          </cell>
          <cell r="Y500">
            <v>0</v>
          </cell>
          <cell r="Z500">
            <v>0</v>
          </cell>
          <cell r="AA500">
            <v>1358.17</v>
          </cell>
        </row>
        <row r="501">
          <cell r="A501" t="str">
            <v>Peerless Pottery</v>
          </cell>
          <cell r="B501">
            <v>37104</v>
          </cell>
          <cell r="C501">
            <v>8177</v>
          </cell>
          <cell r="D501">
            <v>8177</v>
          </cell>
          <cell r="E501" t="str">
            <v>N/A</v>
          </cell>
          <cell r="F501" t="str">
            <v>N/A</v>
          </cell>
          <cell r="G501">
            <v>8300</v>
          </cell>
          <cell r="H501">
            <v>8300</v>
          </cell>
          <cell r="I501" t="str">
            <v>N/A</v>
          </cell>
          <cell r="J501" t="str">
            <v>N/A</v>
          </cell>
          <cell r="K501">
            <v>3369.8</v>
          </cell>
          <cell r="L501">
            <v>0</v>
          </cell>
          <cell r="M501">
            <v>75</v>
          </cell>
          <cell r="N501">
            <v>0</v>
          </cell>
          <cell r="O501">
            <v>0</v>
          </cell>
          <cell r="P501">
            <v>0</v>
          </cell>
          <cell r="Q501">
            <v>0</v>
          </cell>
          <cell r="R501">
            <v>-8.3000000000000007</v>
          </cell>
          <cell r="S501">
            <v>0</v>
          </cell>
          <cell r="T501">
            <v>0</v>
          </cell>
          <cell r="U501">
            <v>0</v>
          </cell>
          <cell r="V501">
            <v>35</v>
          </cell>
          <cell r="W501">
            <v>0</v>
          </cell>
          <cell r="X501">
            <v>0</v>
          </cell>
          <cell r="Y501">
            <v>0</v>
          </cell>
          <cell r="Z501">
            <v>0</v>
          </cell>
          <cell r="AA501">
            <v>3471.5</v>
          </cell>
        </row>
        <row r="502">
          <cell r="A502" t="str">
            <v>Peerless Pottery</v>
          </cell>
          <cell r="B502">
            <v>37135</v>
          </cell>
          <cell r="C502">
            <v>8393</v>
          </cell>
          <cell r="D502">
            <v>8393</v>
          </cell>
          <cell r="E502" t="str">
            <v>N/A</v>
          </cell>
          <cell r="F502" t="str">
            <v>N/A</v>
          </cell>
          <cell r="G502">
            <v>9100</v>
          </cell>
          <cell r="H502">
            <v>9100</v>
          </cell>
          <cell r="I502" t="str">
            <v>N/A</v>
          </cell>
          <cell r="J502" t="str">
            <v>N/A</v>
          </cell>
          <cell r="K502">
            <v>3694.6</v>
          </cell>
          <cell r="L502">
            <v>0</v>
          </cell>
          <cell r="M502">
            <v>75</v>
          </cell>
          <cell r="N502">
            <v>0</v>
          </cell>
          <cell r="O502">
            <v>0</v>
          </cell>
          <cell r="P502">
            <v>0</v>
          </cell>
          <cell r="Q502">
            <v>0</v>
          </cell>
          <cell r="R502">
            <v>-9.1</v>
          </cell>
          <cell r="S502">
            <v>0</v>
          </cell>
          <cell r="T502">
            <v>0</v>
          </cell>
          <cell r="U502">
            <v>0</v>
          </cell>
          <cell r="V502">
            <v>35</v>
          </cell>
          <cell r="W502">
            <v>0</v>
          </cell>
          <cell r="X502">
            <v>0</v>
          </cell>
          <cell r="Y502">
            <v>0</v>
          </cell>
          <cell r="Z502">
            <v>0</v>
          </cell>
          <cell r="AA502">
            <v>3795.5</v>
          </cell>
        </row>
        <row r="503">
          <cell r="A503" t="str">
            <v>Peerless Pottery</v>
          </cell>
          <cell r="B503">
            <v>37165</v>
          </cell>
          <cell r="C503">
            <v>9799</v>
          </cell>
          <cell r="D503">
            <v>9799</v>
          </cell>
          <cell r="E503" t="str">
            <v>N/A</v>
          </cell>
          <cell r="F503" t="str">
            <v>N/A</v>
          </cell>
          <cell r="G503">
            <v>10200</v>
          </cell>
          <cell r="H503">
            <v>10200</v>
          </cell>
          <cell r="I503" t="str">
            <v>N/A</v>
          </cell>
          <cell r="J503" t="str">
            <v>N/A</v>
          </cell>
          <cell r="K503">
            <v>4141.2</v>
          </cell>
          <cell r="L503">
            <v>0</v>
          </cell>
          <cell r="M503">
            <v>75</v>
          </cell>
          <cell r="N503">
            <v>0</v>
          </cell>
          <cell r="O503">
            <v>0</v>
          </cell>
          <cell r="P503">
            <v>0</v>
          </cell>
          <cell r="Q503">
            <v>0</v>
          </cell>
          <cell r="R503">
            <v>-10.199999999999999</v>
          </cell>
          <cell r="S503">
            <v>0</v>
          </cell>
          <cell r="T503">
            <v>0</v>
          </cell>
          <cell r="U503">
            <v>0</v>
          </cell>
          <cell r="V503">
            <v>35</v>
          </cell>
          <cell r="W503">
            <v>0</v>
          </cell>
          <cell r="X503">
            <v>0</v>
          </cell>
          <cell r="Y503">
            <v>0</v>
          </cell>
          <cell r="Z503">
            <v>0</v>
          </cell>
          <cell r="AA503">
            <v>4241</v>
          </cell>
        </row>
        <row r="504">
          <cell r="A504" t="str">
            <v>Peerless Pottery</v>
          </cell>
          <cell r="B504">
            <v>37196</v>
          </cell>
          <cell r="C504">
            <v>10459</v>
          </cell>
          <cell r="D504">
            <v>10459</v>
          </cell>
          <cell r="E504" t="str">
            <v>N/A</v>
          </cell>
          <cell r="F504" t="str">
            <v>N/A</v>
          </cell>
          <cell r="G504">
            <v>10400</v>
          </cell>
          <cell r="H504">
            <v>10400</v>
          </cell>
          <cell r="I504" t="str">
            <v>N/A</v>
          </cell>
          <cell r="J504" t="str">
            <v>N/A</v>
          </cell>
          <cell r="K504">
            <v>4222.3999999999996</v>
          </cell>
          <cell r="L504">
            <v>0</v>
          </cell>
          <cell r="M504">
            <v>75</v>
          </cell>
          <cell r="N504">
            <v>0</v>
          </cell>
          <cell r="O504">
            <v>0</v>
          </cell>
          <cell r="P504">
            <v>0</v>
          </cell>
          <cell r="Q504">
            <v>0</v>
          </cell>
          <cell r="R504">
            <v>-10.4</v>
          </cell>
          <cell r="S504">
            <v>0</v>
          </cell>
          <cell r="T504">
            <v>0</v>
          </cell>
          <cell r="U504">
            <v>0</v>
          </cell>
          <cell r="V504">
            <v>35</v>
          </cell>
          <cell r="W504">
            <v>0</v>
          </cell>
          <cell r="X504">
            <v>0</v>
          </cell>
          <cell r="Y504">
            <v>0</v>
          </cell>
          <cell r="Z504">
            <v>0</v>
          </cell>
          <cell r="AA504">
            <v>4322</v>
          </cell>
        </row>
        <row r="505">
          <cell r="A505" t="str">
            <v>Peerless Pottery</v>
          </cell>
          <cell r="B505">
            <v>37226</v>
          </cell>
          <cell r="C505">
            <v>10823</v>
          </cell>
          <cell r="D505">
            <v>10823</v>
          </cell>
          <cell r="E505" t="str">
            <v>N/A</v>
          </cell>
          <cell r="F505" t="str">
            <v>N/A</v>
          </cell>
          <cell r="G505">
            <v>12000</v>
          </cell>
          <cell r="H505">
            <v>12000</v>
          </cell>
          <cell r="I505" t="str">
            <v>N/A</v>
          </cell>
          <cell r="J505" t="str">
            <v>N/A</v>
          </cell>
          <cell r="K505">
            <v>4872</v>
          </cell>
          <cell r="L505">
            <v>0</v>
          </cell>
          <cell r="M505">
            <v>75</v>
          </cell>
          <cell r="N505">
            <v>0</v>
          </cell>
          <cell r="O505">
            <v>0</v>
          </cell>
          <cell r="P505">
            <v>0</v>
          </cell>
          <cell r="Q505">
            <v>0</v>
          </cell>
          <cell r="R505">
            <v>-12</v>
          </cell>
          <cell r="S505">
            <v>0</v>
          </cell>
          <cell r="T505">
            <v>0</v>
          </cell>
          <cell r="U505">
            <v>0</v>
          </cell>
          <cell r="V505">
            <v>35</v>
          </cell>
          <cell r="W505">
            <v>0</v>
          </cell>
          <cell r="X505">
            <v>0</v>
          </cell>
          <cell r="Y505">
            <v>0</v>
          </cell>
          <cell r="Z505">
            <v>0</v>
          </cell>
          <cell r="AA505">
            <v>4970</v>
          </cell>
        </row>
        <row r="506">
          <cell r="A506" t="str">
            <v>Peerless Pottery</v>
          </cell>
          <cell r="B506">
            <v>37257</v>
          </cell>
          <cell r="C506">
            <v>11555</v>
          </cell>
          <cell r="D506">
            <v>11555</v>
          </cell>
          <cell r="E506" t="str">
            <v>N/A</v>
          </cell>
          <cell r="F506" t="str">
            <v>N/A</v>
          </cell>
          <cell r="G506">
            <v>10000</v>
          </cell>
          <cell r="H506">
            <v>10000</v>
          </cell>
          <cell r="I506" t="str">
            <v>N/A</v>
          </cell>
          <cell r="J506" t="str">
            <v>N/A</v>
          </cell>
          <cell r="K506">
            <v>4060</v>
          </cell>
          <cell r="L506">
            <v>0</v>
          </cell>
          <cell r="M506">
            <v>75</v>
          </cell>
          <cell r="N506">
            <v>0</v>
          </cell>
          <cell r="O506">
            <v>0</v>
          </cell>
          <cell r="P506">
            <v>0</v>
          </cell>
          <cell r="Q506">
            <v>0</v>
          </cell>
          <cell r="R506">
            <v>-10</v>
          </cell>
          <cell r="S506">
            <v>0</v>
          </cell>
          <cell r="T506">
            <v>0</v>
          </cell>
          <cell r="U506">
            <v>0</v>
          </cell>
          <cell r="V506">
            <v>35</v>
          </cell>
          <cell r="W506">
            <v>0</v>
          </cell>
          <cell r="X506">
            <v>0</v>
          </cell>
          <cell r="Y506">
            <v>0</v>
          </cell>
          <cell r="Z506">
            <v>0</v>
          </cell>
          <cell r="AA506">
            <v>4160</v>
          </cell>
        </row>
        <row r="507">
          <cell r="A507" t="str">
            <v>Peerless Pottery</v>
          </cell>
          <cell r="B507">
            <v>37288</v>
          </cell>
          <cell r="C507">
            <v>11665</v>
          </cell>
          <cell r="D507">
            <v>11665</v>
          </cell>
          <cell r="E507" t="str">
            <v>N/A</v>
          </cell>
          <cell r="F507" t="str">
            <v>N/A</v>
          </cell>
          <cell r="G507">
            <v>12027</v>
          </cell>
          <cell r="H507">
            <v>12027</v>
          </cell>
          <cell r="I507" t="str">
            <v>N/A</v>
          </cell>
          <cell r="J507" t="str">
            <v>N/A</v>
          </cell>
          <cell r="K507">
            <v>4882.96</v>
          </cell>
          <cell r="L507">
            <v>0</v>
          </cell>
          <cell r="M507">
            <v>75</v>
          </cell>
          <cell r="N507">
            <v>0</v>
          </cell>
          <cell r="O507">
            <v>0</v>
          </cell>
          <cell r="P507">
            <v>0</v>
          </cell>
          <cell r="Q507">
            <v>0</v>
          </cell>
          <cell r="R507">
            <v>-12.03</v>
          </cell>
          <cell r="S507">
            <v>0</v>
          </cell>
          <cell r="T507">
            <v>0</v>
          </cell>
          <cell r="U507">
            <v>0</v>
          </cell>
          <cell r="V507">
            <v>35</v>
          </cell>
          <cell r="W507">
            <v>0</v>
          </cell>
          <cell r="X507">
            <v>0</v>
          </cell>
          <cell r="Y507">
            <v>0</v>
          </cell>
          <cell r="Z507">
            <v>0</v>
          </cell>
          <cell r="AA507">
            <v>4980.93</v>
          </cell>
        </row>
        <row r="508">
          <cell r="A508" t="str">
            <v>Peerless Pottery</v>
          </cell>
          <cell r="B508">
            <v>37316</v>
          </cell>
          <cell r="C508">
            <v>11089</v>
          </cell>
          <cell r="D508">
            <v>11089</v>
          </cell>
          <cell r="E508" t="str">
            <v>N/A</v>
          </cell>
          <cell r="F508" t="str">
            <v>N/A</v>
          </cell>
          <cell r="G508">
            <v>11078</v>
          </cell>
          <cell r="H508">
            <v>11078</v>
          </cell>
          <cell r="I508" t="str">
            <v>N/A</v>
          </cell>
          <cell r="J508" t="str">
            <v>N/A</v>
          </cell>
          <cell r="K508">
            <v>4497.67</v>
          </cell>
          <cell r="L508">
            <v>0</v>
          </cell>
          <cell r="M508">
            <v>75</v>
          </cell>
          <cell r="N508">
            <v>0</v>
          </cell>
          <cell r="O508">
            <v>0</v>
          </cell>
          <cell r="P508">
            <v>0</v>
          </cell>
          <cell r="Q508">
            <v>0</v>
          </cell>
          <cell r="R508">
            <v>-11.08</v>
          </cell>
          <cell r="S508">
            <v>0</v>
          </cell>
          <cell r="T508">
            <v>0</v>
          </cell>
          <cell r="U508">
            <v>0</v>
          </cell>
          <cell r="V508">
            <v>35</v>
          </cell>
          <cell r="W508">
            <v>0</v>
          </cell>
          <cell r="X508">
            <v>0</v>
          </cell>
          <cell r="Y508">
            <v>0</v>
          </cell>
          <cell r="Z508">
            <v>0</v>
          </cell>
          <cell r="AA508">
            <v>4596.59</v>
          </cell>
        </row>
        <row r="509">
          <cell r="A509" t="str">
            <v>Peerless Pottery</v>
          </cell>
          <cell r="B509">
            <v>37347</v>
          </cell>
          <cell r="C509">
            <v>9173</v>
          </cell>
          <cell r="D509">
            <v>9173</v>
          </cell>
          <cell r="E509" t="str">
            <v>N/A</v>
          </cell>
          <cell r="F509" t="str">
            <v>N/A</v>
          </cell>
          <cell r="G509">
            <v>9300</v>
          </cell>
          <cell r="H509">
            <v>9300</v>
          </cell>
          <cell r="I509" t="str">
            <v>N/A</v>
          </cell>
          <cell r="J509" t="str">
            <v>N/A</v>
          </cell>
          <cell r="K509">
            <v>3775.8</v>
          </cell>
          <cell r="L509">
            <v>0</v>
          </cell>
          <cell r="M509">
            <v>75</v>
          </cell>
          <cell r="N509">
            <v>0</v>
          </cell>
          <cell r="O509">
            <v>0</v>
          </cell>
          <cell r="P509">
            <v>0</v>
          </cell>
          <cell r="Q509">
            <v>0</v>
          </cell>
          <cell r="R509">
            <v>-9.3000000000000007</v>
          </cell>
          <cell r="S509">
            <v>0</v>
          </cell>
          <cell r="T509">
            <v>0</v>
          </cell>
          <cell r="U509">
            <v>0</v>
          </cell>
          <cell r="V509">
            <v>35</v>
          </cell>
          <cell r="W509">
            <v>0</v>
          </cell>
          <cell r="X509">
            <v>0</v>
          </cell>
          <cell r="Y509">
            <v>0</v>
          </cell>
          <cell r="Z509">
            <v>0</v>
          </cell>
          <cell r="AA509">
            <v>3876.5</v>
          </cell>
        </row>
        <row r="510">
          <cell r="A510" t="str">
            <v>Peerless Pottery</v>
          </cell>
          <cell r="B510">
            <v>37377</v>
          </cell>
          <cell r="C510">
            <v>9128</v>
          </cell>
          <cell r="D510">
            <v>9128</v>
          </cell>
          <cell r="E510" t="str">
            <v>N/A</v>
          </cell>
          <cell r="F510" t="str">
            <v>N/A</v>
          </cell>
          <cell r="G510">
            <v>9314</v>
          </cell>
          <cell r="H510">
            <v>9314</v>
          </cell>
          <cell r="I510" t="str">
            <v>N/A</v>
          </cell>
          <cell r="J510" t="str">
            <v>N/A</v>
          </cell>
          <cell r="K510">
            <v>3781.48</v>
          </cell>
          <cell r="L510">
            <v>0</v>
          </cell>
          <cell r="M510">
            <v>75</v>
          </cell>
          <cell r="N510">
            <v>0</v>
          </cell>
          <cell r="O510">
            <v>0</v>
          </cell>
          <cell r="P510">
            <v>0</v>
          </cell>
          <cell r="Q510">
            <v>0</v>
          </cell>
          <cell r="R510">
            <v>0</v>
          </cell>
          <cell r="S510">
            <v>0</v>
          </cell>
          <cell r="T510">
            <v>0</v>
          </cell>
          <cell r="U510">
            <v>0</v>
          </cell>
          <cell r="V510">
            <v>35</v>
          </cell>
          <cell r="W510">
            <v>0</v>
          </cell>
          <cell r="X510">
            <v>0</v>
          </cell>
          <cell r="Y510">
            <v>0</v>
          </cell>
          <cell r="Z510">
            <v>0</v>
          </cell>
          <cell r="AA510">
            <v>3891.48</v>
          </cell>
        </row>
        <row r="511">
          <cell r="A511" t="str">
            <v>Peerless Pottery</v>
          </cell>
          <cell r="B511">
            <v>37408</v>
          </cell>
          <cell r="C511">
            <v>8066</v>
          </cell>
          <cell r="D511">
            <v>8066</v>
          </cell>
          <cell r="E511" t="str">
            <v>N/A</v>
          </cell>
          <cell r="F511" t="str">
            <v>N/A</v>
          </cell>
          <cell r="G511">
            <v>9000</v>
          </cell>
          <cell r="H511">
            <v>9000</v>
          </cell>
          <cell r="I511" t="str">
            <v>N/A</v>
          </cell>
          <cell r="J511" t="str">
            <v>N/A</v>
          </cell>
          <cell r="K511">
            <v>3654</v>
          </cell>
          <cell r="L511">
            <v>0</v>
          </cell>
          <cell r="M511">
            <v>75</v>
          </cell>
          <cell r="N511">
            <v>0</v>
          </cell>
          <cell r="O511">
            <v>0</v>
          </cell>
          <cell r="P511">
            <v>0</v>
          </cell>
          <cell r="Q511">
            <v>0</v>
          </cell>
          <cell r="R511">
            <v>0</v>
          </cell>
          <cell r="S511">
            <v>0</v>
          </cell>
          <cell r="T511">
            <v>0</v>
          </cell>
          <cell r="U511">
            <v>0</v>
          </cell>
          <cell r="V511">
            <v>35</v>
          </cell>
          <cell r="W511">
            <v>0</v>
          </cell>
          <cell r="X511">
            <v>0</v>
          </cell>
          <cell r="Y511">
            <v>0</v>
          </cell>
          <cell r="Z511">
            <v>0</v>
          </cell>
          <cell r="AA511">
            <v>3764</v>
          </cell>
        </row>
        <row r="512">
          <cell r="A512" t="str">
            <v>Peerless Pottery</v>
          </cell>
          <cell r="B512">
            <v>37438</v>
          </cell>
          <cell r="C512">
            <v>7856</v>
          </cell>
          <cell r="D512">
            <v>7856</v>
          </cell>
          <cell r="E512" t="str">
            <v>N/A</v>
          </cell>
          <cell r="F512" t="str">
            <v>N/A</v>
          </cell>
          <cell r="G512">
            <v>8200</v>
          </cell>
          <cell r="H512">
            <v>8200</v>
          </cell>
          <cell r="I512" t="str">
            <v>N/A</v>
          </cell>
          <cell r="J512" t="str">
            <v>N/A</v>
          </cell>
          <cell r="K512">
            <v>3329.2</v>
          </cell>
          <cell r="L512">
            <v>0</v>
          </cell>
          <cell r="M512">
            <v>75</v>
          </cell>
          <cell r="N512">
            <v>0</v>
          </cell>
          <cell r="O512">
            <v>0</v>
          </cell>
          <cell r="P512">
            <v>0</v>
          </cell>
          <cell r="Q512">
            <v>0</v>
          </cell>
          <cell r="R512">
            <v>0</v>
          </cell>
          <cell r="S512">
            <v>0</v>
          </cell>
          <cell r="T512">
            <v>0</v>
          </cell>
          <cell r="U512">
            <v>0</v>
          </cell>
          <cell r="V512">
            <v>35</v>
          </cell>
          <cell r="W512">
            <v>0</v>
          </cell>
          <cell r="X512">
            <v>0</v>
          </cell>
          <cell r="Y512">
            <v>0</v>
          </cell>
          <cell r="Z512">
            <v>0</v>
          </cell>
          <cell r="AA512">
            <v>3439.2</v>
          </cell>
        </row>
        <row r="513">
          <cell r="A513" t="str">
            <v>Perdue Farms – Clark Rd.</v>
          </cell>
          <cell r="B513">
            <v>37104</v>
          </cell>
          <cell r="C513">
            <v>6101</v>
          </cell>
          <cell r="D513">
            <v>6101</v>
          </cell>
          <cell r="E513" t="str">
            <v>N/A</v>
          </cell>
          <cell r="F513" t="str">
            <v>N/A</v>
          </cell>
          <cell r="G513">
            <v>6200</v>
          </cell>
          <cell r="H513">
            <v>6200</v>
          </cell>
          <cell r="I513" t="str">
            <v>N/A</v>
          </cell>
          <cell r="J513" t="str">
            <v>N/A</v>
          </cell>
          <cell r="K513">
            <v>2517.1999999999998</v>
          </cell>
          <cell r="L513">
            <v>0</v>
          </cell>
          <cell r="M513">
            <v>75</v>
          </cell>
          <cell r="N513">
            <v>0</v>
          </cell>
          <cell r="O513">
            <v>0</v>
          </cell>
          <cell r="P513">
            <v>0</v>
          </cell>
          <cell r="Q513">
            <v>0</v>
          </cell>
          <cell r="R513">
            <v>-161.19999999999999</v>
          </cell>
          <cell r="S513">
            <v>6200</v>
          </cell>
          <cell r="T513">
            <v>18.600000000000001</v>
          </cell>
          <cell r="U513">
            <v>0</v>
          </cell>
          <cell r="V513">
            <v>35</v>
          </cell>
          <cell r="W513">
            <v>0</v>
          </cell>
          <cell r="X513">
            <v>0</v>
          </cell>
          <cell r="Y513">
            <v>0</v>
          </cell>
          <cell r="Z513">
            <v>0</v>
          </cell>
          <cell r="AA513">
            <v>2484.6</v>
          </cell>
        </row>
        <row r="514">
          <cell r="A514" t="str">
            <v>Perdue Farms – Clark Rd.</v>
          </cell>
          <cell r="B514">
            <v>37135</v>
          </cell>
          <cell r="C514">
            <v>5875</v>
          </cell>
          <cell r="D514">
            <v>5875</v>
          </cell>
          <cell r="E514" t="str">
            <v>N/A</v>
          </cell>
          <cell r="F514" t="str">
            <v>N/A</v>
          </cell>
          <cell r="G514">
            <v>5971</v>
          </cell>
          <cell r="H514">
            <v>5971</v>
          </cell>
          <cell r="I514" t="str">
            <v>N/A</v>
          </cell>
          <cell r="J514" t="str">
            <v>N/A</v>
          </cell>
          <cell r="K514">
            <v>2424.23</v>
          </cell>
          <cell r="L514">
            <v>0</v>
          </cell>
          <cell r="M514">
            <v>75</v>
          </cell>
          <cell r="N514">
            <v>0</v>
          </cell>
          <cell r="O514">
            <v>0</v>
          </cell>
          <cell r="P514">
            <v>0</v>
          </cell>
          <cell r="Q514">
            <v>0</v>
          </cell>
          <cell r="R514">
            <v>-155.25</v>
          </cell>
          <cell r="S514">
            <v>5971</v>
          </cell>
          <cell r="T514">
            <v>17.91</v>
          </cell>
          <cell r="U514">
            <v>0</v>
          </cell>
          <cell r="V514">
            <v>35</v>
          </cell>
          <cell r="W514">
            <v>0</v>
          </cell>
          <cell r="X514">
            <v>0</v>
          </cell>
          <cell r="Y514">
            <v>0</v>
          </cell>
          <cell r="Z514">
            <v>0</v>
          </cell>
          <cell r="AA514">
            <v>2396.89</v>
          </cell>
        </row>
        <row r="515">
          <cell r="A515" t="str">
            <v>Perdue Farms – Clark Rd.</v>
          </cell>
          <cell r="B515">
            <v>37165</v>
          </cell>
          <cell r="C515">
            <v>7677</v>
          </cell>
          <cell r="D515">
            <v>7677</v>
          </cell>
          <cell r="E515" t="str">
            <v>N/A</v>
          </cell>
          <cell r="F515" t="str">
            <v>N/A</v>
          </cell>
          <cell r="G515">
            <v>7802</v>
          </cell>
          <cell r="H515">
            <v>7802</v>
          </cell>
          <cell r="I515" t="str">
            <v>N/A</v>
          </cell>
          <cell r="J515" t="str">
            <v>N/A</v>
          </cell>
          <cell r="K515">
            <v>3167.61</v>
          </cell>
          <cell r="L515">
            <v>0</v>
          </cell>
          <cell r="M515">
            <v>75</v>
          </cell>
          <cell r="N515">
            <v>0</v>
          </cell>
          <cell r="O515">
            <v>0</v>
          </cell>
          <cell r="P515">
            <v>0</v>
          </cell>
          <cell r="Q515">
            <v>0</v>
          </cell>
          <cell r="R515">
            <v>-202.85</v>
          </cell>
          <cell r="S515">
            <v>7802</v>
          </cell>
          <cell r="T515">
            <v>23.41</v>
          </cell>
          <cell r="U515">
            <v>0</v>
          </cell>
          <cell r="V515">
            <v>35</v>
          </cell>
          <cell r="W515">
            <v>0</v>
          </cell>
          <cell r="X515">
            <v>0</v>
          </cell>
          <cell r="Y515">
            <v>0</v>
          </cell>
          <cell r="Z515">
            <v>0</v>
          </cell>
          <cell r="AA515">
            <v>3098.17</v>
          </cell>
        </row>
        <row r="516">
          <cell r="A516" t="str">
            <v>Perdue Farms – Clark Rd.</v>
          </cell>
          <cell r="B516">
            <v>37196</v>
          </cell>
          <cell r="C516">
            <v>7039</v>
          </cell>
          <cell r="D516">
            <v>7039</v>
          </cell>
          <cell r="E516" t="str">
            <v>N/A</v>
          </cell>
          <cell r="F516" t="str">
            <v>N/A</v>
          </cell>
          <cell r="G516">
            <v>7153</v>
          </cell>
          <cell r="H516">
            <v>7153</v>
          </cell>
          <cell r="I516" t="str">
            <v>N/A</v>
          </cell>
          <cell r="J516" t="str">
            <v>N/A</v>
          </cell>
          <cell r="K516">
            <v>2904.12</v>
          </cell>
          <cell r="L516">
            <v>0</v>
          </cell>
          <cell r="M516">
            <v>75</v>
          </cell>
          <cell r="N516">
            <v>0</v>
          </cell>
          <cell r="O516">
            <v>0</v>
          </cell>
          <cell r="P516">
            <v>0</v>
          </cell>
          <cell r="Q516">
            <v>0</v>
          </cell>
          <cell r="R516">
            <v>-185.98</v>
          </cell>
          <cell r="S516">
            <v>7153</v>
          </cell>
          <cell r="T516">
            <v>21.46</v>
          </cell>
          <cell r="U516">
            <v>0</v>
          </cell>
          <cell r="V516">
            <v>35</v>
          </cell>
          <cell r="W516">
            <v>0</v>
          </cell>
          <cell r="X516">
            <v>0</v>
          </cell>
          <cell r="Y516">
            <v>0</v>
          </cell>
          <cell r="Z516">
            <v>0</v>
          </cell>
          <cell r="AA516">
            <v>2849.6</v>
          </cell>
        </row>
        <row r="517">
          <cell r="A517" t="str">
            <v>Perdue Farms – Clark Rd.</v>
          </cell>
          <cell r="B517">
            <v>37226</v>
          </cell>
          <cell r="C517">
            <v>7683</v>
          </cell>
          <cell r="D517">
            <v>7683</v>
          </cell>
          <cell r="E517" t="str">
            <v>N/A</v>
          </cell>
          <cell r="F517" t="str">
            <v>N/A</v>
          </cell>
          <cell r="G517">
            <v>7808</v>
          </cell>
          <cell r="H517">
            <v>7808</v>
          </cell>
          <cell r="I517" t="str">
            <v>N/A</v>
          </cell>
          <cell r="J517" t="str">
            <v>N/A</v>
          </cell>
          <cell r="K517">
            <v>3170.05</v>
          </cell>
          <cell r="L517">
            <v>0</v>
          </cell>
          <cell r="M517">
            <v>75</v>
          </cell>
          <cell r="N517">
            <v>0</v>
          </cell>
          <cell r="O517">
            <v>0</v>
          </cell>
          <cell r="P517">
            <v>0</v>
          </cell>
          <cell r="Q517">
            <v>0</v>
          </cell>
          <cell r="R517">
            <v>-203.01</v>
          </cell>
          <cell r="S517">
            <v>7808</v>
          </cell>
          <cell r="T517">
            <v>23.42</v>
          </cell>
          <cell r="U517">
            <v>0</v>
          </cell>
          <cell r="V517">
            <v>35</v>
          </cell>
          <cell r="W517">
            <v>0</v>
          </cell>
          <cell r="X517">
            <v>0</v>
          </cell>
          <cell r="Y517">
            <v>0</v>
          </cell>
          <cell r="Z517">
            <v>0</v>
          </cell>
          <cell r="AA517">
            <v>3100.46</v>
          </cell>
        </row>
        <row r="518">
          <cell r="A518" t="str">
            <v>Perdue Farms – Clark Rd.</v>
          </cell>
          <cell r="B518">
            <v>37257</v>
          </cell>
          <cell r="C518">
            <v>10429</v>
          </cell>
          <cell r="D518">
            <v>10429</v>
          </cell>
          <cell r="E518" t="str">
            <v>N/A</v>
          </cell>
          <cell r="F518" t="str">
            <v>N/A</v>
          </cell>
          <cell r="G518">
            <v>10600</v>
          </cell>
          <cell r="H518">
            <v>10600</v>
          </cell>
          <cell r="I518" t="str">
            <v>N/A</v>
          </cell>
          <cell r="J518" t="str">
            <v>N/A</v>
          </cell>
          <cell r="K518">
            <v>4303.6000000000004</v>
          </cell>
          <cell r="L518">
            <v>0</v>
          </cell>
          <cell r="M518">
            <v>75</v>
          </cell>
          <cell r="N518">
            <v>0</v>
          </cell>
          <cell r="O518">
            <v>0</v>
          </cell>
          <cell r="P518">
            <v>0</v>
          </cell>
          <cell r="Q518">
            <v>0</v>
          </cell>
          <cell r="R518">
            <v>-275.60000000000002</v>
          </cell>
          <cell r="S518">
            <v>10600</v>
          </cell>
          <cell r="T518">
            <v>31.8</v>
          </cell>
          <cell r="U518">
            <v>0</v>
          </cell>
          <cell r="V518">
            <v>35</v>
          </cell>
          <cell r="W518">
            <v>0</v>
          </cell>
          <cell r="X518">
            <v>0</v>
          </cell>
          <cell r="Y518">
            <v>0</v>
          </cell>
          <cell r="Z518">
            <v>0</v>
          </cell>
          <cell r="AA518">
            <v>4169.8</v>
          </cell>
        </row>
        <row r="519">
          <cell r="A519" t="str">
            <v>Perdue Farms – Clark Rd.</v>
          </cell>
          <cell r="B519">
            <v>37288</v>
          </cell>
          <cell r="C519">
            <v>8118</v>
          </cell>
          <cell r="D519">
            <v>8118</v>
          </cell>
          <cell r="E519" t="str">
            <v>N/A</v>
          </cell>
          <cell r="F519" t="str">
            <v>N/A</v>
          </cell>
          <cell r="G519">
            <v>8715</v>
          </cell>
          <cell r="H519">
            <v>8715</v>
          </cell>
          <cell r="I519" t="str">
            <v>N/A</v>
          </cell>
          <cell r="J519" t="str">
            <v>N/A</v>
          </cell>
          <cell r="K519">
            <v>3538.29</v>
          </cell>
          <cell r="L519">
            <v>0</v>
          </cell>
          <cell r="M519">
            <v>75</v>
          </cell>
          <cell r="N519">
            <v>0</v>
          </cell>
          <cell r="O519">
            <v>0</v>
          </cell>
          <cell r="P519">
            <v>0</v>
          </cell>
          <cell r="Q519">
            <v>0</v>
          </cell>
          <cell r="R519">
            <v>34.86</v>
          </cell>
          <cell r="S519">
            <v>8715</v>
          </cell>
          <cell r="T519">
            <v>-8.7100000000000009</v>
          </cell>
          <cell r="U519">
            <v>0</v>
          </cell>
          <cell r="V519">
            <v>35</v>
          </cell>
          <cell r="W519">
            <v>0</v>
          </cell>
          <cell r="X519">
            <v>0</v>
          </cell>
          <cell r="Y519">
            <v>0</v>
          </cell>
          <cell r="Z519">
            <v>0</v>
          </cell>
          <cell r="AA519">
            <v>3674.44</v>
          </cell>
        </row>
        <row r="520">
          <cell r="A520" t="str">
            <v>Perdue Farms – Clark Rd.</v>
          </cell>
          <cell r="B520">
            <v>37316</v>
          </cell>
          <cell r="C520">
            <v>7468</v>
          </cell>
          <cell r="D520">
            <v>7468</v>
          </cell>
          <cell r="E520" t="str">
            <v>N/A</v>
          </cell>
          <cell r="F520" t="str">
            <v>N/A</v>
          </cell>
          <cell r="G520">
            <v>7690</v>
          </cell>
          <cell r="H520">
            <v>7690</v>
          </cell>
          <cell r="I520" t="str">
            <v>N/A</v>
          </cell>
          <cell r="J520" t="str">
            <v>N/A</v>
          </cell>
          <cell r="K520">
            <v>3122.14</v>
          </cell>
          <cell r="L520">
            <v>0</v>
          </cell>
          <cell r="M520">
            <v>75</v>
          </cell>
          <cell r="N520">
            <v>0</v>
          </cell>
          <cell r="O520">
            <v>0</v>
          </cell>
          <cell r="P520">
            <v>0</v>
          </cell>
          <cell r="Q520">
            <v>0</v>
          </cell>
          <cell r="R520">
            <v>30.76</v>
          </cell>
          <cell r="S520">
            <v>7690</v>
          </cell>
          <cell r="T520">
            <v>-7.69</v>
          </cell>
          <cell r="U520">
            <v>0</v>
          </cell>
          <cell r="V520">
            <v>35</v>
          </cell>
          <cell r="W520">
            <v>0</v>
          </cell>
          <cell r="X520">
            <v>0</v>
          </cell>
          <cell r="Y520">
            <v>0</v>
          </cell>
          <cell r="Z520">
            <v>0</v>
          </cell>
          <cell r="AA520">
            <v>3255.21</v>
          </cell>
        </row>
        <row r="521">
          <cell r="A521" t="str">
            <v>Perdue Farms – Clark Rd.</v>
          </cell>
          <cell r="B521">
            <v>37347</v>
          </cell>
          <cell r="C521">
            <v>6816</v>
          </cell>
          <cell r="D521">
            <v>6816</v>
          </cell>
          <cell r="E521" t="str">
            <v>N/A</v>
          </cell>
          <cell r="F521" t="str">
            <v>N/A</v>
          </cell>
          <cell r="G521">
            <v>8310</v>
          </cell>
          <cell r="H521">
            <v>8310</v>
          </cell>
          <cell r="I521" t="str">
            <v>N/A</v>
          </cell>
          <cell r="J521" t="str">
            <v>N/A</v>
          </cell>
          <cell r="K521">
            <v>3373.86</v>
          </cell>
          <cell r="L521">
            <v>0</v>
          </cell>
          <cell r="M521">
            <v>75</v>
          </cell>
          <cell r="N521">
            <v>0</v>
          </cell>
          <cell r="O521">
            <v>0</v>
          </cell>
          <cell r="P521">
            <v>0</v>
          </cell>
          <cell r="Q521">
            <v>0</v>
          </cell>
          <cell r="R521">
            <v>33.24</v>
          </cell>
          <cell r="S521">
            <v>8310</v>
          </cell>
          <cell r="T521">
            <v>-8.31</v>
          </cell>
          <cell r="U521">
            <v>0</v>
          </cell>
          <cell r="V521">
            <v>35</v>
          </cell>
          <cell r="W521">
            <v>0</v>
          </cell>
          <cell r="X521">
            <v>0</v>
          </cell>
          <cell r="Y521">
            <v>0</v>
          </cell>
          <cell r="Z521">
            <v>0</v>
          </cell>
          <cell r="AA521">
            <v>3508.79</v>
          </cell>
        </row>
        <row r="522">
          <cell r="A522" t="str">
            <v>Perdue Farms – Clark Rd.</v>
          </cell>
          <cell r="B522">
            <v>37377</v>
          </cell>
          <cell r="C522">
            <v>6423</v>
          </cell>
          <cell r="D522">
            <v>6423</v>
          </cell>
          <cell r="E522" t="str">
            <v>N/A</v>
          </cell>
          <cell r="F522" t="str">
            <v>N/A</v>
          </cell>
          <cell r="G522">
            <v>6800</v>
          </cell>
          <cell r="H522">
            <v>6800</v>
          </cell>
          <cell r="I522" t="str">
            <v>N/A</v>
          </cell>
          <cell r="J522" t="str">
            <v>N/A</v>
          </cell>
          <cell r="K522">
            <v>2760.8</v>
          </cell>
          <cell r="L522">
            <v>0</v>
          </cell>
          <cell r="M522">
            <v>75</v>
          </cell>
          <cell r="N522">
            <v>0</v>
          </cell>
          <cell r="O522">
            <v>0</v>
          </cell>
          <cell r="P522">
            <v>0</v>
          </cell>
          <cell r="Q522">
            <v>0</v>
          </cell>
          <cell r="R522">
            <v>0</v>
          </cell>
          <cell r="S522">
            <v>0</v>
          </cell>
          <cell r="T522">
            <v>0</v>
          </cell>
          <cell r="U522">
            <v>0</v>
          </cell>
          <cell r="V522">
            <v>35</v>
          </cell>
          <cell r="W522">
            <v>0</v>
          </cell>
          <cell r="X522">
            <v>0</v>
          </cell>
          <cell r="Y522">
            <v>0</v>
          </cell>
          <cell r="Z522">
            <v>0</v>
          </cell>
          <cell r="AA522">
            <v>2870.8</v>
          </cell>
        </row>
        <row r="523">
          <cell r="A523" t="str">
            <v>Perdue Farms – Clark Rd.</v>
          </cell>
          <cell r="B523">
            <v>37408</v>
          </cell>
          <cell r="C523">
            <v>6745</v>
          </cell>
          <cell r="D523">
            <v>6745</v>
          </cell>
          <cell r="E523" t="str">
            <v>N/A</v>
          </cell>
          <cell r="F523" t="str">
            <v>N/A</v>
          </cell>
          <cell r="G523">
            <v>7500</v>
          </cell>
          <cell r="H523">
            <v>7500</v>
          </cell>
          <cell r="I523" t="str">
            <v>N/A</v>
          </cell>
          <cell r="J523" t="str">
            <v>N/A</v>
          </cell>
          <cell r="K523">
            <v>3045</v>
          </cell>
          <cell r="L523">
            <v>0</v>
          </cell>
          <cell r="M523">
            <v>75</v>
          </cell>
          <cell r="N523">
            <v>0</v>
          </cell>
          <cell r="O523">
            <v>0</v>
          </cell>
          <cell r="P523">
            <v>0</v>
          </cell>
          <cell r="Q523">
            <v>0</v>
          </cell>
          <cell r="R523">
            <v>0</v>
          </cell>
          <cell r="S523">
            <v>0</v>
          </cell>
          <cell r="T523">
            <v>0</v>
          </cell>
          <cell r="U523">
            <v>0</v>
          </cell>
          <cell r="V523">
            <v>35</v>
          </cell>
          <cell r="W523">
            <v>0</v>
          </cell>
          <cell r="X523">
            <v>0</v>
          </cell>
          <cell r="Y523">
            <v>0</v>
          </cell>
          <cell r="Z523">
            <v>0</v>
          </cell>
          <cell r="AA523">
            <v>3155</v>
          </cell>
        </row>
        <row r="524">
          <cell r="A524" t="str">
            <v>Perdue Farms – Clark Rd.</v>
          </cell>
          <cell r="B524">
            <v>37438</v>
          </cell>
          <cell r="C524">
            <v>7118</v>
          </cell>
          <cell r="D524">
            <v>7118</v>
          </cell>
          <cell r="E524" t="str">
            <v>N/A</v>
          </cell>
          <cell r="F524" t="str">
            <v>N/A</v>
          </cell>
          <cell r="G524">
            <v>6600</v>
          </cell>
          <cell r="H524">
            <v>6600</v>
          </cell>
          <cell r="I524" t="str">
            <v>N/A</v>
          </cell>
          <cell r="J524" t="str">
            <v>N/A</v>
          </cell>
          <cell r="K524">
            <v>2679.6</v>
          </cell>
          <cell r="L524">
            <v>0</v>
          </cell>
          <cell r="M524">
            <v>75</v>
          </cell>
          <cell r="N524">
            <v>0</v>
          </cell>
          <cell r="O524">
            <v>0</v>
          </cell>
          <cell r="P524">
            <v>0</v>
          </cell>
          <cell r="Q524">
            <v>0</v>
          </cell>
          <cell r="R524">
            <v>0</v>
          </cell>
          <cell r="S524">
            <v>0</v>
          </cell>
          <cell r="T524">
            <v>0</v>
          </cell>
          <cell r="U524">
            <v>0</v>
          </cell>
          <cell r="V524">
            <v>35</v>
          </cell>
          <cell r="W524">
            <v>0</v>
          </cell>
          <cell r="X524">
            <v>0</v>
          </cell>
          <cell r="Y524">
            <v>0</v>
          </cell>
          <cell r="Z524">
            <v>0</v>
          </cell>
          <cell r="AA524">
            <v>2789.6</v>
          </cell>
        </row>
        <row r="525">
          <cell r="A525" t="str">
            <v>Perdue Farms – Edwardsport Rd.</v>
          </cell>
          <cell r="B525">
            <v>37104</v>
          </cell>
          <cell r="C525">
            <v>2565</v>
          </cell>
          <cell r="D525">
            <v>2565</v>
          </cell>
          <cell r="E525" t="str">
            <v>N/A</v>
          </cell>
          <cell r="F525" t="str">
            <v>N/A</v>
          </cell>
          <cell r="G525">
            <v>2607</v>
          </cell>
          <cell r="H525">
            <v>2607</v>
          </cell>
          <cell r="I525" t="str">
            <v>N/A</v>
          </cell>
          <cell r="J525" t="str">
            <v>N/A</v>
          </cell>
          <cell r="K525">
            <v>1058.44</v>
          </cell>
          <cell r="L525">
            <v>0</v>
          </cell>
          <cell r="M525">
            <v>75</v>
          </cell>
          <cell r="N525">
            <v>0</v>
          </cell>
          <cell r="O525">
            <v>0</v>
          </cell>
          <cell r="P525">
            <v>0</v>
          </cell>
          <cell r="Q525">
            <v>0</v>
          </cell>
          <cell r="R525">
            <v>-67.78</v>
          </cell>
          <cell r="S525">
            <v>2607</v>
          </cell>
          <cell r="T525">
            <v>7.82</v>
          </cell>
          <cell r="U525">
            <v>0</v>
          </cell>
          <cell r="V525">
            <v>35</v>
          </cell>
          <cell r="W525">
            <v>0</v>
          </cell>
          <cell r="X525">
            <v>0</v>
          </cell>
          <cell r="Y525">
            <v>0</v>
          </cell>
          <cell r="Z525">
            <v>0</v>
          </cell>
          <cell r="AA525">
            <v>1108.48</v>
          </cell>
        </row>
        <row r="526">
          <cell r="A526" t="str">
            <v>Perdue Farms – Edwardsport Rd.</v>
          </cell>
          <cell r="B526">
            <v>37135</v>
          </cell>
          <cell r="C526">
            <v>5924</v>
          </cell>
          <cell r="D526">
            <v>5924</v>
          </cell>
          <cell r="E526" t="str">
            <v>N/A</v>
          </cell>
          <cell r="F526" t="str">
            <v>N/A</v>
          </cell>
          <cell r="G526">
            <v>6020</v>
          </cell>
          <cell r="H526">
            <v>6020</v>
          </cell>
          <cell r="I526" t="str">
            <v>N/A</v>
          </cell>
          <cell r="J526" t="str">
            <v>N/A</v>
          </cell>
          <cell r="K526">
            <v>2444.12</v>
          </cell>
          <cell r="L526">
            <v>0</v>
          </cell>
          <cell r="M526">
            <v>75</v>
          </cell>
          <cell r="N526">
            <v>0</v>
          </cell>
          <cell r="O526">
            <v>0</v>
          </cell>
          <cell r="P526">
            <v>0</v>
          </cell>
          <cell r="Q526">
            <v>0</v>
          </cell>
          <cell r="R526">
            <v>-156.52000000000001</v>
          </cell>
          <cell r="S526">
            <v>6020</v>
          </cell>
          <cell r="T526">
            <v>18.059999999999999</v>
          </cell>
          <cell r="U526">
            <v>0</v>
          </cell>
          <cell r="V526">
            <v>35</v>
          </cell>
          <cell r="W526">
            <v>0</v>
          </cell>
          <cell r="X526">
            <v>0</v>
          </cell>
          <cell r="Y526">
            <v>0</v>
          </cell>
          <cell r="Z526">
            <v>0</v>
          </cell>
          <cell r="AA526">
            <v>2415.66</v>
          </cell>
        </row>
        <row r="527">
          <cell r="A527" t="str">
            <v>Perdue Farms – Edwardsport Rd.</v>
          </cell>
          <cell r="B527">
            <v>37165</v>
          </cell>
          <cell r="C527">
            <v>4137</v>
          </cell>
          <cell r="D527">
            <v>4137</v>
          </cell>
          <cell r="E527" t="str">
            <v>N/A</v>
          </cell>
          <cell r="F527" t="str">
            <v>N/A</v>
          </cell>
          <cell r="G527">
            <v>4348</v>
          </cell>
          <cell r="H527">
            <v>4348</v>
          </cell>
          <cell r="I527" t="str">
            <v>N/A</v>
          </cell>
          <cell r="J527" t="str">
            <v>N/A</v>
          </cell>
          <cell r="K527">
            <v>1765.29</v>
          </cell>
          <cell r="L527">
            <v>0</v>
          </cell>
          <cell r="M527">
            <v>75</v>
          </cell>
          <cell r="N527">
            <v>0</v>
          </cell>
          <cell r="O527">
            <v>0</v>
          </cell>
          <cell r="P527">
            <v>0</v>
          </cell>
          <cell r="Q527">
            <v>0</v>
          </cell>
          <cell r="R527">
            <v>-113.05</v>
          </cell>
          <cell r="S527">
            <v>4348</v>
          </cell>
          <cell r="T527">
            <v>13.04</v>
          </cell>
          <cell r="U527">
            <v>0</v>
          </cell>
          <cell r="V527">
            <v>35</v>
          </cell>
          <cell r="W527">
            <v>0</v>
          </cell>
          <cell r="X527">
            <v>0</v>
          </cell>
          <cell r="Y527">
            <v>0</v>
          </cell>
          <cell r="Z527">
            <v>0</v>
          </cell>
          <cell r="AA527">
            <v>1775.28</v>
          </cell>
        </row>
        <row r="528">
          <cell r="A528" t="str">
            <v>Perdue Farms – Edwardsport Rd.</v>
          </cell>
          <cell r="B528">
            <v>37196</v>
          </cell>
          <cell r="C528">
            <v>3232</v>
          </cell>
          <cell r="D528">
            <v>3232</v>
          </cell>
          <cell r="E528" t="str">
            <v>N/A</v>
          </cell>
          <cell r="F528" t="str">
            <v>N/A</v>
          </cell>
          <cell r="G528">
            <v>3285</v>
          </cell>
          <cell r="H528">
            <v>3285</v>
          </cell>
          <cell r="I528" t="str">
            <v>N/A</v>
          </cell>
          <cell r="J528" t="str">
            <v>N/A</v>
          </cell>
          <cell r="K528">
            <v>1333.71</v>
          </cell>
          <cell r="L528">
            <v>0</v>
          </cell>
          <cell r="M528">
            <v>75</v>
          </cell>
          <cell r="N528">
            <v>0</v>
          </cell>
          <cell r="O528">
            <v>0</v>
          </cell>
          <cell r="P528">
            <v>0</v>
          </cell>
          <cell r="Q528">
            <v>0</v>
          </cell>
          <cell r="R528">
            <v>-85.41</v>
          </cell>
          <cell r="S528">
            <v>3285</v>
          </cell>
          <cell r="T528">
            <v>9.86</v>
          </cell>
          <cell r="U528">
            <v>0</v>
          </cell>
          <cell r="V528">
            <v>35</v>
          </cell>
          <cell r="W528">
            <v>0</v>
          </cell>
          <cell r="X528">
            <v>0</v>
          </cell>
          <cell r="Y528">
            <v>0</v>
          </cell>
          <cell r="Z528">
            <v>0</v>
          </cell>
          <cell r="AA528">
            <v>1368.16</v>
          </cell>
        </row>
        <row r="529">
          <cell r="A529" t="str">
            <v>Perdue Farms – Edwardsport Rd.</v>
          </cell>
          <cell r="B529">
            <v>37226</v>
          </cell>
          <cell r="C529">
            <v>3160</v>
          </cell>
          <cell r="D529">
            <v>3160</v>
          </cell>
          <cell r="E529" t="str">
            <v>N/A</v>
          </cell>
          <cell r="F529" t="str">
            <v>N/A</v>
          </cell>
          <cell r="G529">
            <v>3161</v>
          </cell>
          <cell r="H529">
            <v>3161</v>
          </cell>
          <cell r="I529" t="str">
            <v>N/A</v>
          </cell>
          <cell r="J529" t="str">
            <v>N/A</v>
          </cell>
          <cell r="K529">
            <v>1283.3699999999999</v>
          </cell>
          <cell r="L529">
            <v>0</v>
          </cell>
          <cell r="M529">
            <v>75</v>
          </cell>
          <cell r="N529">
            <v>0</v>
          </cell>
          <cell r="O529">
            <v>0</v>
          </cell>
          <cell r="P529">
            <v>0</v>
          </cell>
          <cell r="Q529">
            <v>0</v>
          </cell>
          <cell r="R529">
            <v>-82.19</v>
          </cell>
          <cell r="S529">
            <v>3161</v>
          </cell>
          <cell r="T529">
            <v>9.48</v>
          </cell>
          <cell r="U529">
            <v>0</v>
          </cell>
          <cell r="V529">
            <v>35</v>
          </cell>
          <cell r="W529">
            <v>0</v>
          </cell>
          <cell r="X529">
            <v>0</v>
          </cell>
          <cell r="Y529">
            <v>0</v>
          </cell>
          <cell r="Z529">
            <v>0</v>
          </cell>
          <cell r="AA529">
            <v>1320.66</v>
          </cell>
        </row>
        <row r="530">
          <cell r="A530" t="str">
            <v>Perdue Farms – Edwardsport Rd.</v>
          </cell>
          <cell r="B530">
            <v>37257</v>
          </cell>
          <cell r="C530">
            <v>4429</v>
          </cell>
          <cell r="D530">
            <v>4429</v>
          </cell>
          <cell r="E530" t="str">
            <v>N/A</v>
          </cell>
          <cell r="F530" t="str">
            <v>N/A</v>
          </cell>
          <cell r="G530">
            <v>4410</v>
          </cell>
          <cell r="H530">
            <v>4410</v>
          </cell>
          <cell r="I530" t="str">
            <v>N/A</v>
          </cell>
          <cell r="J530" t="str">
            <v>N/A</v>
          </cell>
          <cell r="K530">
            <v>1790.46</v>
          </cell>
          <cell r="L530">
            <v>0</v>
          </cell>
          <cell r="M530">
            <v>75</v>
          </cell>
          <cell r="N530">
            <v>0</v>
          </cell>
          <cell r="O530">
            <v>0</v>
          </cell>
          <cell r="P530">
            <v>0</v>
          </cell>
          <cell r="Q530">
            <v>0</v>
          </cell>
          <cell r="R530">
            <v>-114.66</v>
          </cell>
          <cell r="S530">
            <v>4410</v>
          </cell>
          <cell r="T530">
            <v>13.23</v>
          </cell>
          <cell r="U530">
            <v>0</v>
          </cell>
          <cell r="V530">
            <v>35</v>
          </cell>
          <cell r="W530">
            <v>0</v>
          </cell>
          <cell r="X530">
            <v>0</v>
          </cell>
          <cell r="Y530">
            <v>0</v>
          </cell>
          <cell r="Z530">
            <v>0</v>
          </cell>
          <cell r="AA530">
            <v>1799.03</v>
          </cell>
        </row>
        <row r="531">
          <cell r="A531" t="str">
            <v>Perdue Farms – Edwardsport Rd.</v>
          </cell>
          <cell r="B531">
            <v>37288</v>
          </cell>
          <cell r="C531">
            <v>3351</v>
          </cell>
          <cell r="D531">
            <v>3351</v>
          </cell>
          <cell r="E531" t="str">
            <v>N/A</v>
          </cell>
          <cell r="F531" t="str">
            <v>N/A</v>
          </cell>
          <cell r="G531">
            <v>3436</v>
          </cell>
          <cell r="H531">
            <v>3436</v>
          </cell>
          <cell r="I531" t="str">
            <v>N/A</v>
          </cell>
          <cell r="J531" t="str">
            <v>N/A</v>
          </cell>
          <cell r="K531">
            <v>1395.02</v>
          </cell>
          <cell r="L531">
            <v>0</v>
          </cell>
          <cell r="M531">
            <v>75</v>
          </cell>
          <cell r="N531">
            <v>0</v>
          </cell>
          <cell r="O531">
            <v>0</v>
          </cell>
          <cell r="P531">
            <v>0</v>
          </cell>
          <cell r="Q531">
            <v>0</v>
          </cell>
          <cell r="R531">
            <v>13.74</v>
          </cell>
          <cell r="S531">
            <v>3436</v>
          </cell>
          <cell r="T531">
            <v>-3.44</v>
          </cell>
          <cell r="U531">
            <v>0</v>
          </cell>
          <cell r="V531">
            <v>35</v>
          </cell>
          <cell r="W531">
            <v>0</v>
          </cell>
          <cell r="X531">
            <v>0</v>
          </cell>
          <cell r="Y531">
            <v>0</v>
          </cell>
          <cell r="Z531">
            <v>0</v>
          </cell>
          <cell r="AA531">
            <v>1515.32</v>
          </cell>
        </row>
        <row r="532">
          <cell r="A532" t="str">
            <v>Perdue Farms – Edwardsport Rd.</v>
          </cell>
          <cell r="B532">
            <v>37316</v>
          </cell>
          <cell r="C532">
            <v>3747</v>
          </cell>
          <cell r="D532">
            <v>3747</v>
          </cell>
          <cell r="E532" t="str">
            <v>N/A</v>
          </cell>
          <cell r="F532" t="str">
            <v>N/A</v>
          </cell>
          <cell r="G532">
            <v>4278</v>
          </cell>
          <cell r="H532">
            <v>4278</v>
          </cell>
          <cell r="I532" t="str">
            <v>N/A</v>
          </cell>
          <cell r="J532" t="str">
            <v>N/A</v>
          </cell>
          <cell r="K532">
            <v>1736.87</v>
          </cell>
          <cell r="L532">
            <v>0</v>
          </cell>
          <cell r="M532">
            <v>75</v>
          </cell>
          <cell r="N532">
            <v>0</v>
          </cell>
          <cell r="O532">
            <v>0</v>
          </cell>
          <cell r="P532">
            <v>0</v>
          </cell>
          <cell r="Q532">
            <v>0</v>
          </cell>
          <cell r="R532">
            <v>17.11</v>
          </cell>
          <cell r="S532">
            <v>4278</v>
          </cell>
          <cell r="T532">
            <v>-4.28</v>
          </cell>
          <cell r="U532">
            <v>0</v>
          </cell>
          <cell r="V532">
            <v>35</v>
          </cell>
          <cell r="W532">
            <v>0</v>
          </cell>
          <cell r="X532">
            <v>0</v>
          </cell>
          <cell r="Y532">
            <v>0</v>
          </cell>
          <cell r="Z532">
            <v>0</v>
          </cell>
          <cell r="AA532">
            <v>1859.7</v>
          </cell>
        </row>
        <row r="533">
          <cell r="A533" t="str">
            <v>Perdue Farms – Edwardsport Rd.</v>
          </cell>
          <cell r="B533">
            <v>37347</v>
          </cell>
          <cell r="C533">
            <v>4206</v>
          </cell>
          <cell r="D533">
            <v>4206</v>
          </cell>
          <cell r="E533" t="str">
            <v>N/A</v>
          </cell>
          <cell r="F533" t="str">
            <v>N/A</v>
          </cell>
          <cell r="G533">
            <v>3690</v>
          </cell>
          <cell r="H533">
            <v>3690</v>
          </cell>
          <cell r="I533" t="str">
            <v>N/A</v>
          </cell>
          <cell r="J533" t="str">
            <v>N/A</v>
          </cell>
          <cell r="K533">
            <v>1498.14</v>
          </cell>
          <cell r="L533">
            <v>0</v>
          </cell>
          <cell r="M533">
            <v>75</v>
          </cell>
          <cell r="N533">
            <v>0</v>
          </cell>
          <cell r="O533">
            <v>0</v>
          </cell>
          <cell r="P533">
            <v>0</v>
          </cell>
          <cell r="Q533">
            <v>0</v>
          </cell>
          <cell r="R533">
            <v>14.76</v>
          </cell>
          <cell r="S533">
            <v>3690</v>
          </cell>
          <cell r="T533">
            <v>-3.69</v>
          </cell>
          <cell r="U533">
            <v>0</v>
          </cell>
          <cell r="V533">
            <v>35</v>
          </cell>
          <cell r="W533">
            <v>0</v>
          </cell>
          <cell r="X533">
            <v>0</v>
          </cell>
          <cell r="Y533">
            <v>0</v>
          </cell>
          <cell r="Z533">
            <v>0</v>
          </cell>
          <cell r="AA533">
            <v>1619.21</v>
          </cell>
        </row>
        <row r="534">
          <cell r="A534" t="str">
            <v>Perdue Farms – Edwardsport Rd.</v>
          </cell>
          <cell r="B534">
            <v>37377</v>
          </cell>
          <cell r="C534">
            <v>4155</v>
          </cell>
          <cell r="D534">
            <v>4155</v>
          </cell>
          <cell r="E534" t="str">
            <v>N/A</v>
          </cell>
          <cell r="F534" t="str">
            <v>N/A</v>
          </cell>
          <cell r="G534">
            <v>4200</v>
          </cell>
          <cell r="H534">
            <v>4200</v>
          </cell>
          <cell r="I534" t="str">
            <v>N/A</v>
          </cell>
          <cell r="J534" t="str">
            <v>N/A</v>
          </cell>
          <cell r="K534">
            <v>1705.2</v>
          </cell>
          <cell r="L534">
            <v>0</v>
          </cell>
          <cell r="M534">
            <v>75</v>
          </cell>
          <cell r="N534">
            <v>0</v>
          </cell>
          <cell r="O534">
            <v>0</v>
          </cell>
          <cell r="P534">
            <v>0</v>
          </cell>
          <cell r="Q534">
            <v>0</v>
          </cell>
          <cell r="R534">
            <v>0</v>
          </cell>
          <cell r="S534">
            <v>0</v>
          </cell>
          <cell r="T534">
            <v>0</v>
          </cell>
          <cell r="U534">
            <v>0</v>
          </cell>
          <cell r="V534">
            <v>35</v>
          </cell>
          <cell r="W534">
            <v>0</v>
          </cell>
          <cell r="X534">
            <v>0</v>
          </cell>
          <cell r="Y534">
            <v>0</v>
          </cell>
          <cell r="Z534">
            <v>0</v>
          </cell>
          <cell r="AA534">
            <v>1815.2</v>
          </cell>
        </row>
        <row r="535">
          <cell r="A535" t="str">
            <v>Perdue Farms – Edwardsport Rd.</v>
          </cell>
          <cell r="B535">
            <v>37408</v>
          </cell>
          <cell r="C535">
            <v>2754</v>
          </cell>
          <cell r="D535">
            <v>2754</v>
          </cell>
          <cell r="E535" t="str">
            <v>N/A</v>
          </cell>
          <cell r="F535" t="str">
            <v>N/A</v>
          </cell>
          <cell r="G535">
            <v>3300</v>
          </cell>
          <cell r="H535">
            <v>3300</v>
          </cell>
          <cell r="I535" t="str">
            <v>N/A</v>
          </cell>
          <cell r="J535" t="str">
            <v>N/A</v>
          </cell>
          <cell r="K535">
            <v>1339.8</v>
          </cell>
          <cell r="L535">
            <v>0</v>
          </cell>
          <cell r="M535">
            <v>75</v>
          </cell>
          <cell r="N535">
            <v>0</v>
          </cell>
          <cell r="O535">
            <v>0</v>
          </cell>
          <cell r="P535">
            <v>0</v>
          </cell>
          <cell r="Q535">
            <v>0</v>
          </cell>
          <cell r="R535">
            <v>0</v>
          </cell>
          <cell r="S535">
            <v>0</v>
          </cell>
          <cell r="T535">
            <v>0</v>
          </cell>
          <cell r="U535">
            <v>0</v>
          </cell>
          <cell r="V535">
            <v>35</v>
          </cell>
          <cell r="W535">
            <v>0</v>
          </cell>
          <cell r="X535">
            <v>0</v>
          </cell>
          <cell r="Y535">
            <v>0</v>
          </cell>
          <cell r="Z535">
            <v>0</v>
          </cell>
          <cell r="AA535">
            <v>1449.8</v>
          </cell>
        </row>
        <row r="536">
          <cell r="A536" t="str">
            <v>Perdue Farms – Edwardsport Rd.</v>
          </cell>
          <cell r="B536">
            <v>37438</v>
          </cell>
          <cell r="C536">
            <v>2455</v>
          </cell>
          <cell r="D536">
            <v>2455</v>
          </cell>
          <cell r="E536" t="str">
            <v>N/A</v>
          </cell>
          <cell r="F536" t="str">
            <v>N/A</v>
          </cell>
          <cell r="G536">
            <v>2800</v>
          </cell>
          <cell r="H536">
            <v>2800</v>
          </cell>
          <cell r="I536" t="str">
            <v>N/A</v>
          </cell>
          <cell r="J536" t="str">
            <v>N/A</v>
          </cell>
          <cell r="K536">
            <v>1136.8</v>
          </cell>
          <cell r="L536">
            <v>0</v>
          </cell>
          <cell r="M536">
            <v>75</v>
          </cell>
          <cell r="N536">
            <v>0</v>
          </cell>
          <cell r="O536">
            <v>0</v>
          </cell>
          <cell r="P536">
            <v>0</v>
          </cell>
          <cell r="Q536">
            <v>0</v>
          </cell>
          <cell r="R536">
            <v>0</v>
          </cell>
          <cell r="S536">
            <v>0</v>
          </cell>
          <cell r="T536">
            <v>0</v>
          </cell>
          <cell r="U536">
            <v>0</v>
          </cell>
          <cell r="V536">
            <v>35</v>
          </cell>
          <cell r="W536">
            <v>0</v>
          </cell>
          <cell r="X536">
            <v>0</v>
          </cell>
          <cell r="Y536">
            <v>0</v>
          </cell>
          <cell r="Z536">
            <v>0</v>
          </cell>
          <cell r="AA536">
            <v>1246.8</v>
          </cell>
        </row>
        <row r="537">
          <cell r="A537" t="str">
            <v>PPG Industries, Inc.</v>
          </cell>
          <cell r="B537">
            <v>37104</v>
          </cell>
          <cell r="C537">
            <v>6317</v>
          </cell>
          <cell r="D537">
            <v>6317</v>
          </cell>
          <cell r="E537" t="str">
            <v>N/A</v>
          </cell>
          <cell r="F537" t="str">
            <v>N/A</v>
          </cell>
          <cell r="G537">
            <v>6500</v>
          </cell>
          <cell r="H537">
            <v>6500</v>
          </cell>
          <cell r="I537" t="str">
            <v>N/A</v>
          </cell>
          <cell r="J537" t="str">
            <v>N/A</v>
          </cell>
          <cell r="K537">
            <v>2639</v>
          </cell>
          <cell r="L537">
            <v>0</v>
          </cell>
          <cell r="M537">
            <v>75</v>
          </cell>
          <cell r="N537">
            <v>0</v>
          </cell>
          <cell r="O537">
            <v>0</v>
          </cell>
          <cell r="P537">
            <v>0</v>
          </cell>
          <cell r="Q537">
            <v>0</v>
          </cell>
          <cell r="R537">
            <v>0</v>
          </cell>
          <cell r="S537">
            <v>6500</v>
          </cell>
          <cell r="T537">
            <v>19.5</v>
          </cell>
          <cell r="U537">
            <v>0</v>
          </cell>
          <cell r="V537">
            <v>35</v>
          </cell>
          <cell r="W537">
            <v>0</v>
          </cell>
          <cell r="X537">
            <v>0</v>
          </cell>
          <cell r="Y537">
            <v>0</v>
          </cell>
          <cell r="Z537">
            <v>0</v>
          </cell>
          <cell r="AA537">
            <v>2768.5</v>
          </cell>
        </row>
        <row r="538">
          <cell r="A538" t="str">
            <v>PPG Industries, Inc.</v>
          </cell>
          <cell r="B538">
            <v>37135</v>
          </cell>
          <cell r="C538">
            <v>6183</v>
          </cell>
          <cell r="D538">
            <v>6183</v>
          </cell>
          <cell r="E538" t="str">
            <v>N/A</v>
          </cell>
          <cell r="F538" t="str">
            <v>N/A</v>
          </cell>
          <cell r="G538">
            <v>6500</v>
          </cell>
          <cell r="H538">
            <v>6500</v>
          </cell>
          <cell r="I538" t="str">
            <v>N/A</v>
          </cell>
          <cell r="J538" t="str">
            <v>N/A</v>
          </cell>
          <cell r="K538">
            <v>2639</v>
          </cell>
          <cell r="L538">
            <v>0</v>
          </cell>
          <cell r="M538">
            <v>75</v>
          </cell>
          <cell r="N538">
            <v>0</v>
          </cell>
          <cell r="O538">
            <v>0</v>
          </cell>
          <cell r="P538">
            <v>0</v>
          </cell>
          <cell r="Q538">
            <v>0</v>
          </cell>
          <cell r="R538">
            <v>0</v>
          </cell>
          <cell r="S538">
            <v>6500</v>
          </cell>
          <cell r="T538">
            <v>19.5</v>
          </cell>
          <cell r="U538">
            <v>0</v>
          </cell>
          <cell r="V538">
            <v>35</v>
          </cell>
          <cell r="W538">
            <v>0</v>
          </cell>
          <cell r="X538">
            <v>0</v>
          </cell>
          <cell r="Y538">
            <v>0</v>
          </cell>
          <cell r="Z538">
            <v>0</v>
          </cell>
          <cell r="AA538">
            <v>2768.5</v>
          </cell>
        </row>
        <row r="539">
          <cell r="A539" t="str">
            <v>PPG Industries, Inc.</v>
          </cell>
          <cell r="B539">
            <v>37165</v>
          </cell>
          <cell r="C539">
            <v>8037</v>
          </cell>
          <cell r="D539">
            <v>8037</v>
          </cell>
          <cell r="E539" t="str">
            <v>N/A</v>
          </cell>
          <cell r="F539" t="str">
            <v>N/A</v>
          </cell>
          <cell r="G539">
            <v>8500</v>
          </cell>
          <cell r="H539">
            <v>8500</v>
          </cell>
          <cell r="I539" t="str">
            <v>N/A</v>
          </cell>
          <cell r="J539" t="str">
            <v>N/A</v>
          </cell>
          <cell r="K539">
            <v>3451</v>
          </cell>
          <cell r="L539">
            <v>0</v>
          </cell>
          <cell r="M539">
            <v>75</v>
          </cell>
          <cell r="N539">
            <v>0</v>
          </cell>
          <cell r="O539">
            <v>0</v>
          </cell>
          <cell r="P539">
            <v>0</v>
          </cell>
          <cell r="Q539">
            <v>0</v>
          </cell>
          <cell r="R539">
            <v>0</v>
          </cell>
          <cell r="S539">
            <v>8500</v>
          </cell>
          <cell r="T539">
            <v>25.5</v>
          </cell>
          <cell r="U539">
            <v>0</v>
          </cell>
          <cell r="V539">
            <v>35</v>
          </cell>
          <cell r="W539">
            <v>0</v>
          </cell>
          <cell r="X539">
            <v>0</v>
          </cell>
          <cell r="Y539">
            <v>0</v>
          </cell>
          <cell r="Z539">
            <v>0</v>
          </cell>
          <cell r="AA539">
            <v>3586.5</v>
          </cell>
        </row>
        <row r="540">
          <cell r="A540" t="str">
            <v>PPG Industries, Inc.</v>
          </cell>
          <cell r="B540">
            <v>37196</v>
          </cell>
          <cell r="C540">
            <v>8863</v>
          </cell>
          <cell r="D540">
            <v>8863</v>
          </cell>
          <cell r="E540" t="str">
            <v>N/A</v>
          </cell>
          <cell r="F540" t="str">
            <v>N/A</v>
          </cell>
          <cell r="G540">
            <v>7650</v>
          </cell>
          <cell r="H540">
            <v>7650</v>
          </cell>
          <cell r="I540" t="str">
            <v>N/A</v>
          </cell>
          <cell r="J540" t="str">
            <v>N/A</v>
          </cell>
          <cell r="K540">
            <v>3105.9</v>
          </cell>
          <cell r="L540">
            <v>0</v>
          </cell>
          <cell r="M540">
            <v>75</v>
          </cell>
          <cell r="N540">
            <v>0</v>
          </cell>
          <cell r="O540">
            <v>0</v>
          </cell>
          <cell r="P540">
            <v>0</v>
          </cell>
          <cell r="Q540">
            <v>0</v>
          </cell>
          <cell r="R540">
            <v>0</v>
          </cell>
          <cell r="S540">
            <v>7650</v>
          </cell>
          <cell r="T540">
            <v>22.95</v>
          </cell>
          <cell r="U540">
            <v>0</v>
          </cell>
          <cell r="V540">
            <v>35</v>
          </cell>
          <cell r="W540">
            <v>0</v>
          </cell>
          <cell r="X540">
            <v>0</v>
          </cell>
          <cell r="Y540">
            <v>0</v>
          </cell>
          <cell r="Z540">
            <v>0</v>
          </cell>
          <cell r="AA540">
            <v>3238.85</v>
          </cell>
        </row>
        <row r="541">
          <cell r="A541" t="str">
            <v>PPG Industries, Inc.</v>
          </cell>
          <cell r="B541">
            <v>37226</v>
          </cell>
          <cell r="C541">
            <v>9343</v>
          </cell>
          <cell r="D541">
            <v>9343</v>
          </cell>
          <cell r="E541" t="str">
            <v>N/A</v>
          </cell>
          <cell r="F541" t="str">
            <v>N/A</v>
          </cell>
          <cell r="G541">
            <v>9491</v>
          </cell>
          <cell r="H541">
            <v>9491</v>
          </cell>
          <cell r="I541" t="str">
            <v>N/A</v>
          </cell>
          <cell r="J541" t="str">
            <v>N/A</v>
          </cell>
          <cell r="K541">
            <v>3853.35</v>
          </cell>
          <cell r="L541">
            <v>0</v>
          </cell>
          <cell r="M541">
            <v>75</v>
          </cell>
          <cell r="N541">
            <v>0</v>
          </cell>
          <cell r="O541">
            <v>0</v>
          </cell>
          <cell r="P541">
            <v>0</v>
          </cell>
          <cell r="Q541">
            <v>0</v>
          </cell>
          <cell r="R541">
            <v>0</v>
          </cell>
          <cell r="S541">
            <v>9491</v>
          </cell>
          <cell r="T541">
            <v>28.47</v>
          </cell>
          <cell r="U541">
            <v>0</v>
          </cell>
          <cell r="V541">
            <v>35</v>
          </cell>
          <cell r="W541">
            <v>0</v>
          </cell>
          <cell r="X541">
            <v>0</v>
          </cell>
          <cell r="Y541">
            <v>0</v>
          </cell>
          <cell r="Z541">
            <v>0</v>
          </cell>
          <cell r="AA541">
            <v>3991.82</v>
          </cell>
        </row>
        <row r="542">
          <cell r="A542" t="str">
            <v>PPG Industries, Inc.</v>
          </cell>
          <cell r="B542">
            <v>37257</v>
          </cell>
          <cell r="C542">
            <v>10381</v>
          </cell>
          <cell r="D542">
            <v>10381</v>
          </cell>
          <cell r="E542" t="str">
            <v>N/A</v>
          </cell>
          <cell r="F542" t="str">
            <v>N/A</v>
          </cell>
          <cell r="G542">
            <v>10550</v>
          </cell>
          <cell r="H542">
            <v>10550</v>
          </cell>
          <cell r="I542" t="str">
            <v>N/A</v>
          </cell>
          <cell r="J542" t="str">
            <v>N/A</v>
          </cell>
          <cell r="K542">
            <v>4283.3</v>
          </cell>
          <cell r="L542">
            <v>0</v>
          </cell>
          <cell r="M542">
            <v>75</v>
          </cell>
          <cell r="N542">
            <v>0</v>
          </cell>
          <cell r="O542">
            <v>0</v>
          </cell>
          <cell r="P542">
            <v>0</v>
          </cell>
          <cell r="Q542">
            <v>0</v>
          </cell>
          <cell r="R542">
            <v>0</v>
          </cell>
          <cell r="S542">
            <v>10550</v>
          </cell>
          <cell r="T542">
            <v>31.65</v>
          </cell>
          <cell r="U542">
            <v>0</v>
          </cell>
          <cell r="V542">
            <v>35</v>
          </cell>
          <cell r="W542">
            <v>0</v>
          </cell>
          <cell r="X542">
            <v>0</v>
          </cell>
          <cell r="Y542">
            <v>0</v>
          </cell>
          <cell r="Z542">
            <v>0</v>
          </cell>
          <cell r="AA542">
            <v>4424.95</v>
          </cell>
        </row>
        <row r="543">
          <cell r="A543" t="str">
            <v>PPG Industries, Inc.</v>
          </cell>
          <cell r="B543">
            <v>37288</v>
          </cell>
          <cell r="C543">
            <v>8537</v>
          </cell>
          <cell r="D543">
            <v>8537</v>
          </cell>
          <cell r="E543" t="str">
            <v>N/A</v>
          </cell>
          <cell r="F543" t="str">
            <v>N/A</v>
          </cell>
          <cell r="G543">
            <v>8682</v>
          </cell>
          <cell r="H543">
            <v>8682</v>
          </cell>
          <cell r="I543" t="str">
            <v>N/A</v>
          </cell>
          <cell r="J543" t="str">
            <v>N/A</v>
          </cell>
          <cell r="K543">
            <v>3524.89</v>
          </cell>
          <cell r="L543">
            <v>0</v>
          </cell>
          <cell r="M543">
            <v>75</v>
          </cell>
          <cell r="N543">
            <v>0</v>
          </cell>
          <cell r="O543">
            <v>0</v>
          </cell>
          <cell r="P543">
            <v>0</v>
          </cell>
          <cell r="Q543">
            <v>0</v>
          </cell>
          <cell r="R543">
            <v>0</v>
          </cell>
          <cell r="S543">
            <v>8682</v>
          </cell>
          <cell r="T543">
            <v>-8.68</v>
          </cell>
          <cell r="U543">
            <v>0</v>
          </cell>
          <cell r="V543">
            <v>35</v>
          </cell>
          <cell r="W543">
            <v>0</v>
          </cell>
          <cell r="X543">
            <v>0</v>
          </cell>
          <cell r="Y543">
            <v>0</v>
          </cell>
          <cell r="Z543">
            <v>0</v>
          </cell>
          <cell r="AA543">
            <v>3626.21</v>
          </cell>
        </row>
        <row r="544">
          <cell r="A544" t="str">
            <v>PPG Industries, Inc.</v>
          </cell>
          <cell r="B544">
            <v>37316</v>
          </cell>
          <cell r="C544">
            <v>8907</v>
          </cell>
          <cell r="D544">
            <v>8907</v>
          </cell>
          <cell r="E544" t="str">
            <v>N/A</v>
          </cell>
          <cell r="F544" t="str">
            <v>N/A</v>
          </cell>
          <cell r="G544">
            <v>9060</v>
          </cell>
          <cell r="H544">
            <v>9060</v>
          </cell>
          <cell r="I544" t="str">
            <v>N/A</v>
          </cell>
          <cell r="J544" t="str">
            <v>N/A</v>
          </cell>
          <cell r="K544">
            <v>3678.36</v>
          </cell>
          <cell r="L544">
            <v>0</v>
          </cell>
          <cell r="M544">
            <v>75</v>
          </cell>
          <cell r="N544">
            <v>0</v>
          </cell>
          <cell r="O544">
            <v>0</v>
          </cell>
          <cell r="P544">
            <v>0</v>
          </cell>
          <cell r="Q544">
            <v>0</v>
          </cell>
          <cell r="R544">
            <v>0</v>
          </cell>
          <cell r="S544">
            <v>9060</v>
          </cell>
          <cell r="T544">
            <v>-9.06</v>
          </cell>
          <cell r="U544">
            <v>0</v>
          </cell>
          <cell r="V544">
            <v>35</v>
          </cell>
          <cell r="W544">
            <v>0</v>
          </cell>
          <cell r="X544">
            <v>0</v>
          </cell>
          <cell r="Y544">
            <v>0</v>
          </cell>
          <cell r="Z544">
            <v>0</v>
          </cell>
          <cell r="AA544">
            <v>3779.3</v>
          </cell>
        </row>
        <row r="545">
          <cell r="A545" t="str">
            <v>PPG Industries, Inc.</v>
          </cell>
          <cell r="B545">
            <v>37347</v>
          </cell>
          <cell r="C545">
            <v>7199</v>
          </cell>
          <cell r="D545">
            <v>7199</v>
          </cell>
          <cell r="E545" t="str">
            <v>N/A</v>
          </cell>
          <cell r="F545" t="str">
            <v>N/A</v>
          </cell>
          <cell r="G545">
            <v>7363</v>
          </cell>
          <cell r="H545">
            <v>7363</v>
          </cell>
          <cell r="I545" t="str">
            <v>N/A</v>
          </cell>
          <cell r="J545" t="str">
            <v>N/A</v>
          </cell>
          <cell r="K545">
            <v>2989.38</v>
          </cell>
          <cell r="L545">
            <v>0</v>
          </cell>
          <cell r="M545">
            <v>75</v>
          </cell>
          <cell r="N545">
            <v>0</v>
          </cell>
          <cell r="O545">
            <v>0</v>
          </cell>
          <cell r="P545">
            <v>0</v>
          </cell>
          <cell r="Q545">
            <v>0</v>
          </cell>
          <cell r="R545">
            <v>0</v>
          </cell>
          <cell r="S545">
            <v>7363</v>
          </cell>
          <cell r="T545">
            <v>-7.36</v>
          </cell>
          <cell r="U545">
            <v>0</v>
          </cell>
          <cell r="V545">
            <v>35</v>
          </cell>
          <cell r="W545">
            <v>0</v>
          </cell>
          <cell r="X545">
            <v>0</v>
          </cell>
          <cell r="Y545">
            <v>0</v>
          </cell>
          <cell r="Z545">
            <v>0</v>
          </cell>
          <cell r="AA545">
            <v>3092.02</v>
          </cell>
        </row>
        <row r="546">
          <cell r="A546" t="str">
            <v>PPG Industries, Inc.</v>
          </cell>
          <cell r="B546">
            <v>37377</v>
          </cell>
          <cell r="C546">
            <v>5559</v>
          </cell>
          <cell r="D546">
            <v>5559</v>
          </cell>
          <cell r="E546" t="str">
            <v>N/A</v>
          </cell>
          <cell r="F546" t="str">
            <v>N/A</v>
          </cell>
          <cell r="G546">
            <v>6500</v>
          </cell>
          <cell r="H546">
            <v>6500</v>
          </cell>
          <cell r="I546" t="str">
            <v>N/A</v>
          </cell>
          <cell r="J546" t="str">
            <v>N/A</v>
          </cell>
          <cell r="K546">
            <v>2639</v>
          </cell>
          <cell r="L546">
            <v>0</v>
          </cell>
          <cell r="M546">
            <v>75</v>
          </cell>
          <cell r="N546">
            <v>0</v>
          </cell>
          <cell r="O546">
            <v>0</v>
          </cell>
          <cell r="P546">
            <v>0</v>
          </cell>
          <cell r="Q546">
            <v>0</v>
          </cell>
          <cell r="R546">
            <v>0</v>
          </cell>
          <cell r="S546">
            <v>0</v>
          </cell>
          <cell r="T546">
            <v>0</v>
          </cell>
          <cell r="U546">
            <v>0</v>
          </cell>
          <cell r="V546">
            <v>35</v>
          </cell>
          <cell r="W546">
            <v>0</v>
          </cell>
          <cell r="X546">
            <v>0</v>
          </cell>
          <cell r="Y546">
            <v>0</v>
          </cell>
          <cell r="Z546">
            <v>0</v>
          </cell>
          <cell r="AA546">
            <v>2749</v>
          </cell>
        </row>
        <row r="547">
          <cell r="A547" t="str">
            <v>PPG Industries, Inc.</v>
          </cell>
          <cell r="B547">
            <v>37408</v>
          </cell>
          <cell r="C547">
            <v>4919</v>
          </cell>
          <cell r="D547">
            <v>4919</v>
          </cell>
          <cell r="E547" t="str">
            <v>N/A</v>
          </cell>
          <cell r="F547" t="str">
            <v>N/A</v>
          </cell>
          <cell r="G547">
            <v>6000</v>
          </cell>
          <cell r="H547">
            <v>6000</v>
          </cell>
          <cell r="I547" t="str">
            <v>N/A</v>
          </cell>
          <cell r="J547" t="str">
            <v>N/A</v>
          </cell>
          <cell r="K547">
            <v>2436</v>
          </cell>
          <cell r="L547">
            <v>0</v>
          </cell>
          <cell r="M547">
            <v>75</v>
          </cell>
          <cell r="N547">
            <v>0</v>
          </cell>
          <cell r="O547">
            <v>0</v>
          </cell>
          <cell r="P547">
            <v>0</v>
          </cell>
          <cell r="Q547">
            <v>0</v>
          </cell>
          <cell r="R547">
            <v>0</v>
          </cell>
          <cell r="S547">
            <v>0</v>
          </cell>
          <cell r="T547">
            <v>0</v>
          </cell>
          <cell r="U547">
            <v>0</v>
          </cell>
          <cell r="V547">
            <v>35</v>
          </cell>
          <cell r="W547">
            <v>0</v>
          </cell>
          <cell r="X547">
            <v>0</v>
          </cell>
          <cell r="Y547">
            <v>0</v>
          </cell>
          <cell r="Z547">
            <v>0</v>
          </cell>
          <cell r="AA547">
            <v>2546</v>
          </cell>
        </row>
        <row r="548">
          <cell r="A548" t="str">
            <v>PPG Industries, Inc.</v>
          </cell>
          <cell r="B548">
            <v>37438</v>
          </cell>
          <cell r="C548">
            <v>4376</v>
          </cell>
          <cell r="D548">
            <v>4376</v>
          </cell>
          <cell r="E548" t="str">
            <v>N/A</v>
          </cell>
          <cell r="F548" t="str">
            <v>N/A</v>
          </cell>
          <cell r="G548">
            <v>6500</v>
          </cell>
          <cell r="H548">
            <v>6500</v>
          </cell>
          <cell r="I548" t="str">
            <v>N/A</v>
          </cell>
          <cell r="J548" t="str">
            <v>N/A</v>
          </cell>
          <cell r="K548">
            <v>2639</v>
          </cell>
          <cell r="L548">
            <v>0</v>
          </cell>
          <cell r="M548">
            <v>75</v>
          </cell>
          <cell r="N548">
            <v>0</v>
          </cell>
          <cell r="O548">
            <v>0</v>
          </cell>
          <cell r="P548">
            <v>0</v>
          </cell>
          <cell r="Q548">
            <v>0</v>
          </cell>
          <cell r="R548">
            <v>0</v>
          </cell>
          <cell r="S548">
            <v>0</v>
          </cell>
          <cell r="T548">
            <v>0</v>
          </cell>
          <cell r="U548">
            <v>0</v>
          </cell>
          <cell r="V548">
            <v>35</v>
          </cell>
          <cell r="W548">
            <v>0</v>
          </cell>
          <cell r="X548">
            <v>0</v>
          </cell>
          <cell r="Y548">
            <v>0</v>
          </cell>
          <cell r="Z548">
            <v>0</v>
          </cell>
          <cell r="AA548">
            <v>2749</v>
          </cell>
        </row>
        <row r="549">
          <cell r="A549" t="str">
            <v>Silgan Container Corp.(Am Nat’l Can)</v>
          </cell>
          <cell r="B549">
            <v>37104</v>
          </cell>
          <cell r="C549">
            <v>12670</v>
          </cell>
          <cell r="D549">
            <v>12670</v>
          </cell>
          <cell r="E549" t="str">
            <v>N/A</v>
          </cell>
          <cell r="F549" t="str">
            <v>N/A</v>
          </cell>
          <cell r="G549">
            <v>12800</v>
          </cell>
          <cell r="H549">
            <v>12800</v>
          </cell>
          <cell r="I549" t="str">
            <v>N/A</v>
          </cell>
          <cell r="J549" t="str">
            <v>N/A</v>
          </cell>
          <cell r="K549">
            <v>5196.8</v>
          </cell>
          <cell r="L549">
            <v>0</v>
          </cell>
          <cell r="M549">
            <v>75</v>
          </cell>
          <cell r="N549">
            <v>0</v>
          </cell>
          <cell r="O549">
            <v>0</v>
          </cell>
          <cell r="P549">
            <v>0</v>
          </cell>
          <cell r="Q549">
            <v>0</v>
          </cell>
          <cell r="R549">
            <v>0</v>
          </cell>
          <cell r="S549">
            <v>12800</v>
          </cell>
          <cell r="T549">
            <v>38.4</v>
          </cell>
          <cell r="U549">
            <v>0</v>
          </cell>
          <cell r="V549">
            <v>35</v>
          </cell>
          <cell r="W549">
            <v>0</v>
          </cell>
          <cell r="X549">
            <v>0</v>
          </cell>
          <cell r="Y549">
            <v>0</v>
          </cell>
          <cell r="Z549">
            <v>0</v>
          </cell>
          <cell r="AA549">
            <v>5345.2</v>
          </cell>
        </row>
        <row r="550">
          <cell r="A550" t="str">
            <v>Silgan Container Corp.(Am Nat’l Can)</v>
          </cell>
          <cell r="B550">
            <v>37135</v>
          </cell>
          <cell r="C550">
            <v>8759</v>
          </cell>
          <cell r="D550">
            <v>8759</v>
          </cell>
          <cell r="E550" t="str">
            <v>N/A</v>
          </cell>
          <cell r="F550" t="str">
            <v>N/A</v>
          </cell>
          <cell r="G550">
            <v>8100</v>
          </cell>
          <cell r="H550">
            <v>8100</v>
          </cell>
          <cell r="I550" t="str">
            <v>N/A</v>
          </cell>
          <cell r="J550" t="str">
            <v>N/A</v>
          </cell>
          <cell r="K550">
            <v>3288.6</v>
          </cell>
          <cell r="L550">
            <v>0</v>
          </cell>
          <cell r="M550">
            <v>75</v>
          </cell>
          <cell r="N550">
            <v>0</v>
          </cell>
          <cell r="O550">
            <v>0</v>
          </cell>
          <cell r="P550">
            <v>0</v>
          </cell>
          <cell r="Q550">
            <v>0</v>
          </cell>
          <cell r="R550">
            <v>0</v>
          </cell>
          <cell r="S550">
            <v>8100</v>
          </cell>
          <cell r="T550">
            <v>24.3</v>
          </cell>
          <cell r="U550">
            <v>0</v>
          </cell>
          <cell r="V550">
            <v>35</v>
          </cell>
          <cell r="W550">
            <v>0</v>
          </cell>
          <cell r="X550">
            <v>0</v>
          </cell>
          <cell r="Y550">
            <v>0</v>
          </cell>
          <cell r="Z550">
            <v>0</v>
          </cell>
          <cell r="AA550">
            <v>3422.9</v>
          </cell>
        </row>
        <row r="551">
          <cell r="A551" t="str">
            <v>Silgan Container Corp.(Am Nat’l Can)</v>
          </cell>
          <cell r="B551">
            <v>37165</v>
          </cell>
          <cell r="C551">
            <v>13320</v>
          </cell>
          <cell r="D551">
            <v>13320</v>
          </cell>
          <cell r="E551" t="str">
            <v>N/A</v>
          </cell>
          <cell r="F551" t="str">
            <v>N/A</v>
          </cell>
          <cell r="G551">
            <v>13280</v>
          </cell>
          <cell r="H551">
            <v>13280</v>
          </cell>
          <cell r="I551" t="str">
            <v>N/A</v>
          </cell>
          <cell r="J551" t="str">
            <v>N/A</v>
          </cell>
          <cell r="K551">
            <v>5391.68</v>
          </cell>
          <cell r="L551">
            <v>0</v>
          </cell>
          <cell r="M551">
            <v>75</v>
          </cell>
          <cell r="N551">
            <v>0</v>
          </cell>
          <cell r="O551">
            <v>0</v>
          </cell>
          <cell r="P551">
            <v>0</v>
          </cell>
          <cell r="Q551">
            <v>0</v>
          </cell>
          <cell r="R551">
            <v>0</v>
          </cell>
          <cell r="S551">
            <v>13280</v>
          </cell>
          <cell r="T551">
            <v>39.840000000000003</v>
          </cell>
          <cell r="U551">
            <v>0</v>
          </cell>
          <cell r="V551">
            <v>35</v>
          </cell>
          <cell r="W551">
            <v>0</v>
          </cell>
          <cell r="X551">
            <v>0</v>
          </cell>
          <cell r="Y551">
            <v>0</v>
          </cell>
          <cell r="Z551">
            <v>0</v>
          </cell>
          <cell r="AA551">
            <v>5541.52</v>
          </cell>
        </row>
        <row r="552">
          <cell r="A552" t="str">
            <v>Silgan Container Corp.(Am Nat’l Can)</v>
          </cell>
          <cell r="B552">
            <v>37196</v>
          </cell>
          <cell r="C552">
            <v>12414</v>
          </cell>
          <cell r="D552">
            <v>12414</v>
          </cell>
          <cell r="E552" t="str">
            <v>N/A</v>
          </cell>
          <cell r="F552" t="str">
            <v>N/A</v>
          </cell>
          <cell r="G552">
            <v>12525</v>
          </cell>
          <cell r="H552">
            <v>12525</v>
          </cell>
          <cell r="I552" t="str">
            <v>N/A</v>
          </cell>
          <cell r="J552" t="str">
            <v>N/A</v>
          </cell>
          <cell r="K552">
            <v>5085.1499999999996</v>
          </cell>
          <cell r="L552">
            <v>0</v>
          </cell>
          <cell r="M552">
            <v>75</v>
          </cell>
          <cell r="N552">
            <v>0</v>
          </cell>
          <cell r="O552">
            <v>0</v>
          </cell>
          <cell r="P552">
            <v>0</v>
          </cell>
          <cell r="Q552">
            <v>0</v>
          </cell>
          <cell r="R552">
            <v>0</v>
          </cell>
          <cell r="S552">
            <v>12525</v>
          </cell>
          <cell r="T552">
            <v>37.58</v>
          </cell>
          <cell r="U552">
            <v>0</v>
          </cell>
          <cell r="V552">
            <v>35</v>
          </cell>
          <cell r="W552">
            <v>0</v>
          </cell>
          <cell r="X552">
            <v>0</v>
          </cell>
          <cell r="Y552">
            <v>0</v>
          </cell>
          <cell r="Z552">
            <v>0</v>
          </cell>
          <cell r="AA552">
            <v>5232.7299999999996</v>
          </cell>
        </row>
        <row r="553">
          <cell r="A553" t="str">
            <v>Silgan Container Corp.(Am Nat’l Can)</v>
          </cell>
          <cell r="B553">
            <v>37226</v>
          </cell>
          <cell r="C553">
            <v>12116</v>
          </cell>
          <cell r="D553">
            <v>12116</v>
          </cell>
          <cell r="E553" t="str">
            <v>N/A</v>
          </cell>
          <cell r="F553" t="str">
            <v>N/A</v>
          </cell>
          <cell r="G553">
            <v>12000</v>
          </cell>
          <cell r="H553">
            <v>12000</v>
          </cell>
          <cell r="I553" t="str">
            <v>N/A</v>
          </cell>
          <cell r="J553" t="str">
            <v>N/A</v>
          </cell>
          <cell r="K553">
            <v>4872</v>
          </cell>
          <cell r="L553">
            <v>0</v>
          </cell>
          <cell r="M553">
            <v>75</v>
          </cell>
          <cell r="N553">
            <v>0</v>
          </cell>
          <cell r="O553">
            <v>0</v>
          </cell>
          <cell r="P553">
            <v>0</v>
          </cell>
          <cell r="Q553">
            <v>0</v>
          </cell>
          <cell r="R553">
            <v>0</v>
          </cell>
          <cell r="S553">
            <v>12000</v>
          </cell>
          <cell r="T553">
            <v>36</v>
          </cell>
          <cell r="U553">
            <v>0</v>
          </cell>
          <cell r="V553">
            <v>35</v>
          </cell>
          <cell r="W553">
            <v>0</v>
          </cell>
          <cell r="X553">
            <v>0</v>
          </cell>
          <cell r="Y553">
            <v>0</v>
          </cell>
          <cell r="Z553">
            <v>0</v>
          </cell>
          <cell r="AA553">
            <v>5018</v>
          </cell>
        </row>
        <row r="554">
          <cell r="A554" t="str">
            <v>Silgan Container Corp.(Am Nat’l Can)</v>
          </cell>
          <cell r="B554">
            <v>37257</v>
          </cell>
          <cell r="C554">
            <v>20136</v>
          </cell>
          <cell r="D554">
            <v>20136</v>
          </cell>
          <cell r="E554" t="str">
            <v>N/A</v>
          </cell>
          <cell r="F554" t="str">
            <v>N/A</v>
          </cell>
          <cell r="G554">
            <v>21850</v>
          </cell>
          <cell r="H554">
            <v>21850</v>
          </cell>
          <cell r="I554" t="str">
            <v>N/A</v>
          </cell>
          <cell r="J554" t="str">
            <v>N/A</v>
          </cell>
          <cell r="K554">
            <v>8871.1</v>
          </cell>
          <cell r="L554">
            <v>0</v>
          </cell>
          <cell r="M554">
            <v>75</v>
          </cell>
          <cell r="N554">
            <v>0</v>
          </cell>
          <cell r="O554">
            <v>0</v>
          </cell>
          <cell r="P554">
            <v>0</v>
          </cell>
          <cell r="Q554">
            <v>0</v>
          </cell>
          <cell r="R554">
            <v>0</v>
          </cell>
          <cell r="S554">
            <v>21850</v>
          </cell>
          <cell r="T554">
            <v>65.55</v>
          </cell>
          <cell r="U554">
            <v>0</v>
          </cell>
          <cell r="V554">
            <v>35</v>
          </cell>
          <cell r="W554">
            <v>0</v>
          </cell>
          <cell r="X554">
            <v>0</v>
          </cell>
          <cell r="Y554">
            <v>0</v>
          </cell>
          <cell r="Z554">
            <v>0</v>
          </cell>
          <cell r="AA554">
            <v>9046.65</v>
          </cell>
        </row>
        <row r="555">
          <cell r="A555" t="str">
            <v>Silgan Container Corp.(Am Nat’l Can)</v>
          </cell>
          <cell r="B555">
            <v>37288</v>
          </cell>
          <cell r="C555">
            <v>18396</v>
          </cell>
          <cell r="D555">
            <v>18396</v>
          </cell>
          <cell r="E555" t="str">
            <v>N/A</v>
          </cell>
          <cell r="F555" t="str">
            <v>N/A</v>
          </cell>
          <cell r="G555">
            <v>16800</v>
          </cell>
          <cell r="H555">
            <v>16800</v>
          </cell>
          <cell r="I555" t="str">
            <v>N/A</v>
          </cell>
          <cell r="J555" t="str">
            <v>N/A</v>
          </cell>
          <cell r="K555">
            <v>6820.8</v>
          </cell>
          <cell r="L555">
            <v>0</v>
          </cell>
          <cell r="M555">
            <v>75</v>
          </cell>
          <cell r="N555">
            <v>0</v>
          </cell>
          <cell r="O555">
            <v>0</v>
          </cell>
          <cell r="P555">
            <v>0</v>
          </cell>
          <cell r="Q555">
            <v>0</v>
          </cell>
          <cell r="R555">
            <v>0</v>
          </cell>
          <cell r="S555">
            <v>16800</v>
          </cell>
          <cell r="T555">
            <v>-16.8</v>
          </cell>
          <cell r="U555">
            <v>0</v>
          </cell>
          <cell r="V555">
            <v>35</v>
          </cell>
          <cell r="W555">
            <v>0</v>
          </cell>
          <cell r="X555">
            <v>-5168.54</v>
          </cell>
          <cell r="Y555">
            <v>0</v>
          </cell>
          <cell r="Z555">
            <v>0</v>
          </cell>
          <cell r="AA555">
            <v>1745.46</v>
          </cell>
        </row>
        <row r="556">
          <cell r="A556" t="str">
            <v>Silgan Container Corp.(Am Nat’l Can)</v>
          </cell>
          <cell r="B556">
            <v>37316</v>
          </cell>
          <cell r="C556">
            <v>18788</v>
          </cell>
          <cell r="D556">
            <v>18788</v>
          </cell>
          <cell r="E556" t="str">
            <v>N/A</v>
          </cell>
          <cell r="F556" t="str">
            <v>N/A</v>
          </cell>
          <cell r="G556">
            <v>21100</v>
          </cell>
          <cell r="H556">
            <v>21100</v>
          </cell>
          <cell r="I556" t="str">
            <v>N/A</v>
          </cell>
          <cell r="J556" t="str">
            <v>N/A</v>
          </cell>
          <cell r="K556">
            <v>8566.6</v>
          </cell>
          <cell r="L556">
            <v>0</v>
          </cell>
          <cell r="M556">
            <v>75</v>
          </cell>
          <cell r="N556">
            <v>0</v>
          </cell>
          <cell r="O556">
            <v>0</v>
          </cell>
          <cell r="P556">
            <v>0</v>
          </cell>
          <cell r="Q556">
            <v>0</v>
          </cell>
          <cell r="R556">
            <v>0</v>
          </cell>
          <cell r="S556">
            <v>21100</v>
          </cell>
          <cell r="T556">
            <v>-21.1</v>
          </cell>
          <cell r="U556">
            <v>0</v>
          </cell>
          <cell r="V556">
            <v>35</v>
          </cell>
          <cell r="W556">
            <v>0</v>
          </cell>
          <cell r="X556">
            <v>0</v>
          </cell>
          <cell r="Y556">
            <v>0</v>
          </cell>
          <cell r="Z556">
            <v>0</v>
          </cell>
          <cell r="AA556">
            <v>8655.5</v>
          </cell>
        </row>
        <row r="557">
          <cell r="A557" t="str">
            <v>Silgan Container Corp.(Am Nat’l Can)</v>
          </cell>
          <cell r="B557">
            <v>37347</v>
          </cell>
          <cell r="C557">
            <v>15177</v>
          </cell>
          <cell r="D557">
            <v>15177</v>
          </cell>
          <cell r="E557" t="str">
            <v>N/A</v>
          </cell>
          <cell r="F557" t="str">
            <v>N/A</v>
          </cell>
          <cell r="G557">
            <v>14690</v>
          </cell>
          <cell r="H557">
            <v>14690</v>
          </cell>
          <cell r="I557" t="str">
            <v>N/A</v>
          </cell>
          <cell r="J557" t="str">
            <v>N/A</v>
          </cell>
          <cell r="K557">
            <v>5964.26</v>
          </cell>
          <cell r="L557">
            <v>0</v>
          </cell>
          <cell r="M557">
            <v>75</v>
          </cell>
          <cell r="N557">
            <v>0</v>
          </cell>
          <cell r="O557">
            <v>0</v>
          </cell>
          <cell r="P557">
            <v>0</v>
          </cell>
          <cell r="Q557">
            <v>0</v>
          </cell>
          <cell r="R557">
            <v>0</v>
          </cell>
          <cell r="S557">
            <v>14690</v>
          </cell>
          <cell r="T557">
            <v>-14.21</v>
          </cell>
          <cell r="U557">
            <v>0</v>
          </cell>
          <cell r="V557">
            <v>35</v>
          </cell>
          <cell r="W557">
            <v>0</v>
          </cell>
          <cell r="X557">
            <v>8656</v>
          </cell>
          <cell r="Y557">
            <v>0</v>
          </cell>
          <cell r="Z557">
            <v>0</v>
          </cell>
          <cell r="AA557">
            <v>14715.05</v>
          </cell>
        </row>
        <row r="558">
          <cell r="A558" t="str">
            <v>Silgan Container Corp.(Am Nat’l Can)</v>
          </cell>
          <cell r="B558">
            <v>37377</v>
          </cell>
          <cell r="C558">
            <v>12947</v>
          </cell>
          <cell r="D558">
            <v>12947</v>
          </cell>
          <cell r="E558" t="str">
            <v>N/A</v>
          </cell>
          <cell r="F558" t="str">
            <v>N/A</v>
          </cell>
          <cell r="G558">
            <v>13950</v>
          </cell>
          <cell r="H558">
            <v>13950</v>
          </cell>
          <cell r="I558" t="str">
            <v>N/A</v>
          </cell>
          <cell r="J558" t="str">
            <v>N/A</v>
          </cell>
          <cell r="K558">
            <v>5663.7</v>
          </cell>
          <cell r="L558">
            <v>0</v>
          </cell>
          <cell r="M558">
            <v>75</v>
          </cell>
          <cell r="N558">
            <v>0</v>
          </cell>
          <cell r="O558">
            <v>0</v>
          </cell>
          <cell r="P558">
            <v>0</v>
          </cell>
          <cell r="Q558">
            <v>0</v>
          </cell>
          <cell r="R558">
            <v>0</v>
          </cell>
          <cell r="S558">
            <v>0</v>
          </cell>
          <cell r="T558">
            <v>0</v>
          </cell>
          <cell r="U558">
            <v>0</v>
          </cell>
          <cell r="V558">
            <v>35</v>
          </cell>
          <cell r="W558">
            <v>0</v>
          </cell>
          <cell r="X558">
            <v>0</v>
          </cell>
          <cell r="Y558">
            <v>0</v>
          </cell>
          <cell r="Z558">
            <v>0</v>
          </cell>
          <cell r="AA558">
            <v>5773.7</v>
          </cell>
        </row>
        <row r="559">
          <cell r="A559" t="str">
            <v>Silgan Container Corp.(Am Nat’l Can)</v>
          </cell>
          <cell r="B559">
            <v>37408</v>
          </cell>
          <cell r="C559">
            <v>11308</v>
          </cell>
          <cell r="D559">
            <v>11308</v>
          </cell>
          <cell r="E559" t="str">
            <v>N/A</v>
          </cell>
          <cell r="F559" t="str">
            <v>N/A</v>
          </cell>
          <cell r="G559">
            <v>10360</v>
          </cell>
          <cell r="H559">
            <v>10360</v>
          </cell>
          <cell r="I559" t="str">
            <v>N/A</v>
          </cell>
          <cell r="J559" t="str">
            <v>N/A</v>
          </cell>
          <cell r="K559">
            <v>4206.16</v>
          </cell>
          <cell r="L559">
            <v>0</v>
          </cell>
          <cell r="M559">
            <v>75</v>
          </cell>
          <cell r="N559">
            <v>0</v>
          </cell>
          <cell r="O559">
            <v>0</v>
          </cell>
          <cell r="P559">
            <v>0</v>
          </cell>
          <cell r="Q559">
            <v>0</v>
          </cell>
          <cell r="R559">
            <v>0</v>
          </cell>
          <cell r="S559">
            <v>0</v>
          </cell>
          <cell r="T559">
            <v>0</v>
          </cell>
          <cell r="U559">
            <v>0</v>
          </cell>
          <cell r="V559">
            <v>35</v>
          </cell>
          <cell r="W559">
            <v>0</v>
          </cell>
          <cell r="X559">
            <v>8655.5</v>
          </cell>
          <cell r="Y559">
            <v>0</v>
          </cell>
          <cell r="Z559">
            <v>0</v>
          </cell>
          <cell r="AA559">
            <v>12971.66</v>
          </cell>
        </row>
        <row r="560">
          <cell r="A560" t="str">
            <v>Silgan Container Corp.(Am Nat’l Can)</v>
          </cell>
          <cell r="B560">
            <v>37438</v>
          </cell>
          <cell r="C560">
            <v>7466</v>
          </cell>
          <cell r="D560">
            <v>7466</v>
          </cell>
          <cell r="E560" t="str">
            <v>N/A</v>
          </cell>
          <cell r="F560" t="str">
            <v>N/A</v>
          </cell>
          <cell r="G560">
            <v>7550</v>
          </cell>
          <cell r="H560">
            <v>7550</v>
          </cell>
          <cell r="I560" t="str">
            <v>N/A</v>
          </cell>
          <cell r="J560" t="str">
            <v>N/A</v>
          </cell>
          <cell r="K560">
            <v>3065.3</v>
          </cell>
          <cell r="L560">
            <v>0</v>
          </cell>
          <cell r="M560">
            <v>75</v>
          </cell>
          <cell r="N560">
            <v>0</v>
          </cell>
          <cell r="O560">
            <v>0</v>
          </cell>
          <cell r="P560">
            <v>0</v>
          </cell>
          <cell r="Q560">
            <v>0</v>
          </cell>
          <cell r="R560">
            <v>0</v>
          </cell>
          <cell r="S560">
            <v>0</v>
          </cell>
          <cell r="T560">
            <v>0</v>
          </cell>
          <cell r="U560">
            <v>0</v>
          </cell>
          <cell r="V560">
            <v>35</v>
          </cell>
          <cell r="W560">
            <v>0</v>
          </cell>
          <cell r="X560">
            <v>0</v>
          </cell>
          <cell r="Y560">
            <v>0</v>
          </cell>
          <cell r="Z560">
            <v>0</v>
          </cell>
          <cell r="AA560">
            <v>3175.3</v>
          </cell>
        </row>
        <row r="561">
          <cell r="A561" t="str">
            <v>St. Mary’s Medical Center, St. Mary's Campus</v>
          </cell>
          <cell r="B561">
            <v>37104</v>
          </cell>
          <cell r="C561">
            <v>7291</v>
          </cell>
          <cell r="D561">
            <v>7291</v>
          </cell>
          <cell r="E561" t="str">
            <v>N/A</v>
          </cell>
          <cell r="F561" t="str">
            <v>N/A</v>
          </cell>
          <cell r="G561">
            <v>7500</v>
          </cell>
          <cell r="H561">
            <v>7500</v>
          </cell>
          <cell r="I561" t="str">
            <v>N/A</v>
          </cell>
          <cell r="J561" t="str">
            <v>N/A</v>
          </cell>
          <cell r="K561">
            <v>3045</v>
          </cell>
          <cell r="L561">
            <v>0</v>
          </cell>
          <cell r="M561">
            <v>75</v>
          </cell>
          <cell r="N561">
            <v>0</v>
          </cell>
          <cell r="O561">
            <v>0</v>
          </cell>
          <cell r="P561">
            <v>0</v>
          </cell>
          <cell r="Q561">
            <v>0</v>
          </cell>
          <cell r="R561">
            <v>0</v>
          </cell>
          <cell r="S561">
            <v>7500</v>
          </cell>
          <cell r="T561">
            <v>22.5</v>
          </cell>
          <cell r="U561">
            <v>0</v>
          </cell>
          <cell r="V561">
            <v>35</v>
          </cell>
          <cell r="W561">
            <v>0</v>
          </cell>
          <cell r="X561">
            <v>0</v>
          </cell>
          <cell r="Y561">
            <v>0</v>
          </cell>
          <cell r="Z561">
            <v>0</v>
          </cell>
          <cell r="AA561">
            <v>3177.5</v>
          </cell>
        </row>
        <row r="562">
          <cell r="A562" t="str">
            <v>St. Mary’s Medical Center, St. Mary's Campus</v>
          </cell>
          <cell r="B562">
            <v>37135</v>
          </cell>
          <cell r="C562">
            <v>7784</v>
          </cell>
          <cell r="D562">
            <v>7784</v>
          </cell>
          <cell r="E562" t="str">
            <v>N/A</v>
          </cell>
          <cell r="F562" t="str">
            <v>N/A</v>
          </cell>
          <cell r="G562">
            <v>7911</v>
          </cell>
          <cell r="H562">
            <v>7911</v>
          </cell>
          <cell r="I562" t="str">
            <v>N/A</v>
          </cell>
          <cell r="J562" t="str">
            <v>N/A</v>
          </cell>
          <cell r="K562">
            <v>3211.87</v>
          </cell>
          <cell r="L562">
            <v>0</v>
          </cell>
          <cell r="M562">
            <v>75</v>
          </cell>
          <cell r="N562">
            <v>0</v>
          </cell>
          <cell r="O562">
            <v>0</v>
          </cell>
          <cell r="P562">
            <v>0</v>
          </cell>
          <cell r="Q562">
            <v>0</v>
          </cell>
          <cell r="R562">
            <v>0</v>
          </cell>
          <cell r="S562">
            <v>7911</v>
          </cell>
          <cell r="T562">
            <v>23.73</v>
          </cell>
          <cell r="U562">
            <v>0</v>
          </cell>
          <cell r="V562">
            <v>35</v>
          </cell>
          <cell r="W562">
            <v>0</v>
          </cell>
          <cell r="X562">
            <v>0</v>
          </cell>
          <cell r="Y562">
            <v>0</v>
          </cell>
          <cell r="Z562">
            <v>0</v>
          </cell>
          <cell r="AA562">
            <v>3345.6</v>
          </cell>
        </row>
        <row r="563">
          <cell r="A563" t="str">
            <v>St. Mary’s Medical Center, St. Mary's Campus</v>
          </cell>
          <cell r="B563">
            <v>37165</v>
          </cell>
          <cell r="C563">
            <v>9404</v>
          </cell>
          <cell r="D563">
            <v>9404</v>
          </cell>
          <cell r="E563" t="str">
            <v>N/A</v>
          </cell>
          <cell r="F563" t="str">
            <v>N/A</v>
          </cell>
          <cell r="G563">
            <v>9500</v>
          </cell>
          <cell r="H563">
            <v>9500</v>
          </cell>
          <cell r="I563" t="str">
            <v>N/A</v>
          </cell>
          <cell r="J563" t="str">
            <v>N/A</v>
          </cell>
          <cell r="K563">
            <v>3857</v>
          </cell>
          <cell r="L563">
            <v>0</v>
          </cell>
          <cell r="M563">
            <v>75</v>
          </cell>
          <cell r="N563">
            <v>0</v>
          </cell>
          <cell r="O563">
            <v>0</v>
          </cell>
          <cell r="P563">
            <v>0</v>
          </cell>
          <cell r="Q563">
            <v>0</v>
          </cell>
          <cell r="R563">
            <v>0</v>
          </cell>
          <cell r="S563">
            <v>9500</v>
          </cell>
          <cell r="T563">
            <v>28.5</v>
          </cell>
          <cell r="U563">
            <v>0</v>
          </cell>
          <cell r="V563">
            <v>35</v>
          </cell>
          <cell r="W563">
            <v>0</v>
          </cell>
          <cell r="X563">
            <v>0</v>
          </cell>
          <cell r="Y563">
            <v>0</v>
          </cell>
          <cell r="Z563">
            <v>0</v>
          </cell>
          <cell r="AA563">
            <v>3995.5</v>
          </cell>
        </row>
        <row r="564">
          <cell r="A564" t="str">
            <v>St. Mary’s Medical Center, St. Mary's Campus</v>
          </cell>
          <cell r="B564">
            <v>37196</v>
          </cell>
          <cell r="C564">
            <v>10227</v>
          </cell>
          <cell r="D564">
            <v>10227</v>
          </cell>
          <cell r="E564" t="str">
            <v>N/A</v>
          </cell>
          <cell r="F564" t="str">
            <v>N/A</v>
          </cell>
          <cell r="G564">
            <v>11000</v>
          </cell>
          <cell r="H564">
            <v>11000</v>
          </cell>
          <cell r="I564" t="str">
            <v>N/A</v>
          </cell>
          <cell r="J564" t="str">
            <v>N/A</v>
          </cell>
          <cell r="K564">
            <v>4466</v>
          </cell>
          <cell r="L564">
            <v>0</v>
          </cell>
          <cell r="M564">
            <v>75</v>
          </cell>
          <cell r="N564">
            <v>0</v>
          </cell>
          <cell r="O564">
            <v>0</v>
          </cell>
          <cell r="P564">
            <v>0</v>
          </cell>
          <cell r="Q564">
            <v>0</v>
          </cell>
          <cell r="R564">
            <v>0</v>
          </cell>
          <cell r="S564">
            <v>11000</v>
          </cell>
          <cell r="T564">
            <v>33</v>
          </cell>
          <cell r="U564">
            <v>0</v>
          </cell>
          <cell r="V564">
            <v>35</v>
          </cell>
          <cell r="W564">
            <v>0</v>
          </cell>
          <cell r="X564">
            <v>0</v>
          </cell>
          <cell r="Y564">
            <v>0</v>
          </cell>
          <cell r="Z564">
            <v>0</v>
          </cell>
          <cell r="AA564">
            <v>4609</v>
          </cell>
        </row>
        <row r="565">
          <cell r="A565" t="str">
            <v>St. Mary’s Medical Center, St. Mary's Campus</v>
          </cell>
          <cell r="B565">
            <v>37226</v>
          </cell>
          <cell r="C565">
            <v>13008</v>
          </cell>
          <cell r="D565">
            <v>13008</v>
          </cell>
          <cell r="E565" t="str">
            <v>N/A</v>
          </cell>
          <cell r="F565" t="str">
            <v>N/A</v>
          </cell>
          <cell r="G565">
            <v>14000</v>
          </cell>
          <cell r="H565">
            <v>14000</v>
          </cell>
          <cell r="I565" t="str">
            <v>N/A</v>
          </cell>
          <cell r="J565" t="str">
            <v>N/A</v>
          </cell>
          <cell r="K565">
            <v>5684</v>
          </cell>
          <cell r="L565">
            <v>0</v>
          </cell>
          <cell r="M565">
            <v>75</v>
          </cell>
          <cell r="N565">
            <v>0</v>
          </cell>
          <cell r="O565">
            <v>0</v>
          </cell>
          <cell r="P565">
            <v>0</v>
          </cell>
          <cell r="Q565">
            <v>0</v>
          </cell>
          <cell r="R565">
            <v>0</v>
          </cell>
          <cell r="S565">
            <v>14000</v>
          </cell>
          <cell r="T565">
            <v>42</v>
          </cell>
          <cell r="U565">
            <v>0</v>
          </cell>
          <cell r="V565">
            <v>35</v>
          </cell>
          <cell r="W565">
            <v>0</v>
          </cell>
          <cell r="X565">
            <v>0</v>
          </cell>
          <cell r="Y565">
            <v>0</v>
          </cell>
          <cell r="Z565">
            <v>0</v>
          </cell>
          <cell r="AA565">
            <v>5836</v>
          </cell>
        </row>
        <row r="566">
          <cell r="A566" t="str">
            <v>St. Mary’s Medical Center, St. Mary's Campus</v>
          </cell>
          <cell r="B566">
            <v>37257</v>
          </cell>
          <cell r="C566">
            <v>14002</v>
          </cell>
          <cell r="D566">
            <v>14002</v>
          </cell>
          <cell r="E566" t="str">
            <v>N/A</v>
          </cell>
          <cell r="F566" t="str">
            <v>N/A</v>
          </cell>
          <cell r="G566">
            <v>13000</v>
          </cell>
          <cell r="H566">
            <v>13000</v>
          </cell>
          <cell r="I566" t="str">
            <v>N/A</v>
          </cell>
          <cell r="J566" t="str">
            <v>N/A</v>
          </cell>
          <cell r="K566">
            <v>5278</v>
          </cell>
          <cell r="L566">
            <v>0</v>
          </cell>
          <cell r="M566">
            <v>75</v>
          </cell>
          <cell r="N566">
            <v>0</v>
          </cell>
          <cell r="O566">
            <v>0</v>
          </cell>
          <cell r="P566">
            <v>0</v>
          </cell>
          <cell r="Q566">
            <v>0</v>
          </cell>
          <cell r="R566">
            <v>0</v>
          </cell>
          <cell r="S566">
            <v>13000</v>
          </cell>
          <cell r="T566">
            <v>39</v>
          </cell>
          <cell r="U566">
            <v>0</v>
          </cell>
          <cell r="V566">
            <v>35</v>
          </cell>
          <cell r="W566">
            <v>0</v>
          </cell>
          <cell r="X566">
            <v>0</v>
          </cell>
          <cell r="Y566">
            <v>0</v>
          </cell>
          <cell r="Z566">
            <v>0</v>
          </cell>
          <cell r="AA566">
            <v>5427</v>
          </cell>
        </row>
        <row r="567">
          <cell r="A567" t="str">
            <v>St. Mary’s Medical Center, St. Mary's Campus</v>
          </cell>
          <cell r="B567">
            <v>37288</v>
          </cell>
          <cell r="C567">
            <v>12424</v>
          </cell>
          <cell r="D567">
            <v>12424</v>
          </cell>
          <cell r="E567" t="str">
            <v>N/A</v>
          </cell>
          <cell r="F567" t="str">
            <v>N/A</v>
          </cell>
          <cell r="G567">
            <v>12651</v>
          </cell>
          <cell r="H567">
            <v>12651</v>
          </cell>
          <cell r="I567" t="str">
            <v>N/A</v>
          </cell>
          <cell r="J567" t="str">
            <v>N/A</v>
          </cell>
          <cell r="K567">
            <v>5136.3100000000004</v>
          </cell>
          <cell r="L567">
            <v>0</v>
          </cell>
          <cell r="M567">
            <v>75</v>
          </cell>
          <cell r="N567">
            <v>0</v>
          </cell>
          <cell r="O567">
            <v>0</v>
          </cell>
          <cell r="P567">
            <v>0</v>
          </cell>
          <cell r="Q567">
            <v>0</v>
          </cell>
          <cell r="R567">
            <v>0</v>
          </cell>
          <cell r="S567">
            <v>12651</v>
          </cell>
          <cell r="T567">
            <v>-12.65</v>
          </cell>
          <cell r="U567">
            <v>0</v>
          </cell>
          <cell r="V567">
            <v>35</v>
          </cell>
          <cell r="W567">
            <v>0</v>
          </cell>
          <cell r="X567">
            <v>0</v>
          </cell>
          <cell r="Y567">
            <v>0</v>
          </cell>
          <cell r="Z567">
            <v>0</v>
          </cell>
          <cell r="AA567">
            <v>5233.66</v>
          </cell>
        </row>
        <row r="568">
          <cell r="A568" t="str">
            <v>St. Mary’s Medical Center, St. Mary's Campus</v>
          </cell>
          <cell r="B568">
            <v>37316</v>
          </cell>
          <cell r="C568">
            <v>12913</v>
          </cell>
          <cell r="D568">
            <v>12913</v>
          </cell>
          <cell r="E568" t="str">
            <v>N/A</v>
          </cell>
          <cell r="F568" t="str">
            <v>N/A</v>
          </cell>
          <cell r="G568">
            <v>13119</v>
          </cell>
          <cell r="H568">
            <v>13119</v>
          </cell>
          <cell r="I568" t="str">
            <v>N/A</v>
          </cell>
          <cell r="J568" t="str">
            <v>N/A</v>
          </cell>
          <cell r="K568">
            <v>5326.31</v>
          </cell>
          <cell r="L568">
            <v>0</v>
          </cell>
          <cell r="M568">
            <v>75</v>
          </cell>
          <cell r="N568">
            <v>0</v>
          </cell>
          <cell r="O568">
            <v>0</v>
          </cell>
          <cell r="P568">
            <v>0</v>
          </cell>
          <cell r="Q568">
            <v>0</v>
          </cell>
          <cell r="R568">
            <v>0</v>
          </cell>
          <cell r="S568">
            <v>13119</v>
          </cell>
          <cell r="T568">
            <v>-13.12</v>
          </cell>
          <cell r="U568">
            <v>0</v>
          </cell>
          <cell r="V568">
            <v>35</v>
          </cell>
          <cell r="W568">
            <v>0</v>
          </cell>
          <cell r="X568">
            <v>0</v>
          </cell>
          <cell r="Y568">
            <v>0</v>
          </cell>
          <cell r="Z568">
            <v>0</v>
          </cell>
          <cell r="AA568">
            <v>5423.19</v>
          </cell>
        </row>
        <row r="569">
          <cell r="A569" t="str">
            <v>St. Mary’s Medical Center, St. Mary's Campus</v>
          </cell>
          <cell r="B569">
            <v>37347</v>
          </cell>
          <cell r="C569">
            <v>8915</v>
          </cell>
          <cell r="D569">
            <v>8915</v>
          </cell>
          <cell r="E569" t="str">
            <v>N/A</v>
          </cell>
          <cell r="F569" t="str">
            <v>N/A</v>
          </cell>
          <cell r="G569">
            <v>9122</v>
          </cell>
          <cell r="H569">
            <v>9122</v>
          </cell>
          <cell r="I569" t="str">
            <v>N/A</v>
          </cell>
          <cell r="J569" t="str">
            <v>N/A</v>
          </cell>
          <cell r="K569">
            <v>3703.53</v>
          </cell>
          <cell r="L569">
            <v>0</v>
          </cell>
          <cell r="M569">
            <v>75</v>
          </cell>
          <cell r="N569">
            <v>0</v>
          </cell>
          <cell r="O569">
            <v>0</v>
          </cell>
          <cell r="P569">
            <v>0</v>
          </cell>
          <cell r="Q569">
            <v>0</v>
          </cell>
          <cell r="R569">
            <v>0</v>
          </cell>
          <cell r="S569">
            <v>9122</v>
          </cell>
          <cell r="T569">
            <v>-9.1199999999999992</v>
          </cell>
          <cell r="U569">
            <v>0</v>
          </cell>
          <cell r="V569">
            <v>35</v>
          </cell>
          <cell r="W569">
            <v>0</v>
          </cell>
          <cell r="X569">
            <v>0</v>
          </cell>
          <cell r="Y569">
            <v>0</v>
          </cell>
          <cell r="Z569">
            <v>0</v>
          </cell>
          <cell r="AA569">
            <v>3804.41</v>
          </cell>
        </row>
        <row r="570">
          <cell r="A570" t="str">
            <v>St. Mary’s Medical Center, St. Mary's Campus</v>
          </cell>
          <cell r="B570">
            <v>37377</v>
          </cell>
          <cell r="C570">
            <v>8199</v>
          </cell>
          <cell r="D570">
            <v>8199</v>
          </cell>
          <cell r="E570" t="str">
            <v>N/A</v>
          </cell>
          <cell r="F570" t="str">
            <v>N/A</v>
          </cell>
          <cell r="G570">
            <v>9000</v>
          </cell>
          <cell r="H570">
            <v>9000</v>
          </cell>
          <cell r="I570" t="str">
            <v>N/A</v>
          </cell>
          <cell r="J570" t="str">
            <v>N/A</v>
          </cell>
          <cell r="K570">
            <v>3654</v>
          </cell>
          <cell r="L570">
            <v>0</v>
          </cell>
          <cell r="M570">
            <v>75</v>
          </cell>
          <cell r="N570">
            <v>0</v>
          </cell>
          <cell r="O570">
            <v>0</v>
          </cell>
          <cell r="P570">
            <v>0</v>
          </cell>
          <cell r="Q570">
            <v>0</v>
          </cell>
          <cell r="R570">
            <v>0</v>
          </cell>
          <cell r="S570">
            <v>0</v>
          </cell>
          <cell r="T570">
            <v>0</v>
          </cell>
          <cell r="U570">
            <v>0</v>
          </cell>
          <cell r="V570">
            <v>35</v>
          </cell>
          <cell r="W570">
            <v>0</v>
          </cell>
          <cell r="X570">
            <v>0</v>
          </cell>
          <cell r="Y570">
            <v>0</v>
          </cell>
          <cell r="Z570">
            <v>0</v>
          </cell>
          <cell r="AA570">
            <v>3764</v>
          </cell>
        </row>
        <row r="571">
          <cell r="A571" t="str">
            <v>St. Mary’s Medical Center, St. Mary's Campus</v>
          </cell>
          <cell r="B571">
            <v>37408</v>
          </cell>
          <cell r="C571">
            <v>6861</v>
          </cell>
          <cell r="D571">
            <v>6861</v>
          </cell>
          <cell r="E571" t="str">
            <v>N/A</v>
          </cell>
          <cell r="F571" t="str">
            <v>N/A</v>
          </cell>
          <cell r="G571">
            <v>7600</v>
          </cell>
          <cell r="H571">
            <v>7600</v>
          </cell>
          <cell r="I571" t="str">
            <v>N/A</v>
          </cell>
          <cell r="J571" t="str">
            <v>N/A</v>
          </cell>
          <cell r="K571">
            <v>3085.6</v>
          </cell>
          <cell r="L571">
            <v>0</v>
          </cell>
          <cell r="M571">
            <v>75</v>
          </cell>
          <cell r="N571">
            <v>0</v>
          </cell>
          <cell r="O571">
            <v>0</v>
          </cell>
          <cell r="P571">
            <v>0</v>
          </cell>
          <cell r="Q571">
            <v>0</v>
          </cell>
          <cell r="R571">
            <v>0</v>
          </cell>
          <cell r="S571">
            <v>0</v>
          </cell>
          <cell r="T571">
            <v>0</v>
          </cell>
          <cell r="U571">
            <v>0</v>
          </cell>
          <cell r="V571">
            <v>35</v>
          </cell>
          <cell r="W571">
            <v>0</v>
          </cell>
          <cell r="X571">
            <v>0</v>
          </cell>
          <cell r="Y571">
            <v>0</v>
          </cell>
          <cell r="Z571">
            <v>0</v>
          </cell>
          <cell r="AA571">
            <v>3195.6</v>
          </cell>
        </row>
        <row r="572">
          <cell r="A572" t="str">
            <v>St. Mary’s Medical Center, St. Mary's Campus</v>
          </cell>
          <cell r="B572">
            <v>37438</v>
          </cell>
          <cell r="C572">
            <v>6552</v>
          </cell>
          <cell r="D572">
            <v>6552</v>
          </cell>
          <cell r="E572" t="str">
            <v>N/A</v>
          </cell>
          <cell r="F572" t="str">
            <v>N/A</v>
          </cell>
          <cell r="G572">
            <v>6710</v>
          </cell>
          <cell r="H572">
            <v>6710</v>
          </cell>
          <cell r="I572" t="str">
            <v>N/A</v>
          </cell>
          <cell r="J572" t="str">
            <v>N/A</v>
          </cell>
          <cell r="K572">
            <v>2724.26</v>
          </cell>
          <cell r="L572">
            <v>0</v>
          </cell>
          <cell r="M572">
            <v>75</v>
          </cell>
          <cell r="N572">
            <v>0</v>
          </cell>
          <cell r="O572">
            <v>0</v>
          </cell>
          <cell r="P572">
            <v>0</v>
          </cell>
          <cell r="Q572">
            <v>0</v>
          </cell>
          <cell r="R572">
            <v>0</v>
          </cell>
          <cell r="S572">
            <v>0</v>
          </cell>
          <cell r="T572">
            <v>0</v>
          </cell>
          <cell r="U572">
            <v>0</v>
          </cell>
          <cell r="V572">
            <v>35</v>
          </cell>
          <cell r="W572">
            <v>0</v>
          </cell>
          <cell r="X572">
            <v>0</v>
          </cell>
          <cell r="Y572">
            <v>0</v>
          </cell>
          <cell r="Z572">
            <v>0</v>
          </cell>
          <cell r="AA572">
            <v>2834.26</v>
          </cell>
        </row>
        <row r="573">
          <cell r="A573" t="str">
            <v>St. Mary's Medical Center, Welborn Campus</v>
          </cell>
          <cell r="B573">
            <v>37104</v>
          </cell>
          <cell r="C573">
            <v>3275</v>
          </cell>
          <cell r="D573">
            <v>3275</v>
          </cell>
          <cell r="E573" t="str">
            <v>N/A</v>
          </cell>
          <cell r="F573" t="str">
            <v>N/A</v>
          </cell>
          <cell r="G573">
            <v>3200</v>
          </cell>
          <cell r="H573">
            <v>3200</v>
          </cell>
          <cell r="I573" t="str">
            <v>N/A</v>
          </cell>
          <cell r="J573" t="str">
            <v>N/A</v>
          </cell>
          <cell r="K573">
            <v>1299.2</v>
          </cell>
          <cell r="L573">
            <v>0</v>
          </cell>
          <cell r="M573">
            <v>75</v>
          </cell>
          <cell r="N573">
            <v>0</v>
          </cell>
          <cell r="O573">
            <v>0</v>
          </cell>
          <cell r="P573">
            <v>0</v>
          </cell>
          <cell r="Q573">
            <v>0</v>
          </cell>
          <cell r="R573">
            <v>0</v>
          </cell>
          <cell r="S573">
            <v>3200</v>
          </cell>
          <cell r="T573">
            <v>9.6</v>
          </cell>
          <cell r="U573">
            <v>0</v>
          </cell>
          <cell r="V573">
            <v>35</v>
          </cell>
          <cell r="W573">
            <v>0</v>
          </cell>
          <cell r="X573">
            <v>0</v>
          </cell>
          <cell r="Y573">
            <v>0</v>
          </cell>
          <cell r="Z573">
            <v>0</v>
          </cell>
          <cell r="AA573">
            <v>1418.8</v>
          </cell>
        </row>
        <row r="574">
          <cell r="A574" t="str">
            <v>St. Mary's Medical Center, Welborn Campus</v>
          </cell>
          <cell r="B574">
            <v>37135</v>
          </cell>
          <cell r="C574">
            <v>3374</v>
          </cell>
          <cell r="D574">
            <v>3374</v>
          </cell>
          <cell r="E574" t="str">
            <v>N/A</v>
          </cell>
          <cell r="F574" t="str">
            <v>N/A</v>
          </cell>
          <cell r="G574">
            <v>3200</v>
          </cell>
          <cell r="H574">
            <v>3200</v>
          </cell>
          <cell r="I574" t="str">
            <v>N/A</v>
          </cell>
          <cell r="J574" t="str">
            <v>N/A</v>
          </cell>
          <cell r="K574">
            <v>1299.2</v>
          </cell>
          <cell r="L574">
            <v>0</v>
          </cell>
          <cell r="M574">
            <v>75</v>
          </cell>
          <cell r="N574">
            <v>0</v>
          </cell>
          <cell r="O574">
            <v>0</v>
          </cell>
          <cell r="P574">
            <v>0</v>
          </cell>
          <cell r="Q574">
            <v>0</v>
          </cell>
          <cell r="R574">
            <v>0</v>
          </cell>
          <cell r="S574">
            <v>3200</v>
          </cell>
          <cell r="T574">
            <v>9.6</v>
          </cell>
          <cell r="U574">
            <v>0</v>
          </cell>
          <cell r="V574">
            <v>35</v>
          </cell>
          <cell r="W574">
            <v>0</v>
          </cell>
          <cell r="X574">
            <v>0</v>
          </cell>
          <cell r="Y574">
            <v>0</v>
          </cell>
          <cell r="Z574">
            <v>0</v>
          </cell>
          <cell r="AA574">
            <v>1418.8</v>
          </cell>
        </row>
        <row r="575">
          <cell r="A575" t="str">
            <v>St. Mary's Medical Center, Welborn Campus</v>
          </cell>
          <cell r="B575">
            <v>37165</v>
          </cell>
          <cell r="C575">
            <v>5111</v>
          </cell>
          <cell r="D575">
            <v>5111</v>
          </cell>
          <cell r="E575" t="str">
            <v>N/A</v>
          </cell>
          <cell r="F575" t="str">
            <v>N/A</v>
          </cell>
          <cell r="G575">
            <v>4900</v>
          </cell>
          <cell r="H575">
            <v>4900</v>
          </cell>
          <cell r="I575" t="str">
            <v>N/A</v>
          </cell>
          <cell r="J575" t="str">
            <v>N/A</v>
          </cell>
          <cell r="K575">
            <v>1989.4</v>
          </cell>
          <cell r="L575">
            <v>0</v>
          </cell>
          <cell r="M575">
            <v>75</v>
          </cell>
          <cell r="N575">
            <v>0</v>
          </cell>
          <cell r="O575">
            <v>0</v>
          </cell>
          <cell r="P575">
            <v>0</v>
          </cell>
          <cell r="Q575">
            <v>0</v>
          </cell>
          <cell r="R575">
            <v>0</v>
          </cell>
          <cell r="S575">
            <v>4900</v>
          </cell>
          <cell r="T575">
            <v>14.7</v>
          </cell>
          <cell r="U575">
            <v>0</v>
          </cell>
          <cell r="V575">
            <v>35</v>
          </cell>
          <cell r="W575">
            <v>0</v>
          </cell>
          <cell r="X575">
            <v>0</v>
          </cell>
          <cell r="Y575">
            <v>0</v>
          </cell>
          <cell r="Z575">
            <v>0</v>
          </cell>
          <cell r="AA575">
            <v>2114.1</v>
          </cell>
        </row>
        <row r="576">
          <cell r="A576" t="str">
            <v>St. Mary's Medical Center, Welborn Campus</v>
          </cell>
          <cell r="B576">
            <v>37196</v>
          </cell>
          <cell r="C576">
            <v>5220</v>
          </cell>
          <cell r="D576">
            <v>5220</v>
          </cell>
          <cell r="E576" t="str">
            <v>N/A</v>
          </cell>
          <cell r="F576" t="str">
            <v>N/A</v>
          </cell>
          <cell r="G576">
            <v>6800</v>
          </cell>
          <cell r="H576">
            <v>6800</v>
          </cell>
          <cell r="I576" t="str">
            <v>N/A</v>
          </cell>
          <cell r="J576" t="str">
            <v>N/A</v>
          </cell>
          <cell r="K576">
            <v>2760.8</v>
          </cell>
          <cell r="L576">
            <v>0</v>
          </cell>
          <cell r="M576">
            <v>75</v>
          </cell>
          <cell r="N576">
            <v>0</v>
          </cell>
          <cell r="O576">
            <v>0</v>
          </cell>
          <cell r="P576">
            <v>0</v>
          </cell>
          <cell r="Q576">
            <v>0</v>
          </cell>
          <cell r="R576">
            <v>0</v>
          </cell>
          <cell r="S576">
            <v>6800</v>
          </cell>
          <cell r="T576">
            <v>20.399999999999999</v>
          </cell>
          <cell r="U576">
            <v>0</v>
          </cell>
          <cell r="V576">
            <v>35</v>
          </cell>
          <cell r="W576">
            <v>0</v>
          </cell>
          <cell r="X576">
            <v>0</v>
          </cell>
          <cell r="Y576">
            <v>0</v>
          </cell>
          <cell r="Z576">
            <v>0</v>
          </cell>
          <cell r="AA576">
            <v>2891.2</v>
          </cell>
        </row>
        <row r="577">
          <cell r="A577" t="str">
            <v>St. Mary's Medical Center, Welborn Campus</v>
          </cell>
          <cell r="B577">
            <v>37226</v>
          </cell>
          <cell r="C577">
            <v>6097</v>
          </cell>
          <cell r="D577">
            <v>6097</v>
          </cell>
          <cell r="E577" t="str">
            <v>N/A</v>
          </cell>
          <cell r="F577" t="str">
            <v>N/A</v>
          </cell>
          <cell r="G577">
            <v>8000</v>
          </cell>
          <cell r="H577">
            <v>8000</v>
          </cell>
          <cell r="I577" t="str">
            <v>N/A</v>
          </cell>
          <cell r="J577" t="str">
            <v>N/A</v>
          </cell>
          <cell r="K577">
            <v>3248</v>
          </cell>
          <cell r="L577">
            <v>0</v>
          </cell>
          <cell r="M577">
            <v>75</v>
          </cell>
          <cell r="N577">
            <v>0</v>
          </cell>
          <cell r="O577">
            <v>0</v>
          </cell>
          <cell r="P577">
            <v>0</v>
          </cell>
          <cell r="Q577">
            <v>0</v>
          </cell>
          <cell r="R577">
            <v>0</v>
          </cell>
          <cell r="S577">
            <v>8000</v>
          </cell>
          <cell r="T577">
            <v>24</v>
          </cell>
          <cell r="U577">
            <v>0</v>
          </cell>
          <cell r="V577">
            <v>35</v>
          </cell>
          <cell r="W577">
            <v>0</v>
          </cell>
          <cell r="X577">
            <v>0</v>
          </cell>
          <cell r="Y577">
            <v>0</v>
          </cell>
          <cell r="Z577">
            <v>0</v>
          </cell>
          <cell r="AA577">
            <v>3382</v>
          </cell>
        </row>
        <row r="578">
          <cell r="A578" t="str">
            <v>St. Mary's Medical Center, Welborn Campus</v>
          </cell>
          <cell r="B578">
            <v>37257</v>
          </cell>
          <cell r="C578">
            <v>7678</v>
          </cell>
          <cell r="D578">
            <v>7678</v>
          </cell>
          <cell r="E578" t="str">
            <v>N/A</v>
          </cell>
          <cell r="F578" t="str">
            <v>N/A</v>
          </cell>
          <cell r="G578">
            <v>9000</v>
          </cell>
          <cell r="H578">
            <v>9000</v>
          </cell>
          <cell r="I578" t="str">
            <v>N/A</v>
          </cell>
          <cell r="J578" t="str">
            <v>N/A</v>
          </cell>
          <cell r="K578">
            <v>3654</v>
          </cell>
          <cell r="L578">
            <v>0</v>
          </cell>
          <cell r="M578">
            <v>75</v>
          </cell>
          <cell r="N578">
            <v>0</v>
          </cell>
          <cell r="O578">
            <v>0</v>
          </cell>
          <cell r="P578">
            <v>0</v>
          </cell>
          <cell r="Q578">
            <v>0</v>
          </cell>
          <cell r="R578">
            <v>0</v>
          </cell>
          <cell r="S578">
            <v>9000</v>
          </cell>
          <cell r="T578">
            <v>27</v>
          </cell>
          <cell r="U578">
            <v>0</v>
          </cell>
          <cell r="V578">
            <v>35</v>
          </cell>
          <cell r="W578">
            <v>0</v>
          </cell>
          <cell r="X578">
            <v>0</v>
          </cell>
          <cell r="Y578">
            <v>0</v>
          </cell>
          <cell r="Z578">
            <v>0</v>
          </cell>
          <cell r="AA578">
            <v>3791</v>
          </cell>
        </row>
        <row r="579">
          <cell r="A579" t="str">
            <v>St. Mary's Medical Center, Welborn Campus</v>
          </cell>
          <cell r="B579">
            <v>37288</v>
          </cell>
          <cell r="C579">
            <v>6653</v>
          </cell>
          <cell r="D579">
            <v>6653</v>
          </cell>
          <cell r="E579" t="str">
            <v>N/A</v>
          </cell>
          <cell r="F579" t="str">
            <v>N/A</v>
          </cell>
          <cell r="G579">
            <v>10000</v>
          </cell>
          <cell r="H579">
            <v>10000</v>
          </cell>
          <cell r="I579" t="str">
            <v>N/A</v>
          </cell>
          <cell r="J579" t="str">
            <v>N/A</v>
          </cell>
          <cell r="K579">
            <v>4060</v>
          </cell>
          <cell r="L579">
            <v>0</v>
          </cell>
          <cell r="M579">
            <v>75</v>
          </cell>
          <cell r="N579">
            <v>0</v>
          </cell>
          <cell r="O579">
            <v>0</v>
          </cell>
          <cell r="P579">
            <v>0</v>
          </cell>
          <cell r="Q579">
            <v>0</v>
          </cell>
          <cell r="R579">
            <v>0</v>
          </cell>
          <cell r="S579">
            <v>10000</v>
          </cell>
          <cell r="T579">
            <v>-10</v>
          </cell>
          <cell r="U579">
            <v>0</v>
          </cell>
          <cell r="V579">
            <v>35</v>
          </cell>
          <cell r="W579">
            <v>0</v>
          </cell>
          <cell r="X579">
            <v>0</v>
          </cell>
          <cell r="Y579">
            <v>0</v>
          </cell>
          <cell r="Z579">
            <v>0</v>
          </cell>
          <cell r="AA579">
            <v>4160</v>
          </cell>
        </row>
        <row r="580">
          <cell r="A580" t="str">
            <v>St. Mary's Medical Center, Welborn Campus</v>
          </cell>
          <cell r="B580">
            <v>37316</v>
          </cell>
          <cell r="C580">
            <v>6383</v>
          </cell>
          <cell r="D580">
            <v>6383</v>
          </cell>
          <cell r="E580" t="str">
            <v>N/A</v>
          </cell>
          <cell r="F580" t="str">
            <v>N/A</v>
          </cell>
          <cell r="G580">
            <v>2046</v>
          </cell>
          <cell r="H580">
            <v>2046</v>
          </cell>
          <cell r="I580" t="str">
            <v>N/A</v>
          </cell>
          <cell r="J580" t="str">
            <v>N/A</v>
          </cell>
          <cell r="K580">
            <v>830.68</v>
          </cell>
          <cell r="L580">
            <v>0</v>
          </cell>
          <cell r="M580">
            <v>75</v>
          </cell>
          <cell r="N580">
            <v>0</v>
          </cell>
          <cell r="O580">
            <v>0</v>
          </cell>
          <cell r="P580">
            <v>0</v>
          </cell>
          <cell r="Q580">
            <v>0</v>
          </cell>
          <cell r="R580">
            <v>0</v>
          </cell>
          <cell r="S580">
            <v>2046</v>
          </cell>
          <cell r="T580">
            <v>-2.0499999999999998</v>
          </cell>
          <cell r="U580">
            <v>0</v>
          </cell>
          <cell r="V580">
            <v>35</v>
          </cell>
          <cell r="W580">
            <v>0</v>
          </cell>
          <cell r="X580">
            <v>0</v>
          </cell>
          <cell r="Y580">
            <v>0</v>
          </cell>
          <cell r="Z580">
            <v>0</v>
          </cell>
          <cell r="AA580">
            <v>938.63</v>
          </cell>
        </row>
        <row r="581">
          <cell r="A581" t="str">
            <v>St. Mary's Medical Center, Welborn Campus</v>
          </cell>
          <cell r="B581">
            <v>37347</v>
          </cell>
          <cell r="C581">
            <v>4238</v>
          </cell>
          <cell r="D581">
            <v>4238</v>
          </cell>
          <cell r="E581" t="str">
            <v>N/A</v>
          </cell>
          <cell r="F581" t="str">
            <v>N/A</v>
          </cell>
          <cell r="G581">
            <v>4316</v>
          </cell>
          <cell r="H581">
            <v>4316</v>
          </cell>
          <cell r="I581" t="str">
            <v>N/A</v>
          </cell>
          <cell r="J581" t="str">
            <v>N/A</v>
          </cell>
          <cell r="K581">
            <v>1752.3</v>
          </cell>
          <cell r="L581">
            <v>0</v>
          </cell>
          <cell r="M581">
            <v>75</v>
          </cell>
          <cell r="N581">
            <v>0</v>
          </cell>
          <cell r="O581">
            <v>0</v>
          </cell>
          <cell r="P581">
            <v>0</v>
          </cell>
          <cell r="Q581">
            <v>0</v>
          </cell>
          <cell r="R581">
            <v>0</v>
          </cell>
          <cell r="S581">
            <v>4316</v>
          </cell>
          <cell r="T581">
            <v>-4.32</v>
          </cell>
          <cell r="U581">
            <v>0</v>
          </cell>
          <cell r="V581">
            <v>35</v>
          </cell>
          <cell r="W581">
            <v>0</v>
          </cell>
          <cell r="X581">
            <v>0</v>
          </cell>
          <cell r="Y581">
            <v>0</v>
          </cell>
          <cell r="Z581">
            <v>0</v>
          </cell>
          <cell r="AA581">
            <v>1857.98</v>
          </cell>
        </row>
        <row r="582">
          <cell r="A582" t="str">
            <v>St. Mary's Medical Center, Welborn Campus</v>
          </cell>
          <cell r="B582">
            <v>37377</v>
          </cell>
          <cell r="C582">
            <v>3610</v>
          </cell>
          <cell r="D582">
            <v>3610</v>
          </cell>
          <cell r="E582" t="str">
            <v>N/A</v>
          </cell>
          <cell r="F582" t="str">
            <v>N/A</v>
          </cell>
          <cell r="G582">
            <v>4100</v>
          </cell>
          <cell r="H582">
            <v>4100</v>
          </cell>
          <cell r="I582" t="str">
            <v>N/A</v>
          </cell>
          <cell r="J582" t="str">
            <v>N/A</v>
          </cell>
          <cell r="K582">
            <v>1664.6</v>
          </cell>
          <cell r="L582">
            <v>0</v>
          </cell>
          <cell r="M582">
            <v>75</v>
          </cell>
          <cell r="N582">
            <v>0</v>
          </cell>
          <cell r="O582">
            <v>0</v>
          </cell>
          <cell r="P582">
            <v>0</v>
          </cell>
          <cell r="Q582">
            <v>0</v>
          </cell>
          <cell r="R582">
            <v>0</v>
          </cell>
          <cell r="S582">
            <v>0</v>
          </cell>
          <cell r="T582">
            <v>0</v>
          </cell>
          <cell r="U582">
            <v>0</v>
          </cell>
          <cell r="V582">
            <v>35</v>
          </cell>
          <cell r="W582">
            <v>0</v>
          </cell>
          <cell r="X582">
            <v>0</v>
          </cell>
          <cell r="Y582">
            <v>0</v>
          </cell>
          <cell r="Z582">
            <v>0</v>
          </cell>
          <cell r="AA582">
            <v>1774.6</v>
          </cell>
        </row>
        <row r="583">
          <cell r="A583" t="str">
            <v>St. Mary's Medical Center, Welborn Campus</v>
          </cell>
          <cell r="B583">
            <v>37408</v>
          </cell>
          <cell r="C583">
            <v>2850</v>
          </cell>
          <cell r="D583">
            <v>2850</v>
          </cell>
          <cell r="E583" t="str">
            <v>N/A</v>
          </cell>
          <cell r="F583" t="str">
            <v>N/A</v>
          </cell>
          <cell r="G583">
            <v>3400</v>
          </cell>
          <cell r="H583">
            <v>3400</v>
          </cell>
          <cell r="I583" t="str">
            <v>N/A</v>
          </cell>
          <cell r="J583" t="str">
            <v>N/A</v>
          </cell>
          <cell r="K583">
            <v>1380.4</v>
          </cell>
          <cell r="L583">
            <v>0</v>
          </cell>
          <cell r="M583">
            <v>75</v>
          </cell>
          <cell r="N583">
            <v>0</v>
          </cell>
          <cell r="O583">
            <v>0</v>
          </cell>
          <cell r="P583">
            <v>0</v>
          </cell>
          <cell r="Q583">
            <v>0</v>
          </cell>
          <cell r="R583">
            <v>0</v>
          </cell>
          <cell r="S583">
            <v>0</v>
          </cell>
          <cell r="T583">
            <v>0</v>
          </cell>
          <cell r="U583">
            <v>0</v>
          </cell>
          <cell r="V583">
            <v>35</v>
          </cell>
          <cell r="W583">
            <v>0</v>
          </cell>
          <cell r="X583">
            <v>0</v>
          </cell>
          <cell r="Y583">
            <v>0</v>
          </cell>
          <cell r="Z583">
            <v>0</v>
          </cell>
          <cell r="AA583">
            <v>1490.4</v>
          </cell>
        </row>
        <row r="584">
          <cell r="A584" t="str">
            <v>St. Mary's Medical Center, Welborn Campus</v>
          </cell>
          <cell r="B584">
            <v>37438</v>
          </cell>
          <cell r="C584">
            <v>2466</v>
          </cell>
          <cell r="D584">
            <v>2466</v>
          </cell>
          <cell r="E584" t="str">
            <v>N/A</v>
          </cell>
          <cell r="F584" t="str">
            <v>N/A</v>
          </cell>
          <cell r="G584">
            <v>3400</v>
          </cell>
          <cell r="H584">
            <v>3400</v>
          </cell>
          <cell r="I584" t="str">
            <v>N/A</v>
          </cell>
          <cell r="J584" t="str">
            <v>N/A</v>
          </cell>
          <cell r="K584">
            <v>1380.4</v>
          </cell>
          <cell r="L584">
            <v>0</v>
          </cell>
          <cell r="M584">
            <v>75</v>
          </cell>
          <cell r="N584">
            <v>0</v>
          </cell>
          <cell r="O584">
            <v>0</v>
          </cell>
          <cell r="P584">
            <v>0</v>
          </cell>
          <cell r="Q584">
            <v>0</v>
          </cell>
          <cell r="R584">
            <v>0</v>
          </cell>
          <cell r="S584">
            <v>0</v>
          </cell>
          <cell r="T584">
            <v>0</v>
          </cell>
          <cell r="U584">
            <v>0</v>
          </cell>
          <cell r="V584">
            <v>35</v>
          </cell>
          <cell r="W584">
            <v>0</v>
          </cell>
          <cell r="X584">
            <v>0</v>
          </cell>
          <cell r="Y584">
            <v>0</v>
          </cell>
          <cell r="Z584">
            <v>0</v>
          </cell>
          <cell r="AA584">
            <v>1490.4</v>
          </cell>
        </row>
        <row r="585">
          <cell r="A585" t="str">
            <v>Star Metals</v>
          </cell>
          <cell r="B585">
            <v>37104</v>
          </cell>
          <cell r="C585">
            <v>1284</v>
          </cell>
          <cell r="D585">
            <v>1284</v>
          </cell>
          <cell r="E585" t="str">
            <v>N/A</v>
          </cell>
          <cell r="F585" t="str">
            <v>N/A</v>
          </cell>
          <cell r="G585">
            <v>7500</v>
          </cell>
          <cell r="H585">
            <v>7500</v>
          </cell>
          <cell r="I585" t="str">
            <v>N/A</v>
          </cell>
          <cell r="J585" t="str">
            <v>N/A</v>
          </cell>
          <cell r="K585">
            <v>3045</v>
          </cell>
          <cell r="L585">
            <v>0</v>
          </cell>
          <cell r="M585">
            <v>75</v>
          </cell>
          <cell r="N585">
            <v>0</v>
          </cell>
          <cell r="O585">
            <v>0</v>
          </cell>
          <cell r="P585">
            <v>0</v>
          </cell>
          <cell r="Q585">
            <v>0</v>
          </cell>
          <cell r="R585">
            <v>-195</v>
          </cell>
          <cell r="S585">
            <v>7500</v>
          </cell>
          <cell r="T585">
            <v>22.5</v>
          </cell>
          <cell r="U585">
            <v>0</v>
          </cell>
          <cell r="V585">
            <v>35</v>
          </cell>
          <cell r="W585">
            <v>1.75</v>
          </cell>
          <cell r="X585">
            <v>0</v>
          </cell>
          <cell r="Y585">
            <v>0</v>
          </cell>
          <cell r="Z585">
            <v>0</v>
          </cell>
          <cell r="AA585">
            <v>2984.25</v>
          </cell>
        </row>
        <row r="586">
          <cell r="A586" t="str">
            <v>Star Metals</v>
          </cell>
          <cell r="B586">
            <v>37135</v>
          </cell>
          <cell r="C586">
            <v>1359</v>
          </cell>
          <cell r="D586">
            <v>1359</v>
          </cell>
          <cell r="E586" t="str">
            <v>N/A</v>
          </cell>
          <cell r="F586" t="str">
            <v>N/A</v>
          </cell>
          <cell r="G586">
            <v>0</v>
          </cell>
          <cell r="H586">
            <v>0</v>
          </cell>
          <cell r="I586" t="str">
            <v>N/A</v>
          </cell>
          <cell r="J586" t="str">
            <v>N/A</v>
          </cell>
          <cell r="K586">
            <v>0</v>
          </cell>
          <cell r="L586">
            <v>0</v>
          </cell>
          <cell r="M586">
            <v>75</v>
          </cell>
          <cell r="N586">
            <v>0</v>
          </cell>
          <cell r="O586">
            <v>0</v>
          </cell>
          <cell r="P586">
            <v>0</v>
          </cell>
          <cell r="Q586">
            <v>0</v>
          </cell>
          <cell r="R586">
            <v>0</v>
          </cell>
          <cell r="S586">
            <v>0</v>
          </cell>
          <cell r="T586">
            <v>0</v>
          </cell>
          <cell r="U586">
            <v>0</v>
          </cell>
          <cell r="V586">
            <v>35</v>
          </cell>
          <cell r="W586">
            <v>1.75</v>
          </cell>
          <cell r="X586">
            <v>0</v>
          </cell>
          <cell r="Y586">
            <v>0</v>
          </cell>
          <cell r="Z586">
            <v>0</v>
          </cell>
          <cell r="AA586">
            <v>111.75</v>
          </cell>
        </row>
        <row r="587">
          <cell r="A587" t="str">
            <v>Star Metals</v>
          </cell>
          <cell r="B587">
            <v>37165</v>
          </cell>
          <cell r="C587">
            <v>3113</v>
          </cell>
          <cell r="D587">
            <v>3113</v>
          </cell>
          <cell r="E587" t="str">
            <v>N/A</v>
          </cell>
          <cell r="F587" t="str">
            <v>N/A</v>
          </cell>
          <cell r="G587">
            <v>0</v>
          </cell>
          <cell r="H587">
            <v>0</v>
          </cell>
          <cell r="I587" t="str">
            <v>N/A</v>
          </cell>
          <cell r="J587" t="str">
            <v>N/A</v>
          </cell>
          <cell r="K587">
            <v>0</v>
          </cell>
          <cell r="L587">
            <v>0</v>
          </cell>
          <cell r="M587">
            <v>75</v>
          </cell>
          <cell r="N587">
            <v>0</v>
          </cell>
          <cell r="O587">
            <v>0</v>
          </cell>
          <cell r="P587">
            <v>0</v>
          </cell>
          <cell r="Q587">
            <v>0</v>
          </cell>
          <cell r="R587">
            <v>0</v>
          </cell>
          <cell r="S587">
            <v>0</v>
          </cell>
          <cell r="T587">
            <v>0</v>
          </cell>
          <cell r="U587">
            <v>0</v>
          </cell>
          <cell r="V587">
            <v>35</v>
          </cell>
          <cell r="W587">
            <v>1.75</v>
          </cell>
          <cell r="X587">
            <v>0</v>
          </cell>
          <cell r="Y587">
            <v>0</v>
          </cell>
          <cell r="Z587">
            <v>0</v>
          </cell>
          <cell r="AA587">
            <v>111.75</v>
          </cell>
        </row>
        <row r="588">
          <cell r="A588" t="str">
            <v>Star Metals</v>
          </cell>
          <cell r="B588">
            <v>37196</v>
          </cell>
          <cell r="C588">
            <v>5</v>
          </cell>
          <cell r="D588">
            <v>5</v>
          </cell>
          <cell r="E588" t="str">
            <v>N/A</v>
          </cell>
          <cell r="F588" t="str">
            <v>N/A</v>
          </cell>
          <cell r="G588">
            <v>0</v>
          </cell>
          <cell r="H588">
            <v>0</v>
          </cell>
          <cell r="I588" t="str">
            <v>N/A</v>
          </cell>
          <cell r="J588" t="str">
            <v>N/A</v>
          </cell>
          <cell r="K588">
            <v>0</v>
          </cell>
          <cell r="L588">
            <v>0</v>
          </cell>
          <cell r="M588">
            <v>75</v>
          </cell>
          <cell r="N588">
            <v>0</v>
          </cell>
          <cell r="O588">
            <v>0</v>
          </cell>
          <cell r="P588">
            <v>0</v>
          </cell>
          <cell r="Q588">
            <v>0</v>
          </cell>
          <cell r="R588">
            <v>0</v>
          </cell>
          <cell r="S588">
            <v>0</v>
          </cell>
          <cell r="T588">
            <v>0</v>
          </cell>
          <cell r="U588">
            <v>0</v>
          </cell>
          <cell r="V588">
            <v>35</v>
          </cell>
          <cell r="W588">
            <v>1.75</v>
          </cell>
          <cell r="X588">
            <v>0</v>
          </cell>
          <cell r="Y588">
            <v>0</v>
          </cell>
          <cell r="Z588">
            <v>0</v>
          </cell>
          <cell r="AA588">
            <v>111.75</v>
          </cell>
        </row>
        <row r="589">
          <cell r="A589" t="str">
            <v>Star Metals</v>
          </cell>
          <cell r="B589">
            <v>37226</v>
          </cell>
          <cell r="C589">
            <v>1942</v>
          </cell>
          <cell r="D589">
            <v>1942</v>
          </cell>
          <cell r="E589" t="str">
            <v>N/A</v>
          </cell>
          <cell r="F589" t="str">
            <v>N/A</v>
          </cell>
          <cell r="G589">
            <v>0</v>
          </cell>
          <cell r="H589">
            <v>0</v>
          </cell>
          <cell r="I589" t="str">
            <v>N/A</v>
          </cell>
          <cell r="J589" t="str">
            <v>N/A</v>
          </cell>
          <cell r="K589">
            <v>0</v>
          </cell>
          <cell r="L589">
            <v>0</v>
          </cell>
          <cell r="M589">
            <v>75</v>
          </cell>
          <cell r="N589">
            <v>0</v>
          </cell>
          <cell r="O589">
            <v>0</v>
          </cell>
          <cell r="P589">
            <v>0</v>
          </cell>
          <cell r="Q589">
            <v>0</v>
          </cell>
          <cell r="R589">
            <v>0</v>
          </cell>
          <cell r="S589">
            <v>0</v>
          </cell>
          <cell r="T589">
            <v>0</v>
          </cell>
          <cell r="U589">
            <v>0</v>
          </cell>
          <cell r="V589">
            <v>35</v>
          </cell>
          <cell r="W589">
            <v>1.75</v>
          </cell>
          <cell r="X589">
            <v>0</v>
          </cell>
          <cell r="Y589">
            <v>0</v>
          </cell>
          <cell r="Z589">
            <v>0</v>
          </cell>
          <cell r="AA589">
            <v>111.75</v>
          </cell>
        </row>
        <row r="590">
          <cell r="A590" t="str">
            <v>Star Metals</v>
          </cell>
          <cell r="B590">
            <v>37257</v>
          </cell>
          <cell r="C590">
            <v>4026</v>
          </cell>
          <cell r="D590">
            <v>4026</v>
          </cell>
          <cell r="E590" t="str">
            <v>N/A</v>
          </cell>
          <cell r="F590" t="str">
            <v>N/A</v>
          </cell>
          <cell r="G590">
            <v>0</v>
          </cell>
          <cell r="H590">
            <v>0</v>
          </cell>
          <cell r="I590" t="str">
            <v>N/A</v>
          </cell>
          <cell r="J590" t="str">
            <v>N/A</v>
          </cell>
          <cell r="K590">
            <v>0</v>
          </cell>
          <cell r="L590">
            <v>0</v>
          </cell>
          <cell r="M590">
            <v>75</v>
          </cell>
          <cell r="N590">
            <v>0</v>
          </cell>
          <cell r="O590">
            <v>0</v>
          </cell>
          <cell r="P590">
            <v>0</v>
          </cell>
          <cell r="Q590">
            <v>0</v>
          </cell>
          <cell r="R590">
            <v>0</v>
          </cell>
          <cell r="S590">
            <v>0</v>
          </cell>
          <cell r="T590">
            <v>0</v>
          </cell>
          <cell r="U590">
            <v>0</v>
          </cell>
          <cell r="V590">
            <v>35</v>
          </cell>
          <cell r="W590">
            <v>1.75</v>
          </cell>
          <cell r="X590">
            <v>0</v>
          </cell>
          <cell r="Y590">
            <v>0</v>
          </cell>
          <cell r="Z590">
            <v>0</v>
          </cell>
          <cell r="AA590">
            <v>111.75</v>
          </cell>
        </row>
        <row r="591">
          <cell r="A591" t="str">
            <v>Star Metals</v>
          </cell>
          <cell r="B591">
            <v>37288</v>
          </cell>
          <cell r="C591">
            <v>3582</v>
          </cell>
          <cell r="D591">
            <v>3582</v>
          </cell>
          <cell r="E591" t="str">
            <v>N/A</v>
          </cell>
          <cell r="F591" t="str">
            <v>N/A</v>
          </cell>
          <cell r="G591">
            <v>0</v>
          </cell>
          <cell r="H591">
            <v>0</v>
          </cell>
          <cell r="I591" t="str">
            <v>N/A</v>
          </cell>
          <cell r="J591" t="str">
            <v>N/A</v>
          </cell>
          <cell r="K591">
            <v>0</v>
          </cell>
          <cell r="L591">
            <v>0</v>
          </cell>
          <cell r="M591">
            <v>75</v>
          </cell>
          <cell r="N591">
            <v>0</v>
          </cell>
          <cell r="O591">
            <v>0</v>
          </cell>
          <cell r="P591">
            <v>0</v>
          </cell>
          <cell r="Q591">
            <v>0</v>
          </cell>
          <cell r="R591">
            <v>0</v>
          </cell>
          <cell r="S591">
            <v>0</v>
          </cell>
          <cell r="T591">
            <v>0</v>
          </cell>
          <cell r="U591">
            <v>0</v>
          </cell>
          <cell r="V591">
            <v>35</v>
          </cell>
          <cell r="W591">
            <v>1.75</v>
          </cell>
          <cell r="X591">
            <v>0</v>
          </cell>
          <cell r="Y591">
            <v>0</v>
          </cell>
          <cell r="Z591">
            <v>0</v>
          </cell>
          <cell r="AA591">
            <v>111.75</v>
          </cell>
        </row>
        <row r="592">
          <cell r="A592" t="str">
            <v>Star Metals</v>
          </cell>
          <cell r="B592">
            <v>37316</v>
          </cell>
          <cell r="C592">
            <v>1129</v>
          </cell>
          <cell r="D592">
            <v>1129</v>
          </cell>
          <cell r="E592" t="str">
            <v>N/A</v>
          </cell>
          <cell r="F592" t="str">
            <v>N/A</v>
          </cell>
          <cell r="G592">
            <v>0</v>
          </cell>
          <cell r="H592">
            <v>0</v>
          </cell>
          <cell r="I592" t="str">
            <v>N/A</v>
          </cell>
          <cell r="J592" t="str">
            <v>N/A</v>
          </cell>
          <cell r="K592">
            <v>0</v>
          </cell>
          <cell r="L592">
            <v>0</v>
          </cell>
          <cell r="M592">
            <v>75</v>
          </cell>
          <cell r="N592">
            <v>0</v>
          </cell>
          <cell r="O592">
            <v>0</v>
          </cell>
          <cell r="P592">
            <v>0</v>
          </cell>
          <cell r="Q592">
            <v>0</v>
          </cell>
          <cell r="R592">
            <v>0</v>
          </cell>
          <cell r="S592">
            <v>0</v>
          </cell>
          <cell r="T592">
            <v>0</v>
          </cell>
          <cell r="U592">
            <v>0</v>
          </cell>
          <cell r="V592">
            <v>35</v>
          </cell>
          <cell r="W592">
            <v>1.75</v>
          </cell>
          <cell r="X592">
            <v>0</v>
          </cell>
          <cell r="Y592">
            <v>0</v>
          </cell>
          <cell r="Z592">
            <v>0</v>
          </cell>
          <cell r="AA592">
            <v>111.75</v>
          </cell>
        </row>
        <row r="593">
          <cell r="A593" t="str">
            <v>Star Metals</v>
          </cell>
          <cell r="B593">
            <v>37347</v>
          </cell>
          <cell r="C593">
            <v>0</v>
          </cell>
          <cell r="D593">
            <v>0</v>
          </cell>
          <cell r="E593" t="str">
            <v>N/A</v>
          </cell>
          <cell r="F593" t="str">
            <v>N/A</v>
          </cell>
          <cell r="G593">
            <v>0</v>
          </cell>
          <cell r="H593">
            <v>0</v>
          </cell>
          <cell r="I593" t="str">
            <v>N/A</v>
          </cell>
          <cell r="J593" t="str">
            <v>N/A</v>
          </cell>
          <cell r="K593">
            <v>0</v>
          </cell>
          <cell r="L593">
            <v>0</v>
          </cell>
          <cell r="M593">
            <v>75</v>
          </cell>
          <cell r="N593">
            <v>0</v>
          </cell>
          <cell r="O593">
            <v>0</v>
          </cell>
          <cell r="P593">
            <v>0</v>
          </cell>
          <cell r="Q593">
            <v>0</v>
          </cell>
          <cell r="R593">
            <v>0</v>
          </cell>
          <cell r="S593">
            <v>0</v>
          </cell>
          <cell r="T593">
            <v>0</v>
          </cell>
          <cell r="U593">
            <v>0</v>
          </cell>
          <cell r="V593">
            <v>35</v>
          </cell>
          <cell r="W593">
            <v>1.75</v>
          </cell>
          <cell r="X593">
            <v>0</v>
          </cell>
          <cell r="Y593">
            <v>0</v>
          </cell>
          <cell r="Z593">
            <v>0</v>
          </cell>
          <cell r="AA593">
            <v>111.75</v>
          </cell>
        </row>
        <row r="594">
          <cell r="A594" t="str">
            <v>Star Metals</v>
          </cell>
          <cell r="B594">
            <v>37377</v>
          </cell>
          <cell r="C594">
            <v>2405</v>
          </cell>
          <cell r="D594">
            <v>2405</v>
          </cell>
          <cell r="E594" t="str">
            <v>N/A</v>
          </cell>
          <cell r="F594" t="str">
            <v>N/A</v>
          </cell>
          <cell r="G594">
            <v>500</v>
          </cell>
          <cell r="H594">
            <v>500</v>
          </cell>
          <cell r="I594" t="str">
            <v>N/A</v>
          </cell>
          <cell r="J594" t="str">
            <v>N/A</v>
          </cell>
          <cell r="K594">
            <v>203</v>
          </cell>
          <cell r="L594">
            <v>0</v>
          </cell>
          <cell r="M594">
            <v>75</v>
          </cell>
          <cell r="N594">
            <v>0</v>
          </cell>
          <cell r="O594">
            <v>0</v>
          </cell>
          <cell r="P594">
            <v>0</v>
          </cell>
          <cell r="Q594">
            <v>0</v>
          </cell>
          <cell r="R594">
            <v>0</v>
          </cell>
          <cell r="S594">
            <v>0</v>
          </cell>
          <cell r="T594">
            <v>0</v>
          </cell>
          <cell r="U594">
            <v>0</v>
          </cell>
          <cell r="V594">
            <v>35</v>
          </cell>
          <cell r="W594">
            <v>1.75</v>
          </cell>
          <cell r="X594">
            <v>0</v>
          </cell>
          <cell r="Y594">
            <v>0</v>
          </cell>
          <cell r="Z594">
            <v>0</v>
          </cell>
          <cell r="AA594">
            <v>314.75</v>
          </cell>
        </row>
        <row r="595">
          <cell r="A595" t="str">
            <v>Star Metals</v>
          </cell>
          <cell r="B595">
            <v>37408</v>
          </cell>
          <cell r="C595">
            <v>3383</v>
          </cell>
          <cell r="D595">
            <v>3383</v>
          </cell>
          <cell r="E595" t="str">
            <v>N/A</v>
          </cell>
          <cell r="F595" t="str">
            <v>N/A</v>
          </cell>
          <cell r="G595">
            <v>3400</v>
          </cell>
          <cell r="H595">
            <v>3400</v>
          </cell>
          <cell r="I595" t="str">
            <v>N/A</v>
          </cell>
          <cell r="J595" t="str">
            <v>N/A</v>
          </cell>
          <cell r="K595">
            <v>1380.4</v>
          </cell>
          <cell r="L595">
            <v>0</v>
          </cell>
          <cell r="M595">
            <v>75</v>
          </cell>
          <cell r="N595">
            <v>0</v>
          </cell>
          <cell r="O595">
            <v>0</v>
          </cell>
          <cell r="P595">
            <v>0</v>
          </cell>
          <cell r="Q595">
            <v>0</v>
          </cell>
          <cell r="R595">
            <v>0</v>
          </cell>
          <cell r="S595">
            <v>0</v>
          </cell>
          <cell r="T595">
            <v>0</v>
          </cell>
          <cell r="U595">
            <v>0</v>
          </cell>
          <cell r="V595">
            <v>35</v>
          </cell>
          <cell r="W595">
            <v>1.75</v>
          </cell>
          <cell r="X595">
            <v>0</v>
          </cell>
          <cell r="Y595">
            <v>0</v>
          </cell>
          <cell r="Z595">
            <v>0</v>
          </cell>
          <cell r="AA595">
            <v>1492.15</v>
          </cell>
        </row>
        <row r="596">
          <cell r="A596" t="str">
            <v>Star Metals</v>
          </cell>
          <cell r="B596">
            <v>37438</v>
          </cell>
          <cell r="C596">
            <v>3355</v>
          </cell>
          <cell r="D596">
            <v>3355</v>
          </cell>
          <cell r="E596" t="str">
            <v>N/A</v>
          </cell>
          <cell r="F596" t="str">
            <v>N/A</v>
          </cell>
          <cell r="G596">
            <v>3503</v>
          </cell>
          <cell r="H596">
            <v>3503</v>
          </cell>
          <cell r="I596" t="str">
            <v>N/A</v>
          </cell>
          <cell r="J596" t="str">
            <v>N/A</v>
          </cell>
          <cell r="K596">
            <v>1422.22</v>
          </cell>
          <cell r="L596">
            <v>0</v>
          </cell>
          <cell r="M596">
            <v>75</v>
          </cell>
          <cell r="N596">
            <v>0</v>
          </cell>
          <cell r="O596">
            <v>0</v>
          </cell>
          <cell r="P596">
            <v>0</v>
          </cell>
          <cell r="Q596">
            <v>0</v>
          </cell>
          <cell r="R596">
            <v>0</v>
          </cell>
          <cell r="S596">
            <v>0</v>
          </cell>
          <cell r="T596">
            <v>0</v>
          </cell>
          <cell r="U596">
            <v>0</v>
          </cell>
          <cell r="V596">
            <v>35</v>
          </cell>
          <cell r="W596">
            <v>1.75</v>
          </cell>
          <cell r="X596">
            <v>0</v>
          </cell>
          <cell r="Y596">
            <v>0</v>
          </cell>
          <cell r="Z596">
            <v>0</v>
          </cell>
          <cell r="AA596">
            <v>1533.97</v>
          </cell>
        </row>
        <row r="597">
          <cell r="A597" t="str">
            <v>Superior Essex Wire</v>
          </cell>
          <cell r="B597">
            <v>37104</v>
          </cell>
          <cell r="C597">
            <v>34822</v>
          </cell>
          <cell r="D597">
            <v>34822</v>
          </cell>
          <cell r="E597" t="str">
            <v>N/A</v>
          </cell>
          <cell r="F597" t="str">
            <v>N/A</v>
          </cell>
          <cell r="G597">
            <v>30000</v>
          </cell>
          <cell r="H597">
            <v>30000</v>
          </cell>
          <cell r="I597" t="str">
            <v>N/A</v>
          </cell>
          <cell r="J597" t="str">
            <v>N/A</v>
          </cell>
          <cell r="K597">
            <v>12180</v>
          </cell>
          <cell r="L597">
            <v>0</v>
          </cell>
          <cell r="M597">
            <v>75</v>
          </cell>
          <cell r="N597">
            <v>0</v>
          </cell>
          <cell r="O597">
            <v>0</v>
          </cell>
          <cell r="P597">
            <v>0</v>
          </cell>
          <cell r="Q597">
            <v>0</v>
          </cell>
          <cell r="R597">
            <v>-780</v>
          </cell>
          <cell r="S597">
            <v>30000</v>
          </cell>
          <cell r="T597">
            <v>90</v>
          </cell>
          <cell r="U597">
            <v>0</v>
          </cell>
          <cell r="V597">
            <v>35</v>
          </cell>
          <cell r="W597">
            <v>0</v>
          </cell>
          <cell r="X597">
            <v>0</v>
          </cell>
          <cell r="Y597">
            <v>0</v>
          </cell>
          <cell r="Z597">
            <v>0</v>
          </cell>
          <cell r="AA597">
            <v>11600</v>
          </cell>
        </row>
        <row r="598">
          <cell r="A598" t="str">
            <v>Superior Essex Wire</v>
          </cell>
          <cell r="B598">
            <v>37135</v>
          </cell>
          <cell r="C598">
            <v>34143</v>
          </cell>
          <cell r="D598">
            <v>34143</v>
          </cell>
          <cell r="E598" t="str">
            <v>N/A</v>
          </cell>
          <cell r="F598" t="str">
            <v>N/A</v>
          </cell>
          <cell r="G598">
            <v>35000</v>
          </cell>
          <cell r="H598">
            <v>35000</v>
          </cell>
          <cell r="I598" t="str">
            <v>N/A</v>
          </cell>
          <cell r="J598" t="str">
            <v>N/A</v>
          </cell>
          <cell r="K598">
            <v>14210</v>
          </cell>
          <cell r="L598">
            <v>0</v>
          </cell>
          <cell r="M598">
            <v>75</v>
          </cell>
          <cell r="N598">
            <v>0</v>
          </cell>
          <cell r="O598">
            <v>0</v>
          </cell>
          <cell r="P598">
            <v>0</v>
          </cell>
          <cell r="Q598">
            <v>0</v>
          </cell>
          <cell r="R598">
            <v>-910</v>
          </cell>
          <cell r="S598">
            <v>35000</v>
          </cell>
          <cell r="T598">
            <v>105</v>
          </cell>
          <cell r="U598">
            <v>0</v>
          </cell>
          <cell r="V598">
            <v>35</v>
          </cell>
          <cell r="W598">
            <v>0</v>
          </cell>
          <cell r="X598">
            <v>0</v>
          </cell>
          <cell r="Y598">
            <v>0</v>
          </cell>
          <cell r="Z598">
            <v>0</v>
          </cell>
          <cell r="AA598">
            <v>13515</v>
          </cell>
        </row>
        <row r="599">
          <cell r="A599" t="str">
            <v>Superior Essex Wire</v>
          </cell>
          <cell r="B599">
            <v>37165</v>
          </cell>
          <cell r="C599">
            <v>37867</v>
          </cell>
          <cell r="D599">
            <v>37867</v>
          </cell>
          <cell r="E599" t="str">
            <v>N/A</v>
          </cell>
          <cell r="F599" t="str">
            <v>N/A</v>
          </cell>
          <cell r="G599">
            <v>40000</v>
          </cell>
          <cell r="H599">
            <v>40000</v>
          </cell>
          <cell r="I599" t="str">
            <v>N/A</v>
          </cell>
          <cell r="J599" t="str">
            <v>N/A</v>
          </cell>
          <cell r="K599">
            <v>16240</v>
          </cell>
          <cell r="L599">
            <v>0</v>
          </cell>
          <cell r="M599">
            <v>75</v>
          </cell>
          <cell r="N599">
            <v>0</v>
          </cell>
          <cell r="O599">
            <v>0</v>
          </cell>
          <cell r="P599">
            <v>0</v>
          </cell>
          <cell r="Q599">
            <v>0</v>
          </cell>
          <cell r="R599">
            <v>-1040</v>
          </cell>
          <cell r="S599">
            <v>40000</v>
          </cell>
          <cell r="T599">
            <v>120</v>
          </cell>
          <cell r="U599">
            <v>0</v>
          </cell>
          <cell r="V599">
            <v>35</v>
          </cell>
          <cell r="W599">
            <v>0</v>
          </cell>
          <cell r="X599">
            <v>0</v>
          </cell>
          <cell r="Y599">
            <v>0</v>
          </cell>
          <cell r="Z599">
            <v>0</v>
          </cell>
          <cell r="AA599">
            <v>15430</v>
          </cell>
        </row>
        <row r="600">
          <cell r="A600" t="str">
            <v>Superior Essex Wire</v>
          </cell>
          <cell r="B600">
            <v>37196</v>
          </cell>
          <cell r="C600">
            <v>36460</v>
          </cell>
          <cell r="D600">
            <v>36460</v>
          </cell>
          <cell r="E600" t="str">
            <v>N/A</v>
          </cell>
          <cell r="F600" t="str">
            <v>N/A</v>
          </cell>
          <cell r="G600">
            <v>40000</v>
          </cell>
          <cell r="H600">
            <v>40000</v>
          </cell>
          <cell r="I600" t="str">
            <v>N/A</v>
          </cell>
          <cell r="J600" t="str">
            <v>N/A</v>
          </cell>
          <cell r="K600">
            <v>16240</v>
          </cell>
          <cell r="L600">
            <v>0</v>
          </cell>
          <cell r="M600">
            <v>75</v>
          </cell>
          <cell r="N600">
            <v>0</v>
          </cell>
          <cell r="O600">
            <v>0</v>
          </cell>
          <cell r="P600">
            <v>0</v>
          </cell>
          <cell r="Q600">
            <v>0</v>
          </cell>
          <cell r="R600">
            <v>-1040</v>
          </cell>
          <cell r="S600">
            <v>40000</v>
          </cell>
          <cell r="T600">
            <v>120</v>
          </cell>
          <cell r="U600">
            <v>0</v>
          </cell>
          <cell r="V600">
            <v>35</v>
          </cell>
          <cell r="W600">
            <v>0</v>
          </cell>
          <cell r="X600">
            <v>0</v>
          </cell>
          <cell r="Y600">
            <v>0</v>
          </cell>
          <cell r="Z600">
            <v>0</v>
          </cell>
          <cell r="AA600">
            <v>15430</v>
          </cell>
        </row>
        <row r="601">
          <cell r="A601" t="str">
            <v>Superior Essex Wire</v>
          </cell>
          <cell r="B601">
            <v>37226</v>
          </cell>
          <cell r="C601">
            <v>36493</v>
          </cell>
          <cell r="D601">
            <v>36493</v>
          </cell>
          <cell r="E601" t="str">
            <v>N/A</v>
          </cell>
          <cell r="F601" t="str">
            <v>N/A</v>
          </cell>
          <cell r="G601">
            <v>40000</v>
          </cell>
          <cell r="H601">
            <v>40000</v>
          </cell>
          <cell r="I601" t="str">
            <v>N/A</v>
          </cell>
          <cell r="J601" t="str">
            <v>N/A</v>
          </cell>
          <cell r="K601">
            <v>16240</v>
          </cell>
          <cell r="L601">
            <v>0</v>
          </cell>
          <cell r="M601">
            <v>75</v>
          </cell>
          <cell r="N601">
            <v>0</v>
          </cell>
          <cell r="O601">
            <v>0</v>
          </cell>
          <cell r="P601">
            <v>0</v>
          </cell>
          <cell r="Q601">
            <v>0</v>
          </cell>
          <cell r="R601">
            <v>-1040</v>
          </cell>
          <cell r="S601">
            <v>40000</v>
          </cell>
          <cell r="T601">
            <v>120</v>
          </cell>
          <cell r="U601">
            <v>0</v>
          </cell>
          <cell r="V601">
            <v>35</v>
          </cell>
          <cell r="W601">
            <v>0</v>
          </cell>
          <cell r="X601">
            <v>0</v>
          </cell>
          <cell r="Y601">
            <v>0</v>
          </cell>
          <cell r="Z601">
            <v>0</v>
          </cell>
          <cell r="AA601">
            <v>15430</v>
          </cell>
        </row>
        <row r="602">
          <cell r="A602" t="str">
            <v>Superior Essex Wire</v>
          </cell>
          <cell r="B602">
            <v>37257</v>
          </cell>
          <cell r="C602">
            <v>40733</v>
          </cell>
          <cell r="D602">
            <v>40733</v>
          </cell>
          <cell r="E602" t="str">
            <v>N/A</v>
          </cell>
          <cell r="F602" t="str">
            <v>N/A</v>
          </cell>
          <cell r="G602">
            <v>40000</v>
          </cell>
          <cell r="H602">
            <v>40000</v>
          </cell>
          <cell r="I602" t="str">
            <v>N/A</v>
          </cell>
          <cell r="J602" t="str">
            <v>N/A</v>
          </cell>
          <cell r="K602">
            <v>16240</v>
          </cell>
          <cell r="L602">
            <v>0</v>
          </cell>
          <cell r="M602">
            <v>75</v>
          </cell>
          <cell r="N602">
            <v>0</v>
          </cell>
          <cell r="O602">
            <v>0</v>
          </cell>
          <cell r="P602">
            <v>0</v>
          </cell>
          <cell r="Q602">
            <v>0</v>
          </cell>
          <cell r="R602">
            <v>-1040</v>
          </cell>
          <cell r="S602">
            <v>40000</v>
          </cell>
          <cell r="T602">
            <v>120</v>
          </cell>
          <cell r="U602">
            <v>0</v>
          </cell>
          <cell r="V602">
            <v>35</v>
          </cell>
          <cell r="W602">
            <v>0</v>
          </cell>
          <cell r="X602">
            <v>0</v>
          </cell>
          <cell r="Y602">
            <v>0</v>
          </cell>
          <cell r="Z602">
            <v>0</v>
          </cell>
          <cell r="AA602">
            <v>15430</v>
          </cell>
        </row>
        <row r="603">
          <cell r="A603" t="str">
            <v>Superior Essex Wire</v>
          </cell>
          <cell r="B603">
            <v>37288</v>
          </cell>
          <cell r="C603">
            <v>37541</v>
          </cell>
          <cell r="D603">
            <v>37541</v>
          </cell>
          <cell r="E603" t="str">
            <v>N/A</v>
          </cell>
          <cell r="F603" t="str">
            <v>N/A</v>
          </cell>
          <cell r="G603">
            <v>40000</v>
          </cell>
          <cell r="H603">
            <v>40000</v>
          </cell>
          <cell r="I603" t="str">
            <v>N/A</v>
          </cell>
          <cell r="J603" t="str">
            <v>N/A</v>
          </cell>
          <cell r="K603">
            <v>16240</v>
          </cell>
          <cell r="L603">
            <v>0</v>
          </cell>
          <cell r="M603">
            <v>75</v>
          </cell>
          <cell r="N603">
            <v>0</v>
          </cell>
          <cell r="O603">
            <v>0</v>
          </cell>
          <cell r="P603">
            <v>0</v>
          </cell>
          <cell r="Q603">
            <v>0</v>
          </cell>
          <cell r="R603">
            <v>160</v>
          </cell>
          <cell r="S603">
            <v>40000</v>
          </cell>
          <cell r="T603">
            <v>-40</v>
          </cell>
          <cell r="U603">
            <v>0</v>
          </cell>
          <cell r="V603">
            <v>35</v>
          </cell>
          <cell r="W603">
            <v>0</v>
          </cell>
          <cell r="X603">
            <v>0</v>
          </cell>
          <cell r="Y603">
            <v>0</v>
          </cell>
          <cell r="Z603">
            <v>0</v>
          </cell>
          <cell r="AA603">
            <v>16470</v>
          </cell>
        </row>
        <row r="604">
          <cell r="A604" t="str">
            <v>Superior Essex Wire</v>
          </cell>
          <cell r="B604">
            <v>37316</v>
          </cell>
          <cell r="C604">
            <v>41860</v>
          </cell>
          <cell r="D604">
            <v>41860</v>
          </cell>
          <cell r="E604" t="str">
            <v>N/A</v>
          </cell>
          <cell r="F604" t="str">
            <v>N/A</v>
          </cell>
          <cell r="G604">
            <v>39990</v>
          </cell>
          <cell r="H604">
            <v>39990</v>
          </cell>
          <cell r="I604" t="str">
            <v>N/A</v>
          </cell>
          <cell r="J604" t="str">
            <v>N/A</v>
          </cell>
          <cell r="K604">
            <v>16235.94</v>
          </cell>
          <cell r="L604">
            <v>0</v>
          </cell>
          <cell r="M604">
            <v>75</v>
          </cell>
          <cell r="N604">
            <v>0</v>
          </cell>
          <cell r="O604">
            <v>0</v>
          </cell>
          <cell r="P604">
            <v>0</v>
          </cell>
          <cell r="Q604">
            <v>0</v>
          </cell>
          <cell r="R604">
            <v>159.96</v>
          </cell>
          <cell r="S604">
            <v>39990</v>
          </cell>
          <cell r="T604">
            <v>-39.99</v>
          </cell>
          <cell r="U604">
            <v>0</v>
          </cell>
          <cell r="V604">
            <v>35</v>
          </cell>
          <cell r="W604">
            <v>0</v>
          </cell>
          <cell r="X604">
            <v>0</v>
          </cell>
          <cell r="Y604">
            <v>0</v>
          </cell>
          <cell r="Z604">
            <v>0</v>
          </cell>
          <cell r="AA604">
            <v>16465.91</v>
          </cell>
        </row>
        <row r="605">
          <cell r="A605" t="str">
            <v>Superior Essex Wire</v>
          </cell>
          <cell r="B605">
            <v>37347</v>
          </cell>
          <cell r="C605">
            <v>37754</v>
          </cell>
          <cell r="D605">
            <v>37754</v>
          </cell>
          <cell r="E605" t="str">
            <v>N/A</v>
          </cell>
          <cell r="F605" t="str">
            <v>N/A</v>
          </cell>
          <cell r="G605">
            <v>20000</v>
          </cell>
          <cell r="H605">
            <v>20000</v>
          </cell>
          <cell r="I605" t="str">
            <v>N/A</v>
          </cell>
          <cell r="J605" t="str">
            <v>N/A</v>
          </cell>
          <cell r="K605">
            <v>8120</v>
          </cell>
          <cell r="L605">
            <v>0</v>
          </cell>
          <cell r="M605">
            <v>75</v>
          </cell>
          <cell r="N605">
            <v>0</v>
          </cell>
          <cell r="O605">
            <v>0</v>
          </cell>
          <cell r="P605">
            <v>0</v>
          </cell>
          <cell r="Q605">
            <v>0</v>
          </cell>
          <cell r="R605">
            <v>80</v>
          </cell>
          <cell r="S605">
            <v>20000</v>
          </cell>
          <cell r="T605">
            <v>-20</v>
          </cell>
          <cell r="U605">
            <v>0</v>
          </cell>
          <cell r="V605">
            <v>35</v>
          </cell>
          <cell r="W605">
            <v>0</v>
          </cell>
          <cell r="X605">
            <v>0</v>
          </cell>
          <cell r="Y605">
            <v>0</v>
          </cell>
          <cell r="Z605">
            <v>0</v>
          </cell>
          <cell r="AA605">
            <v>8290</v>
          </cell>
        </row>
        <row r="606">
          <cell r="A606" t="str">
            <v>Superior Essex Wire</v>
          </cell>
          <cell r="B606">
            <v>37377</v>
          </cell>
          <cell r="C606">
            <v>31215</v>
          </cell>
          <cell r="D606">
            <v>31215</v>
          </cell>
          <cell r="E606" t="str">
            <v>N/A</v>
          </cell>
          <cell r="F606" t="str">
            <v>N/A</v>
          </cell>
          <cell r="G606">
            <v>31482</v>
          </cell>
          <cell r="H606">
            <v>31482</v>
          </cell>
          <cell r="I606" t="str">
            <v>N/A</v>
          </cell>
          <cell r="J606" t="str">
            <v>N/A</v>
          </cell>
          <cell r="K606">
            <v>12781.69</v>
          </cell>
          <cell r="L606">
            <v>0</v>
          </cell>
          <cell r="M606">
            <v>75</v>
          </cell>
          <cell r="N606">
            <v>0</v>
          </cell>
          <cell r="O606">
            <v>0</v>
          </cell>
          <cell r="P606">
            <v>0</v>
          </cell>
          <cell r="Q606">
            <v>0</v>
          </cell>
          <cell r="R606">
            <v>0</v>
          </cell>
          <cell r="S606">
            <v>0</v>
          </cell>
          <cell r="T606">
            <v>0</v>
          </cell>
          <cell r="U606">
            <v>0</v>
          </cell>
          <cell r="V606">
            <v>35</v>
          </cell>
          <cell r="W606">
            <v>0</v>
          </cell>
          <cell r="X606">
            <v>0</v>
          </cell>
          <cell r="Y606">
            <v>0</v>
          </cell>
          <cell r="Z606">
            <v>0</v>
          </cell>
          <cell r="AA606">
            <v>12891.69</v>
          </cell>
        </row>
        <row r="607">
          <cell r="A607" t="str">
            <v>Superior Essex Wire</v>
          </cell>
          <cell r="B607">
            <v>37408</v>
          </cell>
          <cell r="C607">
            <v>36596</v>
          </cell>
          <cell r="D607">
            <v>36596</v>
          </cell>
          <cell r="E607" t="str">
            <v>N/A</v>
          </cell>
          <cell r="F607" t="str">
            <v>N/A</v>
          </cell>
          <cell r="G607">
            <v>20000</v>
          </cell>
          <cell r="H607">
            <v>20000</v>
          </cell>
          <cell r="I607" t="str">
            <v>N/A</v>
          </cell>
          <cell r="J607" t="str">
            <v>N/A</v>
          </cell>
          <cell r="K607">
            <v>8120</v>
          </cell>
          <cell r="L607">
            <v>0</v>
          </cell>
          <cell r="M607">
            <v>75</v>
          </cell>
          <cell r="N607">
            <v>0</v>
          </cell>
          <cell r="O607">
            <v>0</v>
          </cell>
          <cell r="P607">
            <v>0</v>
          </cell>
          <cell r="Q607">
            <v>0</v>
          </cell>
          <cell r="R607">
            <v>0</v>
          </cell>
          <cell r="S607">
            <v>0</v>
          </cell>
          <cell r="T607">
            <v>0</v>
          </cell>
          <cell r="U607">
            <v>0</v>
          </cell>
          <cell r="V607">
            <v>35</v>
          </cell>
          <cell r="W607">
            <v>0</v>
          </cell>
          <cell r="X607">
            <v>0</v>
          </cell>
          <cell r="Y607">
            <v>0</v>
          </cell>
          <cell r="Z607">
            <v>0</v>
          </cell>
          <cell r="AA607">
            <v>8230</v>
          </cell>
        </row>
        <row r="608">
          <cell r="A608" t="str">
            <v>Superior Essex Wire</v>
          </cell>
          <cell r="B608">
            <v>37438</v>
          </cell>
          <cell r="C608">
            <v>37441</v>
          </cell>
          <cell r="D608">
            <v>37441</v>
          </cell>
          <cell r="E608" t="str">
            <v>N/A</v>
          </cell>
          <cell r="F608" t="str">
            <v>N/A</v>
          </cell>
          <cell r="G608">
            <v>37140</v>
          </cell>
          <cell r="H608">
            <v>37140</v>
          </cell>
          <cell r="I608" t="str">
            <v>N/A</v>
          </cell>
          <cell r="J608" t="str">
            <v>N/A</v>
          </cell>
          <cell r="K608">
            <v>15078.84</v>
          </cell>
          <cell r="L608">
            <v>0</v>
          </cell>
          <cell r="M608">
            <v>75</v>
          </cell>
          <cell r="N608">
            <v>0</v>
          </cell>
          <cell r="O608">
            <v>0</v>
          </cell>
          <cell r="P608">
            <v>0</v>
          </cell>
          <cell r="Q608">
            <v>0</v>
          </cell>
          <cell r="R608">
            <v>0</v>
          </cell>
          <cell r="S608">
            <v>0</v>
          </cell>
          <cell r="T608">
            <v>0</v>
          </cell>
          <cell r="U608">
            <v>0</v>
          </cell>
          <cell r="V608">
            <v>35</v>
          </cell>
          <cell r="W608">
            <v>0</v>
          </cell>
          <cell r="X608">
            <v>0</v>
          </cell>
          <cell r="Y608">
            <v>0</v>
          </cell>
          <cell r="Z608">
            <v>0</v>
          </cell>
          <cell r="AA608">
            <v>15188.84</v>
          </cell>
        </row>
        <row r="609">
          <cell r="A609" t="str">
            <v>University of Evansville</v>
          </cell>
          <cell r="B609">
            <v>37104</v>
          </cell>
          <cell r="C609">
            <v>2485</v>
          </cell>
          <cell r="D609">
            <v>2485</v>
          </cell>
          <cell r="E609" t="str">
            <v>N/A</v>
          </cell>
          <cell r="F609" t="str">
            <v>N/A</v>
          </cell>
          <cell r="G609">
            <v>3000</v>
          </cell>
          <cell r="H609">
            <v>3000</v>
          </cell>
          <cell r="I609" t="str">
            <v>N/A</v>
          </cell>
          <cell r="J609" t="str">
            <v>N/A</v>
          </cell>
          <cell r="K609">
            <v>1218</v>
          </cell>
          <cell r="L609">
            <v>0</v>
          </cell>
          <cell r="M609">
            <v>75</v>
          </cell>
          <cell r="N609">
            <v>0</v>
          </cell>
          <cell r="O609">
            <v>0</v>
          </cell>
          <cell r="P609">
            <v>0</v>
          </cell>
          <cell r="Q609">
            <v>0</v>
          </cell>
          <cell r="R609">
            <v>0</v>
          </cell>
          <cell r="S609">
            <v>3000</v>
          </cell>
          <cell r="T609">
            <v>9</v>
          </cell>
          <cell r="U609">
            <v>0</v>
          </cell>
          <cell r="V609">
            <v>35</v>
          </cell>
          <cell r="W609">
            <v>0</v>
          </cell>
          <cell r="X609">
            <v>0</v>
          </cell>
          <cell r="Y609">
            <v>0</v>
          </cell>
          <cell r="Z609">
            <v>0</v>
          </cell>
          <cell r="AA609">
            <v>1337</v>
          </cell>
        </row>
        <row r="610">
          <cell r="A610" t="str">
            <v>University of Evansville</v>
          </cell>
          <cell r="B610">
            <v>37135</v>
          </cell>
          <cell r="C610">
            <v>3094</v>
          </cell>
          <cell r="D610">
            <v>3094</v>
          </cell>
          <cell r="E610" t="str">
            <v>N/A</v>
          </cell>
          <cell r="F610" t="str">
            <v>N/A</v>
          </cell>
          <cell r="G610">
            <v>3500</v>
          </cell>
          <cell r="H610">
            <v>3500</v>
          </cell>
          <cell r="I610" t="str">
            <v>N/A</v>
          </cell>
          <cell r="J610" t="str">
            <v>N/A</v>
          </cell>
          <cell r="K610">
            <v>1421</v>
          </cell>
          <cell r="L610">
            <v>0</v>
          </cell>
          <cell r="M610">
            <v>75</v>
          </cell>
          <cell r="N610">
            <v>0</v>
          </cell>
          <cell r="O610">
            <v>0</v>
          </cell>
          <cell r="P610">
            <v>0</v>
          </cell>
          <cell r="Q610">
            <v>0</v>
          </cell>
          <cell r="R610">
            <v>0</v>
          </cell>
          <cell r="S610">
            <v>3500</v>
          </cell>
          <cell r="T610">
            <v>10.5</v>
          </cell>
          <cell r="U610">
            <v>0</v>
          </cell>
          <cell r="V610">
            <v>35</v>
          </cell>
          <cell r="W610">
            <v>0</v>
          </cell>
          <cell r="X610">
            <v>0</v>
          </cell>
          <cell r="Y610">
            <v>0</v>
          </cell>
          <cell r="Z610">
            <v>0</v>
          </cell>
          <cell r="AA610">
            <v>1541.5</v>
          </cell>
        </row>
        <row r="611">
          <cell r="A611" t="str">
            <v>University of Evansville</v>
          </cell>
          <cell r="B611">
            <v>37165</v>
          </cell>
          <cell r="C611">
            <v>5019</v>
          </cell>
          <cell r="D611">
            <v>5019</v>
          </cell>
          <cell r="E611" t="str">
            <v>N/A</v>
          </cell>
          <cell r="F611" t="str">
            <v>N/A</v>
          </cell>
          <cell r="G611">
            <v>5000</v>
          </cell>
          <cell r="H611">
            <v>5000</v>
          </cell>
          <cell r="I611" t="str">
            <v>N/A</v>
          </cell>
          <cell r="J611" t="str">
            <v>N/A</v>
          </cell>
          <cell r="K611">
            <v>2030</v>
          </cell>
          <cell r="L611">
            <v>0</v>
          </cell>
          <cell r="M611">
            <v>75</v>
          </cell>
          <cell r="N611">
            <v>0</v>
          </cell>
          <cell r="O611">
            <v>0</v>
          </cell>
          <cell r="P611">
            <v>0</v>
          </cell>
          <cell r="Q611">
            <v>0</v>
          </cell>
          <cell r="R611">
            <v>0</v>
          </cell>
          <cell r="S611">
            <v>5000</v>
          </cell>
          <cell r="T611">
            <v>15</v>
          </cell>
          <cell r="U611">
            <v>0</v>
          </cell>
          <cell r="V611">
            <v>35</v>
          </cell>
          <cell r="W611">
            <v>0</v>
          </cell>
          <cell r="X611">
            <v>0</v>
          </cell>
          <cell r="Y611">
            <v>0</v>
          </cell>
          <cell r="Z611">
            <v>0</v>
          </cell>
          <cell r="AA611">
            <v>2155</v>
          </cell>
        </row>
        <row r="612">
          <cell r="A612" t="str">
            <v>University of Evansville</v>
          </cell>
          <cell r="B612">
            <v>37196</v>
          </cell>
          <cell r="C612">
            <v>6805</v>
          </cell>
          <cell r="D612">
            <v>6805</v>
          </cell>
          <cell r="E612" t="str">
            <v>N/A</v>
          </cell>
          <cell r="F612" t="str">
            <v>N/A</v>
          </cell>
          <cell r="G612">
            <v>5000</v>
          </cell>
          <cell r="H612">
            <v>5000</v>
          </cell>
          <cell r="I612" t="str">
            <v>N/A</v>
          </cell>
          <cell r="J612" t="str">
            <v>N/A</v>
          </cell>
          <cell r="K612">
            <v>2030</v>
          </cell>
          <cell r="L612">
            <v>0</v>
          </cell>
          <cell r="M612">
            <v>75</v>
          </cell>
          <cell r="N612">
            <v>0</v>
          </cell>
          <cell r="O612">
            <v>0</v>
          </cell>
          <cell r="P612">
            <v>0</v>
          </cell>
          <cell r="Q612">
            <v>0</v>
          </cell>
          <cell r="R612">
            <v>0</v>
          </cell>
          <cell r="S612">
            <v>5000</v>
          </cell>
          <cell r="T612">
            <v>15</v>
          </cell>
          <cell r="U612">
            <v>0</v>
          </cell>
          <cell r="V612">
            <v>35</v>
          </cell>
          <cell r="W612">
            <v>0</v>
          </cell>
          <cell r="X612">
            <v>0</v>
          </cell>
          <cell r="Y612">
            <v>0</v>
          </cell>
          <cell r="Z612">
            <v>0</v>
          </cell>
          <cell r="AA612">
            <v>2155</v>
          </cell>
        </row>
        <row r="613">
          <cell r="A613" t="str">
            <v>University of Evansville</v>
          </cell>
          <cell r="B613">
            <v>37226</v>
          </cell>
          <cell r="C613">
            <v>9416</v>
          </cell>
          <cell r="D613">
            <v>9416</v>
          </cell>
          <cell r="E613" t="str">
            <v>N/A</v>
          </cell>
          <cell r="F613" t="str">
            <v>N/A</v>
          </cell>
          <cell r="G613">
            <v>7500</v>
          </cell>
          <cell r="H613">
            <v>7500</v>
          </cell>
          <cell r="I613" t="str">
            <v>N/A</v>
          </cell>
          <cell r="J613" t="str">
            <v>N/A</v>
          </cell>
          <cell r="K613">
            <v>3045</v>
          </cell>
          <cell r="L613">
            <v>0</v>
          </cell>
          <cell r="M613">
            <v>75</v>
          </cell>
          <cell r="N613">
            <v>0</v>
          </cell>
          <cell r="O613">
            <v>0</v>
          </cell>
          <cell r="P613">
            <v>0</v>
          </cell>
          <cell r="Q613">
            <v>0</v>
          </cell>
          <cell r="R613">
            <v>0</v>
          </cell>
          <cell r="S613">
            <v>7500</v>
          </cell>
          <cell r="T613">
            <v>22.5</v>
          </cell>
          <cell r="U613">
            <v>0</v>
          </cell>
          <cell r="V613">
            <v>35</v>
          </cell>
          <cell r="W613">
            <v>0</v>
          </cell>
          <cell r="X613">
            <v>0</v>
          </cell>
          <cell r="Y613">
            <v>0</v>
          </cell>
          <cell r="Z613">
            <v>0</v>
          </cell>
          <cell r="AA613">
            <v>3177.5</v>
          </cell>
        </row>
        <row r="614">
          <cell r="A614" t="str">
            <v>University of Evansville</v>
          </cell>
          <cell r="B614">
            <v>37257</v>
          </cell>
          <cell r="C614">
            <v>10801</v>
          </cell>
          <cell r="D614">
            <v>10801</v>
          </cell>
          <cell r="E614" t="str">
            <v>N/A</v>
          </cell>
          <cell r="F614" t="str">
            <v>N/A</v>
          </cell>
          <cell r="G614">
            <v>11500</v>
          </cell>
          <cell r="H614">
            <v>11500</v>
          </cell>
          <cell r="I614" t="str">
            <v>N/A</v>
          </cell>
          <cell r="J614" t="str">
            <v>N/A</v>
          </cell>
          <cell r="K614">
            <v>4669</v>
          </cell>
          <cell r="L614">
            <v>0</v>
          </cell>
          <cell r="M614">
            <v>75</v>
          </cell>
          <cell r="N614">
            <v>0</v>
          </cell>
          <cell r="O614">
            <v>0</v>
          </cell>
          <cell r="P614">
            <v>0</v>
          </cell>
          <cell r="Q614">
            <v>0</v>
          </cell>
          <cell r="R614">
            <v>0</v>
          </cell>
          <cell r="S614">
            <v>11500</v>
          </cell>
          <cell r="T614">
            <v>34.5</v>
          </cell>
          <cell r="U614">
            <v>0</v>
          </cell>
          <cell r="V614">
            <v>35</v>
          </cell>
          <cell r="W614">
            <v>0</v>
          </cell>
          <cell r="X614">
            <v>0</v>
          </cell>
          <cell r="Y614">
            <v>0</v>
          </cell>
          <cell r="Z614">
            <v>0</v>
          </cell>
          <cell r="AA614">
            <v>4813.5</v>
          </cell>
        </row>
        <row r="615">
          <cell r="A615" t="str">
            <v>University of Evansville</v>
          </cell>
          <cell r="B615">
            <v>37288</v>
          </cell>
          <cell r="C615">
            <v>9609</v>
          </cell>
          <cell r="D615">
            <v>9609</v>
          </cell>
          <cell r="E615" t="str">
            <v>N/A</v>
          </cell>
          <cell r="F615" t="str">
            <v>N/A</v>
          </cell>
          <cell r="G615">
            <v>9000</v>
          </cell>
          <cell r="H615">
            <v>9000</v>
          </cell>
          <cell r="I615" t="str">
            <v>N/A</v>
          </cell>
          <cell r="J615" t="str">
            <v>N/A</v>
          </cell>
          <cell r="K615">
            <v>3654</v>
          </cell>
          <cell r="L615">
            <v>0</v>
          </cell>
          <cell r="M615">
            <v>75</v>
          </cell>
          <cell r="N615">
            <v>0</v>
          </cell>
          <cell r="O615">
            <v>0</v>
          </cell>
          <cell r="P615">
            <v>0</v>
          </cell>
          <cell r="Q615">
            <v>0</v>
          </cell>
          <cell r="R615">
            <v>0</v>
          </cell>
          <cell r="S615">
            <v>9000</v>
          </cell>
          <cell r="T615">
            <v>-9</v>
          </cell>
          <cell r="U615">
            <v>0</v>
          </cell>
          <cell r="V615">
            <v>35</v>
          </cell>
          <cell r="W615">
            <v>0</v>
          </cell>
          <cell r="X615">
            <v>0</v>
          </cell>
          <cell r="Y615">
            <v>0</v>
          </cell>
          <cell r="Z615">
            <v>0</v>
          </cell>
          <cell r="AA615">
            <v>3755</v>
          </cell>
        </row>
        <row r="616">
          <cell r="A616" t="str">
            <v>University of Evansville</v>
          </cell>
          <cell r="B616">
            <v>37316</v>
          </cell>
          <cell r="C616">
            <v>9377</v>
          </cell>
          <cell r="D616">
            <v>9377</v>
          </cell>
          <cell r="E616" t="str">
            <v>N/A</v>
          </cell>
          <cell r="F616" t="str">
            <v>N/A</v>
          </cell>
          <cell r="G616">
            <v>8000</v>
          </cell>
          <cell r="H616">
            <v>8000</v>
          </cell>
          <cell r="I616" t="str">
            <v>N/A</v>
          </cell>
          <cell r="J616" t="str">
            <v>N/A</v>
          </cell>
          <cell r="K616">
            <v>3248</v>
          </cell>
          <cell r="L616">
            <v>0</v>
          </cell>
          <cell r="M616">
            <v>75</v>
          </cell>
          <cell r="N616">
            <v>0</v>
          </cell>
          <cell r="O616">
            <v>0</v>
          </cell>
          <cell r="P616">
            <v>0</v>
          </cell>
          <cell r="Q616">
            <v>0</v>
          </cell>
          <cell r="R616">
            <v>0</v>
          </cell>
          <cell r="S616">
            <v>8000</v>
          </cell>
          <cell r="T616">
            <v>-8</v>
          </cell>
          <cell r="U616">
            <v>0</v>
          </cell>
          <cell r="V616">
            <v>35</v>
          </cell>
          <cell r="W616">
            <v>0</v>
          </cell>
          <cell r="X616">
            <v>0</v>
          </cell>
          <cell r="Y616">
            <v>0</v>
          </cell>
          <cell r="Z616">
            <v>0</v>
          </cell>
          <cell r="AA616">
            <v>3350</v>
          </cell>
        </row>
        <row r="617">
          <cell r="A617" t="str">
            <v>University of Evansville</v>
          </cell>
          <cell r="B617">
            <v>37347</v>
          </cell>
          <cell r="C617">
            <v>6151</v>
          </cell>
          <cell r="D617">
            <v>6151</v>
          </cell>
          <cell r="E617" t="str">
            <v>N/A</v>
          </cell>
          <cell r="F617" t="str">
            <v>N/A</v>
          </cell>
          <cell r="G617">
            <v>5000</v>
          </cell>
          <cell r="H617">
            <v>5000</v>
          </cell>
          <cell r="I617" t="str">
            <v>N/A</v>
          </cell>
          <cell r="J617" t="str">
            <v>N/A</v>
          </cell>
          <cell r="K617">
            <v>2030</v>
          </cell>
          <cell r="L617">
            <v>0</v>
          </cell>
          <cell r="M617">
            <v>75</v>
          </cell>
          <cell r="N617">
            <v>0</v>
          </cell>
          <cell r="O617">
            <v>0</v>
          </cell>
          <cell r="P617">
            <v>0</v>
          </cell>
          <cell r="Q617">
            <v>0</v>
          </cell>
          <cell r="R617">
            <v>0</v>
          </cell>
          <cell r="S617">
            <v>5000</v>
          </cell>
          <cell r="T617">
            <v>-5</v>
          </cell>
          <cell r="U617">
            <v>0</v>
          </cell>
          <cell r="V617">
            <v>35</v>
          </cell>
          <cell r="W617">
            <v>0</v>
          </cell>
          <cell r="X617">
            <v>0</v>
          </cell>
          <cell r="Y617">
            <v>0</v>
          </cell>
          <cell r="Z617">
            <v>0</v>
          </cell>
          <cell r="AA617">
            <v>2135</v>
          </cell>
        </row>
        <row r="618">
          <cell r="A618" t="str">
            <v>University of Evansville</v>
          </cell>
          <cell r="B618">
            <v>37377</v>
          </cell>
          <cell r="C618">
            <v>4779</v>
          </cell>
          <cell r="D618">
            <v>4779</v>
          </cell>
          <cell r="E618" t="str">
            <v>N/A</v>
          </cell>
          <cell r="F618" t="str">
            <v>N/A</v>
          </cell>
          <cell r="G618">
            <v>4865</v>
          </cell>
          <cell r="H618">
            <v>4865</v>
          </cell>
          <cell r="I618" t="str">
            <v>N/A</v>
          </cell>
          <cell r="J618" t="str">
            <v>N/A</v>
          </cell>
          <cell r="K618">
            <v>1975.19</v>
          </cell>
          <cell r="L618">
            <v>0</v>
          </cell>
          <cell r="M618">
            <v>75</v>
          </cell>
          <cell r="N618">
            <v>0</v>
          </cell>
          <cell r="O618">
            <v>0</v>
          </cell>
          <cell r="P618">
            <v>0</v>
          </cell>
          <cell r="Q618">
            <v>0</v>
          </cell>
          <cell r="R618">
            <v>0</v>
          </cell>
          <cell r="S618">
            <v>0</v>
          </cell>
          <cell r="T618">
            <v>0</v>
          </cell>
          <cell r="U618">
            <v>0</v>
          </cell>
          <cell r="V618">
            <v>35</v>
          </cell>
          <cell r="W618">
            <v>0</v>
          </cell>
          <cell r="X618">
            <v>0</v>
          </cell>
          <cell r="Y618">
            <v>0</v>
          </cell>
          <cell r="Z618">
            <v>0</v>
          </cell>
          <cell r="AA618">
            <v>2085.19</v>
          </cell>
        </row>
        <row r="619">
          <cell r="A619" t="str">
            <v>University of Evansville</v>
          </cell>
          <cell r="B619">
            <v>37408</v>
          </cell>
          <cell r="C619">
            <v>3059</v>
          </cell>
          <cell r="D619">
            <v>3059</v>
          </cell>
          <cell r="E619" t="str">
            <v>N/A</v>
          </cell>
          <cell r="F619" t="str">
            <v>N/A</v>
          </cell>
          <cell r="G619">
            <v>3000</v>
          </cell>
          <cell r="H619">
            <v>3000</v>
          </cell>
          <cell r="I619" t="str">
            <v>N/A</v>
          </cell>
          <cell r="J619" t="str">
            <v>N/A</v>
          </cell>
          <cell r="K619">
            <v>1218</v>
          </cell>
          <cell r="L619">
            <v>0</v>
          </cell>
          <cell r="M619">
            <v>75</v>
          </cell>
          <cell r="N619">
            <v>0</v>
          </cell>
          <cell r="O619">
            <v>0</v>
          </cell>
          <cell r="P619">
            <v>0</v>
          </cell>
          <cell r="Q619">
            <v>0</v>
          </cell>
          <cell r="R619">
            <v>0</v>
          </cell>
          <cell r="S619">
            <v>0</v>
          </cell>
          <cell r="T619">
            <v>0</v>
          </cell>
          <cell r="U619">
            <v>0</v>
          </cell>
          <cell r="V619">
            <v>35</v>
          </cell>
          <cell r="W619">
            <v>0</v>
          </cell>
          <cell r="X619">
            <v>0</v>
          </cell>
          <cell r="Y619">
            <v>0</v>
          </cell>
          <cell r="Z619">
            <v>0</v>
          </cell>
          <cell r="AA619">
            <v>1328</v>
          </cell>
        </row>
        <row r="620">
          <cell r="A620" t="str">
            <v>University of Evansville</v>
          </cell>
          <cell r="B620">
            <v>37438</v>
          </cell>
          <cell r="C620">
            <v>2848</v>
          </cell>
          <cell r="D620">
            <v>2848</v>
          </cell>
          <cell r="E620" t="str">
            <v>N/A</v>
          </cell>
          <cell r="F620" t="str">
            <v>N/A</v>
          </cell>
          <cell r="G620">
            <v>3000</v>
          </cell>
          <cell r="H620">
            <v>3000</v>
          </cell>
          <cell r="I620" t="str">
            <v>N/A</v>
          </cell>
          <cell r="J620" t="str">
            <v>N/A</v>
          </cell>
          <cell r="K620">
            <v>1218</v>
          </cell>
          <cell r="L620">
            <v>0</v>
          </cell>
          <cell r="M620">
            <v>75</v>
          </cell>
          <cell r="N620">
            <v>0</v>
          </cell>
          <cell r="O620">
            <v>0</v>
          </cell>
          <cell r="P620">
            <v>0</v>
          </cell>
          <cell r="Q620">
            <v>0</v>
          </cell>
          <cell r="R620">
            <v>0</v>
          </cell>
          <cell r="S620">
            <v>0</v>
          </cell>
          <cell r="T620">
            <v>0</v>
          </cell>
          <cell r="U620">
            <v>0</v>
          </cell>
          <cell r="V620">
            <v>35</v>
          </cell>
          <cell r="W620">
            <v>0</v>
          </cell>
          <cell r="X620">
            <v>0</v>
          </cell>
          <cell r="Y620">
            <v>0</v>
          </cell>
          <cell r="Z620">
            <v>0</v>
          </cell>
          <cell r="AA620">
            <v>1328</v>
          </cell>
        </row>
        <row r="621">
          <cell r="A621" t="str">
            <v>University of Southern Indiana</v>
          </cell>
          <cell r="B621">
            <v>37104</v>
          </cell>
          <cell r="C621">
            <v>5459</v>
          </cell>
          <cell r="D621">
            <v>5459</v>
          </cell>
          <cell r="E621" t="str">
            <v>N/A</v>
          </cell>
          <cell r="F621" t="str">
            <v>N/A</v>
          </cell>
          <cell r="G621">
            <v>5072</v>
          </cell>
          <cell r="H621">
            <v>5072</v>
          </cell>
          <cell r="I621" t="str">
            <v>N/A</v>
          </cell>
          <cell r="J621" t="str">
            <v>N/A</v>
          </cell>
          <cell r="K621">
            <v>2059.23</v>
          </cell>
          <cell r="L621">
            <v>0</v>
          </cell>
          <cell r="M621">
            <v>75</v>
          </cell>
          <cell r="N621">
            <v>0</v>
          </cell>
          <cell r="O621">
            <v>0</v>
          </cell>
          <cell r="P621">
            <v>0</v>
          </cell>
          <cell r="Q621">
            <v>0</v>
          </cell>
          <cell r="R621">
            <v>0</v>
          </cell>
          <cell r="S621">
            <v>5072</v>
          </cell>
          <cell r="T621">
            <v>15.22</v>
          </cell>
          <cell r="U621">
            <v>0</v>
          </cell>
          <cell r="V621">
            <v>35</v>
          </cell>
          <cell r="W621">
            <v>0</v>
          </cell>
          <cell r="X621">
            <v>0</v>
          </cell>
          <cell r="Y621">
            <v>0</v>
          </cell>
          <cell r="Z621">
            <v>0</v>
          </cell>
          <cell r="AA621">
            <v>2184.4499999999998</v>
          </cell>
        </row>
        <row r="622">
          <cell r="A622" t="str">
            <v>University of Southern Indiana</v>
          </cell>
          <cell r="B622">
            <v>37135</v>
          </cell>
          <cell r="C622">
            <v>6120</v>
          </cell>
          <cell r="D622">
            <v>6120</v>
          </cell>
          <cell r="E622" t="str">
            <v>N/A</v>
          </cell>
          <cell r="F622" t="str">
            <v>N/A</v>
          </cell>
          <cell r="G622">
            <v>6409</v>
          </cell>
          <cell r="H622">
            <v>6409</v>
          </cell>
          <cell r="I622" t="str">
            <v>N/A</v>
          </cell>
          <cell r="J622" t="str">
            <v>N/A</v>
          </cell>
          <cell r="K622">
            <v>2602.0500000000002</v>
          </cell>
          <cell r="L622">
            <v>0</v>
          </cell>
          <cell r="M622">
            <v>75</v>
          </cell>
          <cell r="N622">
            <v>0</v>
          </cell>
          <cell r="O622">
            <v>0</v>
          </cell>
          <cell r="P622">
            <v>0</v>
          </cell>
          <cell r="Q622">
            <v>0</v>
          </cell>
          <cell r="R622">
            <v>0</v>
          </cell>
          <cell r="S622">
            <v>6409</v>
          </cell>
          <cell r="T622">
            <v>19.23</v>
          </cell>
          <cell r="U622">
            <v>0</v>
          </cell>
          <cell r="V622">
            <v>35</v>
          </cell>
          <cell r="W622">
            <v>0</v>
          </cell>
          <cell r="X622">
            <v>0</v>
          </cell>
          <cell r="Y622">
            <v>0</v>
          </cell>
          <cell r="Z622">
            <v>0</v>
          </cell>
          <cell r="AA622">
            <v>2731.28</v>
          </cell>
        </row>
        <row r="623">
          <cell r="A623" t="str">
            <v>University of Southern Indiana</v>
          </cell>
          <cell r="B623">
            <v>37165</v>
          </cell>
          <cell r="C623">
            <v>8505</v>
          </cell>
          <cell r="D623">
            <v>8505</v>
          </cell>
          <cell r="E623" t="str">
            <v>N/A</v>
          </cell>
          <cell r="F623" t="str">
            <v>N/A</v>
          </cell>
          <cell r="G623">
            <v>7931</v>
          </cell>
          <cell r="H623">
            <v>7931</v>
          </cell>
          <cell r="I623" t="str">
            <v>N/A</v>
          </cell>
          <cell r="J623" t="str">
            <v>N/A</v>
          </cell>
          <cell r="K623">
            <v>3219.99</v>
          </cell>
          <cell r="L623">
            <v>0</v>
          </cell>
          <cell r="M623">
            <v>75</v>
          </cell>
          <cell r="N623">
            <v>0</v>
          </cell>
          <cell r="O623">
            <v>0</v>
          </cell>
          <cell r="P623">
            <v>0</v>
          </cell>
          <cell r="Q623">
            <v>0</v>
          </cell>
          <cell r="R623">
            <v>0</v>
          </cell>
          <cell r="S623">
            <v>7931</v>
          </cell>
          <cell r="T623">
            <v>23.79</v>
          </cell>
          <cell r="U623">
            <v>0</v>
          </cell>
          <cell r="V623">
            <v>35</v>
          </cell>
          <cell r="W623">
            <v>0</v>
          </cell>
          <cell r="X623">
            <v>0</v>
          </cell>
          <cell r="Y623">
            <v>0</v>
          </cell>
          <cell r="Z623">
            <v>0</v>
          </cell>
          <cell r="AA623">
            <v>3353.78</v>
          </cell>
        </row>
        <row r="624">
          <cell r="A624" t="str">
            <v>University of Southern Indiana</v>
          </cell>
          <cell r="B624">
            <v>37196</v>
          </cell>
          <cell r="C624">
            <v>8889</v>
          </cell>
          <cell r="D624">
            <v>8889</v>
          </cell>
          <cell r="E624" t="str">
            <v>N/A</v>
          </cell>
          <cell r="F624" t="str">
            <v>N/A</v>
          </cell>
          <cell r="G624">
            <v>11007</v>
          </cell>
          <cell r="H624">
            <v>11007</v>
          </cell>
          <cell r="I624" t="str">
            <v>N/A</v>
          </cell>
          <cell r="J624" t="str">
            <v>N/A</v>
          </cell>
          <cell r="K624">
            <v>4468.84</v>
          </cell>
          <cell r="L624">
            <v>0</v>
          </cell>
          <cell r="M624">
            <v>75</v>
          </cell>
          <cell r="N624">
            <v>0</v>
          </cell>
          <cell r="O624">
            <v>0</v>
          </cell>
          <cell r="P624">
            <v>0</v>
          </cell>
          <cell r="Q624">
            <v>0</v>
          </cell>
          <cell r="R624">
            <v>0</v>
          </cell>
          <cell r="S624">
            <v>11007</v>
          </cell>
          <cell r="T624">
            <v>33.020000000000003</v>
          </cell>
          <cell r="U624">
            <v>0</v>
          </cell>
          <cell r="V624">
            <v>35</v>
          </cell>
          <cell r="W624">
            <v>0</v>
          </cell>
          <cell r="X624">
            <v>0</v>
          </cell>
          <cell r="Y624">
            <v>0</v>
          </cell>
          <cell r="Z624">
            <v>0</v>
          </cell>
          <cell r="AA624">
            <v>4611.8599999999997</v>
          </cell>
        </row>
        <row r="625">
          <cell r="A625" t="str">
            <v>University of Southern Indiana</v>
          </cell>
          <cell r="B625">
            <v>37226</v>
          </cell>
          <cell r="C625">
            <v>11462</v>
          </cell>
          <cell r="D625">
            <v>11462</v>
          </cell>
          <cell r="E625" t="str">
            <v>N/A</v>
          </cell>
          <cell r="F625" t="str">
            <v>N/A</v>
          </cell>
          <cell r="G625">
            <v>15545</v>
          </cell>
          <cell r="H625">
            <v>15545</v>
          </cell>
          <cell r="I625" t="str">
            <v>N/A</v>
          </cell>
          <cell r="J625" t="str">
            <v>N/A</v>
          </cell>
          <cell r="K625">
            <v>6311.27</v>
          </cell>
          <cell r="L625">
            <v>0</v>
          </cell>
          <cell r="M625">
            <v>75</v>
          </cell>
          <cell r="N625">
            <v>0</v>
          </cell>
          <cell r="O625">
            <v>0</v>
          </cell>
          <cell r="P625">
            <v>0</v>
          </cell>
          <cell r="Q625">
            <v>0</v>
          </cell>
          <cell r="R625">
            <v>0</v>
          </cell>
          <cell r="S625">
            <v>15545</v>
          </cell>
          <cell r="T625">
            <v>46.63</v>
          </cell>
          <cell r="U625">
            <v>0</v>
          </cell>
          <cell r="V625">
            <v>35</v>
          </cell>
          <cell r="W625">
            <v>0</v>
          </cell>
          <cell r="X625">
            <v>0</v>
          </cell>
          <cell r="Y625">
            <v>0</v>
          </cell>
          <cell r="Z625">
            <v>0</v>
          </cell>
          <cell r="AA625">
            <v>6467.9</v>
          </cell>
        </row>
        <row r="626">
          <cell r="A626" t="str">
            <v>University of Southern Indiana</v>
          </cell>
          <cell r="B626">
            <v>37257</v>
          </cell>
          <cell r="C626">
            <v>11463</v>
          </cell>
          <cell r="D626">
            <v>11463</v>
          </cell>
          <cell r="E626" t="str">
            <v>N/A</v>
          </cell>
          <cell r="F626" t="str">
            <v>N/A</v>
          </cell>
          <cell r="G626">
            <v>13944</v>
          </cell>
          <cell r="H626">
            <v>13944</v>
          </cell>
          <cell r="I626" t="str">
            <v>N/A</v>
          </cell>
          <cell r="J626" t="str">
            <v>N/A</v>
          </cell>
          <cell r="K626">
            <v>5661.26</v>
          </cell>
          <cell r="L626">
            <v>0</v>
          </cell>
          <cell r="M626">
            <v>75</v>
          </cell>
          <cell r="N626">
            <v>0</v>
          </cell>
          <cell r="O626">
            <v>0</v>
          </cell>
          <cell r="P626">
            <v>0</v>
          </cell>
          <cell r="Q626">
            <v>0</v>
          </cell>
          <cell r="R626">
            <v>0</v>
          </cell>
          <cell r="S626">
            <v>13944</v>
          </cell>
          <cell r="T626">
            <v>41.83</v>
          </cell>
          <cell r="U626">
            <v>0</v>
          </cell>
          <cell r="V626">
            <v>35</v>
          </cell>
          <cell r="W626">
            <v>0</v>
          </cell>
          <cell r="X626">
            <v>0</v>
          </cell>
          <cell r="Y626">
            <v>0</v>
          </cell>
          <cell r="Z626">
            <v>0</v>
          </cell>
          <cell r="AA626">
            <v>5813.09</v>
          </cell>
        </row>
        <row r="627">
          <cell r="A627" t="str">
            <v>University of Southern Indiana</v>
          </cell>
          <cell r="B627">
            <v>37288</v>
          </cell>
          <cell r="C627">
            <v>10850</v>
          </cell>
          <cell r="D627">
            <v>10850</v>
          </cell>
          <cell r="E627" t="str">
            <v>N/A</v>
          </cell>
          <cell r="F627" t="str">
            <v>N/A</v>
          </cell>
          <cell r="G627">
            <v>9985</v>
          </cell>
          <cell r="H627">
            <v>9985</v>
          </cell>
          <cell r="I627" t="str">
            <v>N/A</v>
          </cell>
          <cell r="J627" t="str">
            <v>N/A</v>
          </cell>
          <cell r="K627">
            <v>4053.91</v>
          </cell>
          <cell r="L627">
            <v>0</v>
          </cell>
          <cell r="M627">
            <v>75</v>
          </cell>
          <cell r="N627">
            <v>0</v>
          </cell>
          <cell r="O627">
            <v>0</v>
          </cell>
          <cell r="P627">
            <v>0</v>
          </cell>
          <cell r="Q627">
            <v>0</v>
          </cell>
          <cell r="R627">
            <v>0</v>
          </cell>
          <cell r="S627">
            <v>9985</v>
          </cell>
          <cell r="T627">
            <v>-9.98</v>
          </cell>
          <cell r="U627">
            <v>0</v>
          </cell>
          <cell r="V627">
            <v>35</v>
          </cell>
          <cell r="W627">
            <v>0</v>
          </cell>
          <cell r="X627">
            <v>0</v>
          </cell>
          <cell r="Y627">
            <v>0</v>
          </cell>
          <cell r="Z627">
            <v>0</v>
          </cell>
          <cell r="AA627">
            <v>4153.93</v>
          </cell>
        </row>
        <row r="628">
          <cell r="A628" t="str">
            <v>University of Southern Indiana</v>
          </cell>
          <cell r="B628">
            <v>37316</v>
          </cell>
          <cell r="C628">
            <v>10193</v>
          </cell>
          <cell r="D628">
            <v>10193</v>
          </cell>
          <cell r="E628" t="str">
            <v>N/A</v>
          </cell>
          <cell r="F628" t="str">
            <v>N/A</v>
          </cell>
          <cell r="G628">
            <v>9393</v>
          </cell>
          <cell r="H628">
            <v>9393</v>
          </cell>
          <cell r="I628" t="str">
            <v>N/A</v>
          </cell>
          <cell r="J628" t="str">
            <v>N/A</v>
          </cell>
          <cell r="K628">
            <v>3813.56</v>
          </cell>
          <cell r="L628">
            <v>0</v>
          </cell>
          <cell r="M628">
            <v>75</v>
          </cell>
          <cell r="N628">
            <v>0</v>
          </cell>
          <cell r="O628">
            <v>0</v>
          </cell>
          <cell r="P628">
            <v>0</v>
          </cell>
          <cell r="Q628">
            <v>0</v>
          </cell>
          <cell r="R628">
            <v>0</v>
          </cell>
          <cell r="S628">
            <v>9393</v>
          </cell>
          <cell r="T628">
            <v>-9.39</v>
          </cell>
          <cell r="U628">
            <v>0</v>
          </cell>
          <cell r="V628">
            <v>35</v>
          </cell>
          <cell r="W628">
            <v>0</v>
          </cell>
          <cell r="X628">
            <v>0</v>
          </cell>
          <cell r="Y628">
            <v>0</v>
          </cell>
          <cell r="Z628">
            <v>0</v>
          </cell>
          <cell r="AA628">
            <v>3914.17</v>
          </cell>
        </row>
        <row r="629">
          <cell r="A629" t="str">
            <v>University of Southern Indiana</v>
          </cell>
          <cell r="B629">
            <v>37347</v>
          </cell>
          <cell r="C629">
            <v>7326</v>
          </cell>
          <cell r="D629">
            <v>7326</v>
          </cell>
          <cell r="E629" t="str">
            <v>N/A</v>
          </cell>
          <cell r="F629" t="str">
            <v>N/A</v>
          </cell>
          <cell r="G629">
            <v>8400</v>
          </cell>
          <cell r="H629">
            <v>8400</v>
          </cell>
          <cell r="I629" t="str">
            <v>N/A</v>
          </cell>
          <cell r="J629" t="str">
            <v>N/A</v>
          </cell>
          <cell r="K629">
            <v>3410.4</v>
          </cell>
          <cell r="L629">
            <v>0</v>
          </cell>
          <cell r="M629">
            <v>75</v>
          </cell>
          <cell r="N629">
            <v>0</v>
          </cell>
          <cell r="O629">
            <v>0</v>
          </cell>
          <cell r="P629">
            <v>0</v>
          </cell>
          <cell r="Q629">
            <v>0</v>
          </cell>
          <cell r="R629">
            <v>0</v>
          </cell>
          <cell r="S629">
            <v>8400</v>
          </cell>
          <cell r="T629">
            <v>-8.4</v>
          </cell>
          <cell r="U629">
            <v>0</v>
          </cell>
          <cell r="V629">
            <v>35</v>
          </cell>
          <cell r="W629">
            <v>0</v>
          </cell>
          <cell r="X629">
            <v>0</v>
          </cell>
          <cell r="Y629">
            <v>0</v>
          </cell>
          <cell r="Z629">
            <v>0</v>
          </cell>
          <cell r="AA629">
            <v>3512</v>
          </cell>
        </row>
        <row r="630">
          <cell r="A630" t="str">
            <v>University of Southern Indiana</v>
          </cell>
          <cell r="B630">
            <v>37377</v>
          </cell>
          <cell r="C630">
            <v>6150</v>
          </cell>
          <cell r="D630">
            <v>6150</v>
          </cell>
          <cell r="E630" t="str">
            <v>N/A</v>
          </cell>
          <cell r="F630" t="str">
            <v>N/A</v>
          </cell>
          <cell r="G630">
            <v>6800</v>
          </cell>
          <cell r="H630">
            <v>6800</v>
          </cell>
          <cell r="I630" t="str">
            <v>N/A</v>
          </cell>
          <cell r="J630" t="str">
            <v>N/A</v>
          </cell>
          <cell r="K630">
            <v>2760.8</v>
          </cell>
          <cell r="L630">
            <v>0</v>
          </cell>
          <cell r="M630">
            <v>75</v>
          </cell>
          <cell r="N630">
            <v>0</v>
          </cell>
          <cell r="O630">
            <v>0</v>
          </cell>
          <cell r="P630">
            <v>0</v>
          </cell>
          <cell r="Q630">
            <v>0</v>
          </cell>
          <cell r="R630">
            <v>0</v>
          </cell>
          <cell r="S630">
            <v>0</v>
          </cell>
          <cell r="T630">
            <v>0</v>
          </cell>
          <cell r="U630">
            <v>0</v>
          </cell>
          <cell r="V630">
            <v>35</v>
          </cell>
          <cell r="W630">
            <v>0</v>
          </cell>
          <cell r="X630">
            <v>0</v>
          </cell>
          <cell r="Y630">
            <v>0</v>
          </cell>
          <cell r="Z630">
            <v>0</v>
          </cell>
          <cell r="AA630">
            <v>2870.8</v>
          </cell>
        </row>
        <row r="631">
          <cell r="A631" t="str">
            <v>University of Southern Indiana</v>
          </cell>
          <cell r="B631">
            <v>37408</v>
          </cell>
          <cell r="C631">
            <v>4546</v>
          </cell>
          <cell r="D631">
            <v>4546</v>
          </cell>
          <cell r="E631" t="str">
            <v>N/A</v>
          </cell>
          <cell r="F631" t="str">
            <v>N/A</v>
          </cell>
          <cell r="G631">
            <v>5300</v>
          </cell>
          <cell r="H631">
            <v>5300</v>
          </cell>
          <cell r="I631" t="str">
            <v>N/A</v>
          </cell>
          <cell r="J631" t="str">
            <v>N/A</v>
          </cell>
          <cell r="K631">
            <v>2151.8000000000002</v>
          </cell>
          <cell r="L631">
            <v>0</v>
          </cell>
          <cell r="M631">
            <v>75</v>
          </cell>
          <cell r="N631">
            <v>0</v>
          </cell>
          <cell r="O631">
            <v>0</v>
          </cell>
          <cell r="P631">
            <v>0</v>
          </cell>
          <cell r="Q631">
            <v>0</v>
          </cell>
          <cell r="R631">
            <v>0</v>
          </cell>
          <cell r="S631">
            <v>0</v>
          </cell>
          <cell r="T631">
            <v>0</v>
          </cell>
          <cell r="U631">
            <v>0</v>
          </cell>
          <cell r="V631">
            <v>35</v>
          </cell>
          <cell r="W631">
            <v>0</v>
          </cell>
          <cell r="X631">
            <v>0</v>
          </cell>
          <cell r="Y631">
            <v>0</v>
          </cell>
          <cell r="Z631">
            <v>0</v>
          </cell>
          <cell r="AA631">
            <v>2261.8000000000002</v>
          </cell>
        </row>
        <row r="632">
          <cell r="A632" t="str">
            <v>University of Southern Indiana</v>
          </cell>
          <cell r="B632">
            <v>37438</v>
          </cell>
          <cell r="C632">
            <v>4272</v>
          </cell>
          <cell r="D632">
            <v>4272</v>
          </cell>
          <cell r="E632" t="str">
            <v>N/A</v>
          </cell>
          <cell r="F632" t="str">
            <v>N/A</v>
          </cell>
          <cell r="G632">
            <v>5400</v>
          </cell>
          <cell r="H632">
            <v>5400</v>
          </cell>
          <cell r="I632" t="str">
            <v>N/A</v>
          </cell>
          <cell r="J632" t="str">
            <v>N/A</v>
          </cell>
          <cell r="K632">
            <v>2192.4</v>
          </cell>
          <cell r="L632">
            <v>0</v>
          </cell>
          <cell r="M632">
            <v>75</v>
          </cell>
          <cell r="N632">
            <v>0</v>
          </cell>
          <cell r="O632">
            <v>0</v>
          </cell>
          <cell r="P632">
            <v>0</v>
          </cell>
          <cell r="Q632">
            <v>0</v>
          </cell>
          <cell r="R632">
            <v>0</v>
          </cell>
          <cell r="S632">
            <v>0</v>
          </cell>
          <cell r="T632">
            <v>0</v>
          </cell>
          <cell r="U632">
            <v>0</v>
          </cell>
          <cell r="V632">
            <v>35</v>
          </cell>
          <cell r="W632">
            <v>0</v>
          </cell>
          <cell r="X632">
            <v>0</v>
          </cell>
          <cell r="Y632">
            <v>0</v>
          </cell>
          <cell r="Z632">
            <v>0</v>
          </cell>
          <cell r="AA632">
            <v>2302.4</v>
          </cell>
        </row>
        <row r="633">
          <cell r="A633" t="str">
            <v>Vincennes University</v>
          </cell>
          <cell r="B633">
            <v>37104</v>
          </cell>
          <cell r="C633">
            <v>1979</v>
          </cell>
          <cell r="D633">
            <v>1979</v>
          </cell>
          <cell r="E633" t="str">
            <v>N/A</v>
          </cell>
          <cell r="F633" t="str">
            <v>N/A</v>
          </cell>
          <cell r="G633">
            <v>2011</v>
          </cell>
          <cell r="H633">
            <v>2011</v>
          </cell>
          <cell r="I633" t="str">
            <v>N/A</v>
          </cell>
          <cell r="J633" t="str">
            <v>N/A</v>
          </cell>
          <cell r="K633">
            <v>816.47</v>
          </cell>
          <cell r="L633">
            <v>0</v>
          </cell>
          <cell r="M633">
            <v>75</v>
          </cell>
          <cell r="N633">
            <v>0</v>
          </cell>
          <cell r="O633">
            <v>0</v>
          </cell>
          <cell r="P633">
            <v>0</v>
          </cell>
          <cell r="Q633">
            <v>0</v>
          </cell>
          <cell r="R633">
            <v>-52.29</v>
          </cell>
          <cell r="S633">
            <v>2011</v>
          </cell>
          <cell r="T633">
            <v>6.03</v>
          </cell>
          <cell r="U633">
            <v>0</v>
          </cell>
          <cell r="V633">
            <v>35</v>
          </cell>
          <cell r="W633">
            <v>0</v>
          </cell>
          <cell r="X633">
            <v>0</v>
          </cell>
          <cell r="Y633">
            <v>0</v>
          </cell>
          <cell r="Z633">
            <v>0</v>
          </cell>
          <cell r="AA633">
            <v>880.21</v>
          </cell>
        </row>
        <row r="634">
          <cell r="A634" t="str">
            <v>Vincennes University</v>
          </cell>
          <cell r="B634">
            <v>37135</v>
          </cell>
          <cell r="C634">
            <v>2313</v>
          </cell>
          <cell r="D634">
            <v>2313</v>
          </cell>
          <cell r="E634" t="str">
            <v>N/A</v>
          </cell>
          <cell r="F634" t="str">
            <v>N/A</v>
          </cell>
          <cell r="G634">
            <v>2351</v>
          </cell>
          <cell r="H634">
            <v>2351</v>
          </cell>
          <cell r="I634" t="str">
            <v>N/A</v>
          </cell>
          <cell r="J634" t="str">
            <v>N/A</v>
          </cell>
          <cell r="K634">
            <v>954.51</v>
          </cell>
          <cell r="L634">
            <v>0</v>
          </cell>
          <cell r="M634">
            <v>75</v>
          </cell>
          <cell r="N634">
            <v>0</v>
          </cell>
          <cell r="O634">
            <v>0</v>
          </cell>
          <cell r="P634">
            <v>0</v>
          </cell>
          <cell r="Q634">
            <v>0</v>
          </cell>
          <cell r="R634">
            <v>-61.13</v>
          </cell>
          <cell r="S634">
            <v>2351</v>
          </cell>
          <cell r="T634">
            <v>7.05</v>
          </cell>
          <cell r="U634">
            <v>0</v>
          </cell>
          <cell r="V634">
            <v>35</v>
          </cell>
          <cell r="W634">
            <v>0</v>
          </cell>
          <cell r="X634">
            <v>0</v>
          </cell>
          <cell r="Y634">
            <v>0</v>
          </cell>
          <cell r="Z634">
            <v>0</v>
          </cell>
          <cell r="AA634">
            <v>1010.43</v>
          </cell>
        </row>
        <row r="635">
          <cell r="A635" t="str">
            <v>Vincennes University</v>
          </cell>
          <cell r="B635">
            <v>37165</v>
          </cell>
          <cell r="C635">
            <v>3885</v>
          </cell>
          <cell r="D635">
            <v>3885</v>
          </cell>
          <cell r="E635" t="str">
            <v>N/A</v>
          </cell>
          <cell r="F635" t="str">
            <v>N/A</v>
          </cell>
          <cell r="G635">
            <v>3948</v>
          </cell>
          <cell r="H635">
            <v>3948</v>
          </cell>
          <cell r="I635" t="str">
            <v>N/A</v>
          </cell>
          <cell r="J635" t="str">
            <v>N/A</v>
          </cell>
          <cell r="K635">
            <v>1602.89</v>
          </cell>
          <cell r="L635">
            <v>0</v>
          </cell>
          <cell r="M635">
            <v>75</v>
          </cell>
          <cell r="N635">
            <v>0</v>
          </cell>
          <cell r="O635">
            <v>0</v>
          </cell>
          <cell r="P635">
            <v>0</v>
          </cell>
          <cell r="Q635">
            <v>0</v>
          </cell>
          <cell r="R635">
            <v>-102.65</v>
          </cell>
          <cell r="S635">
            <v>3948</v>
          </cell>
          <cell r="T635">
            <v>11.84</v>
          </cell>
          <cell r="U635">
            <v>0</v>
          </cell>
          <cell r="V635">
            <v>35</v>
          </cell>
          <cell r="W635">
            <v>0</v>
          </cell>
          <cell r="X635">
            <v>0</v>
          </cell>
          <cell r="Y635">
            <v>0</v>
          </cell>
          <cell r="Z635">
            <v>0</v>
          </cell>
          <cell r="AA635">
            <v>1622.08</v>
          </cell>
        </row>
        <row r="636">
          <cell r="A636" t="str">
            <v>Vincennes University</v>
          </cell>
          <cell r="B636">
            <v>37196</v>
          </cell>
          <cell r="C636">
            <v>4843</v>
          </cell>
          <cell r="D636">
            <v>4843</v>
          </cell>
          <cell r="E636" t="str">
            <v>N/A</v>
          </cell>
          <cell r="F636" t="str">
            <v>N/A</v>
          </cell>
          <cell r="G636">
            <v>4922</v>
          </cell>
          <cell r="H636">
            <v>4922</v>
          </cell>
          <cell r="I636" t="str">
            <v>N/A</v>
          </cell>
          <cell r="J636" t="str">
            <v>N/A</v>
          </cell>
          <cell r="K636">
            <v>1998.33</v>
          </cell>
          <cell r="L636">
            <v>0</v>
          </cell>
          <cell r="M636">
            <v>75</v>
          </cell>
          <cell r="N636">
            <v>0</v>
          </cell>
          <cell r="O636">
            <v>0</v>
          </cell>
          <cell r="P636">
            <v>0</v>
          </cell>
          <cell r="Q636">
            <v>0</v>
          </cell>
          <cell r="R636">
            <v>-127.97</v>
          </cell>
          <cell r="S636">
            <v>4922</v>
          </cell>
          <cell r="T636">
            <v>14.77</v>
          </cell>
          <cell r="U636">
            <v>0</v>
          </cell>
          <cell r="V636">
            <v>35</v>
          </cell>
          <cell r="W636">
            <v>0</v>
          </cell>
          <cell r="X636">
            <v>0</v>
          </cell>
          <cell r="Y636">
            <v>0</v>
          </cell>
          <cell r="Z636">
            <v>0</v>
          </cell>
          <cell r="AA636">
            <v>1995.13</v>
          </cell>
        </row>
        <row r="637">
          <cell r="A637" t="str">
            <v>Vincennes University</v>
          </cell>
          <cell r="B637">
            <v>37226</v>
          </cell>
          <cell r="C637">
            <v>4997</v>
          </cell>
          <cell r="D637">
            <v>4997</v>
          </cell>
          <cell r="E637" t="str">
            <v>N/A</v>
          </cell>
          <cell r="F637" t="str">
            <v>N/A</v>
          </cell>
          <cell r="G637">
            <v>7000</v>
          </cell>
          <cell r="H637">
            <v>7000</v>
          </cell>
          <cell r="I637" t="str">
            <v>N/A</v>
          </cell>
          <cell r="J637" t="str">
            <v>N/A</v>
          </cell>
          <cell r="K637">
            <v>2842</v>
          </cell>
          <cell r="L637">
            <v>0</v>
          </cell>
          <cell r="M637">
            <v>75</v>
          </cell>
          <cell r="N637">
            <v>0</v>
          </cell>
          <cell r="O637">
            <v>0</v>
          </cell>
          <cell r="P637">
            <v>0</v>
          </cell>
          <cell r="Q637">
            <v>0</v>
          </cell>
          <cell r="R637">
            <v>-182</v>
          </cell>
          <cell r="S637">
            <v>7000</v>
          </cell>
          <cell r="T637">
            <v>21</v>
          </cell>
          <cell r="U637">
            <v>0</v>
          </cell>
          <cell r="V637">
            <v>35</v>
          </cell>
          <cell r="W637">
            <v>0</v>
          </cell>
          <cell r="X637">
            <v>0</v>
          </cell>
          <cell r="Y637">
            <v>0</v>
          </cell>
          <cell r="Z637">
            <v>0</v>
          </cell>
          <cell r="AA637">
            <v>2791</v>
          </cell>
        </row>
        <row r="638">
          <cell r="A638" t="str">
            <v>Vincennes University</v>
          </cell>
          <cell r="B638">
            <v>37257</v>
          </cell>
          <cell r="C638">
            <v>6203</v>
          </cell>
          <cell r="D638">
            <v>6203</v>
          </cell>
          <cell r="E638" t="str">
            <v>N/A</v>
          </cell>
          <cell r="F638" t="str">
            <v>N/A</v>
          </cell>
          <cell r="G638">
            <v>8000</v>
          </cell>
          <cell r="H638">
            <v>8000</v>
          </cell>
          <cell r="I638" t="str">
            <v>N/A</v>
          </cell>
          <cell r="J638" t="str">
            <v>N/A</v>
          </cell>
          <cell r="K638">
            <v>3248</v>
          </cell>
          <cell r="L638">
            <v>0</v>
          </cell>
          <cell r="M638">
            <v>75</v>
          </cell>
          <cell r="N638">
            <v>0</v>
          </cell>
          <cell r="O638">
            <v>0</v>
          </cell>
          <cell r="P638">
            <v>0</v>
          </cell>
          <cell r="Q638">
            <v>0</v>
          </cell>
          <cell r="R638">
            <v>-208</v>
          </cell>
          <cell r="S638">
            <v>8000</v>
          </cell>
          <cell r="T638">
            <v>24</v>
          </cell>
          <cell r="U638">
            <v>0</v>
          </cell>
          <cell r="V638">
            <v>35</v>
          </cell>
          <cell r="W638">
            <v>0</v>
          </cell>
          <cell r="X638">
            <v>0</v>
          </cell>
          <cell r="Y638">
            <v>0</v>
          </cell>
          <cell r="Z638">
            <v>0</v>
          </cell>
          <cell r="AA638">
            <v>3174</v>
          </cell>
        </row>
        <row r="639">
          <cell r="A639" t="str">
            <v>Vincennes University</v>
          </cell>
          <cell r="B639">
            <v>37288</v>
          </cell>
          <cell r="C639">
            <v>4370</v>
          </cell>
          <cell r="D639">
            <v>4370</v>
          </cell>
          <cell r="E639" t="str">
            <v>N/A</v>
          </cell>
          <cell r="F639" t="str">
            <v>N/A</v>
          </cell>
          <cell r="G639">
            <v>6692</v>
          </cell>
          <cell r="H639">
            <v>6692</v>
          </cell>
          <cell r="I639" t="str">
            <v>N/A</v>
          </cell>
          <cell r="J639" t="str">
            <v>N/A</v>
          </cell>
          <cell r="K639">
            <v>2716.95</v>
          </cell>
          <cell r="L639">
            <v>0</v>
          </cell>
          <cell r="M639">
            <v>75</v>
          </cell>
          <cell r="N639">
            <v>0</v>
          </cell>
          <cell r="O639">
            <v>0</v>
          </cell>
          <cell r="P639">
            <v>0</v>
          </cell>
          <cell r="Q639">
            <v>0</v>
          </cell>
          <cell r="R639">
            <v>26.77</v>
          </cell>
          <cell r="S639">
            <v>6692</v>
          </cell>
          <cell r="T639">
            <v>-6.69</v>
          </cell>
          <cell r="U639">
            <v>0</v>
          </cell>
          <cell r="V639">
            <v>35</v>
          </cell>
          <cell r="W639">
            <v>0</v>
          </cell>
          <cell r="X639">
            <v>0</v>
          </cell>
          <cell r="Y639">
            <v>0</v>
          </cell>
          <cell r="Z639">
            <v>0</v>
          </cell>
          <cell r="AA639">
            <v>2847.03</v>
          </cell>
        </row>
        <row r="640">
          <cell r="A640" t="str">
            <v>Vincennes University</v>
          </cell>
          <cell r="B640">
            <v>37316</v>
          </cell>
          <cell r="C640">
            <v>4246</v>
          </cell>
          <cell r="D640">
            <v>4246</v>
          </cell>
          <cell r="E640" t="str">
            <v>N/A</v>
          </cell>
          <cell r="F640" t="str">
            <v>N/A</v>
          </cell>
          <cell r="G640">
            <v>4497</v>
          </cell>
          <cell r="H640">
            <v>4497</v>
          </cell>
          <cell r="I640" t="str">
            <v>N/A</v>
          </cell>
          <cell r="J640" t="str">
            <v>N/A</v>
          </cell>
          <cell r="K640">
            <v>1825.78</v>
          </cell>
          <cell r="L640">
            <v>0</v>
          </cell>
          <cell r="M640">
            <v>75</v>
          </cell>
          <cell r="N640">
            <v>0</v>
          </cell>
          <cell r="O640">
            <v>0</v>
          </cell>
          <cell r="P640">
            <v>0</v>
          </cell>
          <cell r="Q640">
            <v>0</v>
          </cell>
          <cell r="R640">
            <v>17.989999999999998</v>
          </cell>
          <cell r="S640">
            <v>4497</v>
          </cell>
          <cell r="T640">
            <v>-4.5</v>
          </cell>
          <cell r="U640">
            <v>0</v>
          </cell>
          <cell r="V640">
            <v>35</v>
          </cell>
          <cell r="W640">
            <v>0</v>
          </cell>
          <cell r="X640">
            <v>0</v>
          </cell>
          <cell r="Y640">
            <v>0</v>
          </cell>
          <cell r="Z640">
            <v>0</v>
          </cell>
          <cell r="AA640">
            <v>1949.27</v>
          </cell>
        </row>
        <row r="641">
          <cell r="A641" t="str">
            <v>Vincennes University</v>
          </cell>
          <cell r="B641">
            <v>37347</v>
          </cell>
          <cell r="C641">
            <v>4625</v>
          </cell>
          <cell r="D641">
            <v>4625</v>
          </cell>
          <cell r="E641" t="str">
            <v>N/A</v>
          </cell>
          <cell r="F641" t="str">
            <v>N/A</v>
          </cell>
          <cell r="G641">
            <v>0</v>
          </cell>
          <cell r="H641">
            <v>0</v>
          </cell>
          <cell r="I641" t="str">
            <v>N/A</v>
          </cell>
          <cell r="J641" t="str">
            <v>N/A</v>
          </cell>
          <cell r="K641">
            <v>0</v>
          </cell>
          <cell r="L641">
            <v>0</v>
          </cell>
          <cell r="M641">
            <v>75</v>
          </cell>
          <cell r="N641">
            <v>0</v>
          </cell>
          <cell r="O641">
            <v>0</v>
          </cell>
          <cell r="P641">
            <v>0</v>
          </cell>
          <cell r="Q641">
            <v>0</v>
          </cell>
          <cell r="R641">
            <v>0</v>
          </cell>
          <cell r="S641">
            <v>0</v>
          </cell>
          <cell r="T641">
            <v>0</v>
          </cell>
          <cell r="U641">
            <v>0</v>
          </cell>
          <cell r="V641">
            <v>35</v>
          </cell>
          <cell r="W641">
            <v>0</v>
          </cell>
          <cell r="X641">
            <v>0</v>
          </cell>
          <cell r="Y641">
            <v>0</v>
          </cell>
          <cell r="Z641">
            <v>0</v>
          </cell>
          <cell r="AA641">
            <v>110</v>
          </cell>
        </row>
        <row r="642">
          <cell r="A642" t="str">
            <v>Vincennes University</v>
          </cell>
          <cell r="B642">
            <v>37377</v>
          </cell>
          <cell r="C642">
            <v>3599</v>
          </cell>
          <cell r="D642">
            <v>3599</v>
          </cell>
          <cell r="E642" t="str">
            <v>N/A</v>
          </cell>
          <cell r="F642" t="str">
            <v>N/A</v>
          </cell>
          <cell r="G642">
            <v>3600</v>
          </cell>
          <cell r="H642">
            <v>3600</v>
          </cell>
          <cell r="I642" t="str">
            <v>N/A</v>
          </cell>
          <cell r="J642" t="str">
            <v>N/A</v>
          </cell>
          <cell r="K642">
            <v>1461.6</v>
          </cell>
          <cell r="L642">
            <v>0</v>
          </cell>
          <cell r="M642">
            <v>75</v>
          </cell>
          <cell r="N642">
            <v>0</v>
          </cell>
          <cell r="O642">
            <v>0</v>
          </cell>
          <cell r="P642">
            <v>0</v>
          </cell>
          <cell r="Q642">
            <v>0</v>
          </cell>
          <cell r="R642">
            <v>0</v>
          </cell>
          <cell r="S642">
            <v>0</v>
          </cell>
          <cell r="T642">
            <v>0</v>
          </cell>
          <cell r="U642">
            <v>0</v>
          </cell>
          <cell r="V642">
            <v>35</v>
          </cell>
          <cell r="W642">
            <v>0</v>
          </cell>
          <cell r="X642">
            <v>0</v>
          </cell>
          <cell r="Y642">
            <v>0</v>
          </cell>
          <cell r="Z642">
            <v>0</v>
          </cell>
          <cell r="AA642">
            <v>1571.6</v>
          </cell>
        </row>
        <row r="643">
          <cell r="A643" t="str">
            <v>Vincennes University</v>
          </cell>
          <cell r="B643">
            <v>37408</v>
          </cell>
          <cell r="C643">
            <v>26921</v>
          </cell>
          <cell r="D643">
            <v>26921</v>
          </cell>
          <cell r="E643" t="str">
            <v>N/A</v>
          </cell>
          <cell r="F643" t="str">
            <v>N/A</v>
          </cell>
          <cell r="G643">
            <v>2000</v>
          </cell>
          <cell r="H643">
            <v>2000</v>
          </cell>
          <cell r="I643" t="str">
            <v>N/A</v>
          </cell>
          <cell r="J643" t="str">
            <v>N/A</v>
          </cell>
          <cell r="K643">
            <v>812</v>
          </cell>
          <cell r="L643">
            <v>0</v>
          </cell>
          <cell r="M643">
            <v>75</v>
          </cell>
          <cell r="N643">
            <v>0</v>
          </cell>
          <cell r="O643">
            <v>0</v>
          </cell>
          <cell r="P643">
            <v>0</v>
          </cell>
          <cell r="Q643">
            <v>0</v>
          </cell>
          <cell r="R643">
            <v>0</v>
          </cell>
          <cell r="S643">
            <v>0</v>
          </cell>
          <cell r="T643">
            <v>0</v>
          </cell>
          <cell r="U643">
            <v>0</v>
          </cell>
          <cell r="V643">
            <v>35</v>
          </cell>
          <cell r="W643">
            <v>0</v>
          </cell>
          <cell r="X643">
            <v>0</v>
          </cell>
          <cell r="Y643">
            <v>0</v>
          </cell>
          <cell r="Z643">
            <v>0</v>
          </cell>
          <cell r="AA643">
            <v>922</v>
          </cell>
        </row>
        <row r="644">
          <cell r="A644" t="str">
            <v>Vincennes University</v>
          </cell>
          <cell r="B644">
            <v>37438</v>
          </cell>
          <cell r="C644">
            <v>2977</v>
          </cell>
          <cell r="D644">
            <v>2977</v>
          </cell>
          <cell r="E644" t="str">
            <v>N/A</v>
          </cell>
          <cell r="F644" t="str">
            <v>N/A</v>
          </cell>
          <cell r="G644">
            <v>3000</v>
          </cell>
          <cell r="H644">
            <v>3000</v>
          </cell>
          <cell r="I644" t="str">
            <v>N/A</v>
          </cell>
          <cell r="J644" t="str">
            <v>N/A</v>
          </cell>
          <cell r="K644">
            <v>1218</v>
          </cell>
          <cell r="L644">
            <v>0</v>
          </cell>
          <cell r="M644">
            <v>75</v>
          </cell>
          <cell r="N644">
            <v>0</v>
          </cell>
          <cell r="O644">
            <v>0</v>
          </cell>
          <cell r="P644">
            <v>0</v>
          </cell>
          <cell r="Q644">
            <v>0</v>
          </cell>
          <cell r="R644">
            <v>0</v>
          </cell>
          <cell r="S644">
            <v>0</v>
          </cell>
          <cell r="T644">
            <v>0</v>
          </cell>
          <cell r="U644">
            <v>0</v>
          </cell>
          <cell r="V644">
            <v>35</v>
          </cell>
          <cell r="W644">
            <v>0</v>
          </cell>
          <cell r="X644">
            <v>0</v>
          </cell>
          <cell r="Y644">
            <v>0</v>
          </cell>
          <cell r="Z644">
            <v>0</v>
          </cell>
          <cell r="AA644">
            <v>1328</v>
          </cell>
        </row>
        <row r="645">
          <cell r="A645" t="str">
            <v>Whirlpool Corporation</v>
          </cell>
          <cell r="B645">
            <v>37104</v>
          </cell>
          <cell r="C645">
            <v>11941</v>
          </cell>
          <cell r="D645">
            <v>11941</v>
          </cell>
          <cell r="E645" t="str">
            <v>N/A</v>
          </cell>
          <cell r="F645" t="str">
            <v>N/A</v>
          </cell>
          <cell r="G645">
            <v>20000</v>
          </cell>
          <cell r="H645">
            <v>20000</v>
          </cell>
          <cell r="I645" t="str">
            <v>N/A</v>
          </cell>
          <cell r="J645" t="str">
            <v>N/A</v>
          </cell>
          <cell r="K645">
            <v>8120</v>
          </cell>
          <cell r="L645">
            <v>0</v>
          </cell>
          <cell r="M645">
            <v>75</v>
          </cell>
          <cell r="N645">
            <v>0</v>
          </cell>
          <cell r="O645">
            <v>0</v>
          </cell>
          <cell r="P645">
            <v>0</v>
          </cell>
          <cell r="Q645">
            <v>0</v>
          </cell>
          <cell r="R645">
            <v>0</v>
          </cell>
          <cell r="S645">
            <v>20000</v>
          </cell>
          <cell r="T645">
            <v>60</v>
          </cell>
          <cell r="U645">
            <v>0</v>
          </cell>
          <cell r="V645">
            <v>35</v>
          </cell>
          <cell r="W645">
            <v>0</v>
          </cell>
          <cell r="X645">
            <v>0</v>
          </cell>
          <cell r="Y645">
            <v>0</v>
          </cell>
          <cell r="Z645">
            <v>0</v>
          </cell>
          <cell r="AA645">
            <v>8290</v>
          </cell>
        </row>
        <row r="646">
          <cell r="A646" t="str">
            <v>Whirlpool Corporation</v>
          </cell>
          <cell r="B646">
            <v>37135</v>
          </cell>
          <cell r="C646">
            <v>12504</v>
          </cell>
          <cell r="D646">
            <v>12504</v>
          </cell>
          <cell r="E646" t="str">
            <v>N/A</v>
          </cell>
          <cell r="F646" t="str">
            <v>N/A</v>
          </cell>
          <cell r="G646">
            <v>20000</v>
          </cell>
          <cell r="H646">
            <v>20000</v>
          </cell>
          <cell r="I646" t="str">
            <v>N/A</v>
          </cell>
          <cell r="J646" t="str">
            <v>N/A</v>
          </cell>
          <cell r="K646">
            <v>8120</v>
          </cell>
          <cell r="L646">
            <v>0</v>
          </cell>
          <cell r="M646">
            <v>75</v>
          </cell>
          <cell r="N646">
            <v>0</v>
          </cell>
          <cell r="O646">
            <v>0</v>
          </cell>
          <cell r="P646">
            <v>0</v>
          </cell>
          <cell r="Q646">
            <v>0</v>
          </cell>
          <cell r="R646">
            <v>0</v>
          </cell>
          <cell r="S646">
            <v>20000</v>
          </cell>
          <cell r="T646">
            <v>60</v>
          </cell>
          <cell r="U646">
            <v>0</v>
          </cell>
          <cell r="V646">
            <v>35</v>
          </cell>
          <cell r="W646">
            <v>0</v>
          </cell>
          <cell r="X646">
            <v>0</v>
          </cell>
          <cell r="Y646">
            <v>0</v>
          </cell>
          <cell r="Z646">
            <v>0</v>
          </cell>
          <cell r="AA646">
            <v>8290</v>
          </cell>
        </row>
        <row r="647">
          <cell r="A647" t="str">
            <v>Whirlpool Corporation</v>
          </cell>
          <cell r="B647">
            <v>37165</v>
          </cell>
          <cell r="C647">
            <v>22846</v>
          </cell>
          <cell r="D647">
            <v>22846</v>
          </cell>
          <cell r="E647" t="str">
            <v>N/A</v>
          </cell>
          <cell r="F647" t="str">
            <v>N/A</v>
          </cell>
          <cell r="G647">
            <v>18620</v>
          </cell>
          <cell r="H647">
            <v>18620</v>
          </cell>
          <cell r="I647" t="str">
            <v>N/A</v>
          </cell>
          <cell r="J647" t="str">
            <v>N/A</v>
          </cell>
          <cell r="K647">
            <v>7559.72</v>
          </cell>
          <cell r="L647">
            <v>0</v>
          </cell>
          <cell r="M647">
            <v>75</v>
          </cell>
          <cell r="N647">
            <v>0</v>
          </cell>
          <cell r="O647">
            <v>0</v>
          </cell>
          <cell r="P647">
            <v>0</v>
          </cell>
          <cell r="Q647">
            <v>0</v>
          </cell>
          <cell r="R647">
            <v>0</v>
          </cell>
          <cell r="S647">
            <v>18620</v>
          </cell>
          <cell r="T647">
            <v>55.86</v>
          </cell>
          <cell r="U647">
            <v>0</v>
          </cell>
          <cell r="V647">
            <v>35</v>
          </cell>
          <cell r="W647">
            <v>0</v>
          </cell>
          <cell r="X647">
            <v>0</v>
          </cell>
          <cell r="Y647">
            <v>0</v>
          </cell>
          <cell r="Z647">
            <v>0</v>
          </cell>
          <cell r="AA647">
            <v>7725.58</v>
          </cell>
        </row>
        <row r="648">
          <cell r="A648" t="str">
            <v>Whirlpool Corporation</v>
          </cell>
          <cell r="B648">
            <v>37196</v>
          </cell>
          <cell r="C648">
            <v>28062</v>
          </cell>
          <cell r="D648">
            <v>28062</v>
          </cell>
          <cell r="E648" t="str">
            <v>N/A</v>
          </cell>
          <cell r="F648" t="str">
            <v>N/A</v>
          </cell>
          <cell r="G648">
            <v>32000</v>
          </cell>
          <cell r="H648">
            <v>32000</v>
          </cell>
          <cell r="I648" t="str">
            <v>N/A</v>
          </cell>
          <cell r="J648" t="str">
            <v>N/A</v>
          </cell>
          <cell r="K648">
            <v>12992</v>
          </cell>
          <cell r="L648">
            <v>0</v>
          </cell>
          <cell r="M648">
            <v>75</v>
          </cell>
          <cell r="N648">
            <v>0</v>
          </cell>
          <cell r="O648">
            <v>0</v>
          </cell>
          <cell r="P648">
            <v>0</v>
          </cell>
          <cell r="Q648">
            <v>0</v>
          </cell>
          <cell r="R648">
            <v>0</v>
          </cell>
          <cell r="S648">
            <v>32000</v>
          </cell>
          <cell r="T648">
            <v>96</v>
          </cell>
          <cell r="U648">
            <v>0</v>
          </cell>
          <cell r="V648">
            <v>35</v>
          </cell>
          <cell r="W648">
            <v>0</v>
          </cell>
          <cell r="X648">
            <v>0</v>
          </cell>
          <cell r="Y648">
            <v>0</v>
          </cell>
          <cell r="Z648">
            <v>0</v>
          </cell>
          <cell r="AA648">
            <v>13198</v>
          </cell>
        </row>
        <row r="649">
          <cell r="A649" t="str">
            <v>Whirlpool Corporation</v>
          </cell>
          <cell r="B649">
            <v>37226</v>
          </cell>
          <cell r="C649">
            <v>33527</v>
          </cell>
          <cell r="D649">
            <v>33527</v>
          </cell>
          <cell r="E649" t="str">
            <v>N/A</v>
          </cell>
          <cell r="F649" t="str">
            <v>N/A</v>
          </cell>
          <cell r="G649">
            <v>42000</v>
          </cell>
          <cell r="H649">
            <v>42000</v>
          </cell>
          <cell r="I649" t="str">
            <v>N/A</v>
          </cell>
          <cell r="J649" t="str">
            <v>N/A</v>
          </cell>
          <cell r="K649">
            <v>17052</v>
          </cell>
          <cell r="L649">
            <v>0</v>
          </cell>
          <cell r="M649">
            <v>75</v>
          </cell>
          <cell r="N649">
            <v>0</v>
          </cell>
          <cell r="O649">
            <v>0</v>
          </cell>
          <cell r="P649">
            <v>0</v>
          </cell>
          <cell r="Q649">
            <v>0</v>
          </cell>
          <cell r="R649">
            <v>0</v>
          </cell>
          <cell r="S649">
            <v>42000</v>
          </cell>
          <cell r="T649">
            <v>126</v>
          </cell>
          <cell r="U649">
            <v>0</v>
          </cell>
          <cell r="V649">
            <v>35</v>
          </cell>
          <cell r="W649">
            <v>0</v>
          </cell>
          <cell r="X649">
            <v>0</v>
          </cell>
          <cell r="Y649">
            <v>0</v>
          </cell>
          <cell r="Z649">
            <v>0</v>
          </cell>
          <cell r="AA649">
            <v>17288</v>
          </cell>
        </row>
        <row r="650">
          <cell r="A650" t="str">
            <v>Whirlpool Corporation</v>
          </cell>
          <cell r="B650">
            <v>37257</v>
          </cell>
          <cell r="C650">
            <v>38367</v>
          </cell>
          <cell r="D650">
            <v>38367</v>
          </cell>
          <cell r="E650" t="str">
            <v>N/A</v>
          </cell>
          <cell r="F650" t="str">
            <v>N/A</v>
          </cell>
          <cell r="G650">
            <v>31000</v>
          </cell>
          <cell r="H650">
            <v>31000</v>
          </cell>
          <cell r="I650" t="str">
            <v>N/A</v>
          </cell>
          <cell r="J650" t="str">
            <v>N/A</v>
          </cell>
          <cell r="K650">
            <v>12586</v>
          </cell>
          <cell r="L650">
            <v>0</v>
          </cell>
          <cell r="M650">
            <v>75</v>
          </cell>
          <cell r="N650">
            <v>0</v>
          </cell>
          <cell r="O650">
            <v>0</v>
          </cell>
          <cell r="P650">
            <v>0</v>
          </cell>
          <cell r="Q650">
            <v>0</v>
          </cell>
          <cell r="R650">
            <v>0</v>
          </cell>
          <cell r="S650">
            <v>31000</v>
          </cell>
          <cell r="T650">
            <v>93</v>
          </cell>
          <cell r="U650">
            <v>0</v>
          </cell>
          <cell r="V650">
            <v>35</v>
          </cell>
          <cell r="W650">
            <v>0</v>
          </cell>
          <cell r="X650">
            <v>0</v>
          </cell>
          <cell r="Y650">
            <v>0</v>
          </cell>
          <cell r="Z650">
            <v>0</v>
          </cell>
          <cell r="AA650">
            <v>12789</v>
          </cell>
        </row>
        <row r="651">
          <cell r="A651" t="str">
            <v>Whirlpool Corporation</v>
          </cell>
          <cell r="B651">
            <v>37288</v>
          </cell>
          <cell r="C651">
            <v>34783</v>
          </cell>
          <cell r="D651">
            <v>34783</v>
          </cell>
          <cell r="E651" t="str">
            <v>N/A</v>
          </cell>
          <cell r="F651" t="str">
            <v>N/A</v>
          </cell>
          <cell r="G651">
            <v>28000</v>
          </cell>
          <cell r="H651">
            <v>28000</v>
          </cell>
          <cell r="I651" t="str">
            <v>N/A</v>
          </cell>
          <cell r="J651" t="str">
            <v>N/A</v>
          </cell>
          <cell r="K651">
            <v>11368</v>
          </cell>
          <cell r="L651">
            <v>0</v>
          </cell>
          <cell r="M651">
            <v>75</v>
          </cell>
          <cell r="N651">
            <v>0</v>
          </cell>
          <cell r="O651">
            <v>0</v>
          </cell>
          <cell r="P651">
            <v>0</v>
          </cell>
          <cell r="Q651">
            <v>0</v>
          </cell>
          <cell r="R651">
            <v>0</v>
          </cell>
          <cell r="S651">
            <v>28000</v>
          </cell>
          <cell r="T651">
            <v>-28</v>
          </cell>
          <cell r="U651">
            <v>0</v>
          </cell>
          <cell r="V651">
            <v>35</v>
          </cell>
          <cell r="W651">
            <v>0</v>
          </cell>
          <cell r="X651">
            <v>0</v>
          </cell>
          <cell r="Y651">
            <v>0</v>
          </cell>
          <cell r="Z651">
            <v>0</v>
          </cell>
          <cell r="AA651">
            <v>11450</v>
          </cell>
        </row>
        <row r="652">
          <cell r="A652" t="str">
            <v>Whirlpool Corporation</v>
          </cell>
          <cell r="B652">
            <v>37316</v>
          </cell>
          <cell r="C652">
            <v>32989</v>
          </cell>
          <cell r="D652">
            <v>32989</v>
          </cell>
          <cell r="E652" t="str">
            <v>N/A</v>
          </cell>
          <cell r="F652" t="str">
            <v>N/A</v>
          </cell>
          <cell r="G652">
            <v>31000</v>
          </cell>
          <cell r="H652">
            <v>31000</v>
          </cell>
          <cell r="I652" t="str">
            <v>N/A</v>
          </cell>
          <cell r="J652" t="str">
            <v>N/A</v>
          </cell>
          <cell r="K652">
            <v>12586</v>
          </cell>
          <cell r="L652">
            <v>0</v>
          </cell>
          <cell r="M652">
            <v>75</v>
          </cell>
          <cell r="N652">
            <v>0</v>
          </cell>
          <cell r="O652">
            <v>0</v>
          </cell>
          <cell r="P652">
            <v>0</v>
          </cell>
          <cell r="Q652">
            <v>0</v>
          </cell>
          <cell r="R652">
            <v>0</v>
          </cell>
          <cell r="S652">
            <v>31000</v>
          </cell>
          <cell r="T652">
            <v>-31</v>
          </cell>
          <cell r="U652">
            <v>0</v>
          </cell>
          <cell r="V652">
            <v>35</v>
          </cell>
          <cell r="W652">
            <v>0</v>
          </cell>
          <cell r="X652">
            <v>0</v>
          </cell>
          <cell r="Y652">
            <v>0</v>
          </cell>
          <cell r="Z652">
            <v>0</v>
          </cell>
          <cell r="AA652">
            <v>12665</v>
          </cell>
        </row>
        <row r="653">
          <cell r="A653" t="str">
            <v>Whirlpool Corporation</v>
          </cell>
          <cell r="B653">
            <v>37347</v>
          </cell>
          <cell r="C653">
            <v>20323</v>
          </cell>
          <cell r="D653">
            <v>20323</v>
          </cell>
          <cell r="E653" t="str">
            <v>N/A</v>
          </cell>
          <cell r="F653" t="str">
            <v>N/A</v>
          </cell>
          <cell r="G653">
            <v>25000</v>
          </cell>
          <cell r="H653">
            <v>25000</v>
          </cell>
          <cell r="I653" t="str">
            <v>N/A</v>
          </cell>
          <cell r="J653" t="str">
            <v>N/A</v>
          </cell>
          <cell r="K653">
            <v>10150</v>
          </cell>
          <cell r="L653">
            <v>0</v>
          </cell>
          <cell r="M653">
            <v>75</v>
          </cell>
          <cell r="N653">
            <v>0</v>
          </cell>
          <cell r="O653">
            <v>0</v>
          </cell>
          <cell r="P653">
            <v>0</v>
          </cell>
          <cell r="Q653">
            <v>0</v>
          </cell>
          <cell r="R653">
            <v>0</v>
          </cell>
          <cell r="S653">
            <v>25000</v>
          </cell>
          <cell r="T653">
            <v>-25</v>
          </cell>
          <cell r="U653">
            <v>0</v>
          </cell>
          <cell r="V653">
            <v>35</v>
          </cell>
          <cell r="W653">
            <v>0</v>
          </cell>
          <cell r="X653">
            <v>0</v>
          </cell>
          <cell r="Y653">
            <v>0</v>
          </cell>
          <cell r="Z653">
            <v>0</v>
          </cell>
          <cell r="AA653">
            <v>10235</v>
          </cell>
        </row>
        <row r="654">
          <cell r="A654" t="str">
            <v>Whirlpool Corporation</v>
          </cell>
          <cell r="B654">
            <v>37377</v>
          </cell>
          <cell r="C654">
            <v>15254</v>
          </cell>
          <cell r="D654">
            <v>15254</v>
          </cell>
          <cell r="E654" t="str">
            <v>N/A</v>
          </cell>
          <cell r="F654" t="str">
            <v>N/A</v>
          </cell>
          <cell r="G654">
            <v>20000</v>
          </cell>
          <cell r="H654">
            <v>20000</v>
          </cell>
          <cell r="I654" t="str">
            <v>N/A</v>
          </cell>
          <cell r="J654" t="str">
            <v>N/A</v>
          </cell>
          <cell r="K654">
            <v>8120</v>
          </cell>
          <cell r="L654">
            <v>0</v>
          </cell>
          <cell r="M654">
            <v>75</v>
          </cell>
          <cell r="N654">
            <v>0</v>
          </cell>
          <cell r="O654">
            <v>0</v>
          </cell>
          <cell r="P654">
            <v>0</v>
          </cell>
          <cell r="Q654">
            <v>0</v>
          </cell>
          <cell r="R654">
            <v>0</v>
          </cell>
          <cell r="S654">
            <v>0</v>
          </cell>
          <cell r="T654">
            <v>0</v>
          </cell>
          <cell r="U654">
            <v>0</v>
          </cell>
          <cell r="V654">
            <v>35</v>
          </cell>
          <cell r="W654">
            <v>0</v>
          </cell>
          <cell r="X654">
            <v>0</v>
          </cell>
          <cell r="Y654">
            <v>0</v>
          </cell>
          <cell r="Z654">
            <v>0</v>
          </cell>
          <cell r="AA654">
            <v>8230</v>
          </cell>
        </row>
        <row r="655">
          <cell r="A655" t="str">
            <v>Whirlpool Corporation</v>
          </cell>
          <cell r="B655">
            <v>37408</v>
          </cell>
          <cell r="C655">
            <v>13314</v>
          </cell>
          <cell r="D655">
            <v>13314</v>
          </cell>
          <cell r="E655" t="str">
            <v>N/A</v>
          </cell>
          <cell r="F655" t="str">
            <v>N/A</v>
          </cell>
          <cell r="G655">
            <v>20000</v>
          </cell>
          <cell r="H655">
            <v>20000</v>
          </cell>
          <cell r="I655" t="str">
            <v>N/A</v>
          </cell>
          <cell r="J655" t="str">
            <v>N/A</v>
          </cell>
          <cell r="K655">
            <v>8120</v>
          </cell>
          <cell r="L655">
            <v>0</v>
          </cell>
          <cell r="M655">
            <v>75</v>
          </cell>
          <cell r="N655">
            <v>0</v>
          </cell>
          <cell r="O655">
            <v>0</v>
          </cell>
          <cell r="P655">
            <v>0</v>
          </cell>
          <cell r="Q655">
            <v>0</v>
          </cell>
          <cell r="R655">
            <v>0</v>
          </cell>
          <cell r="S655">
            <v>0</v>
          </cell>
          <cell r="T655">
            <v>0</v>
          </cell>
          <cell r="U655">
            <v>0</v>
          </cell>
          <cell r="V655">
            <v>35</v>
          </cell>
          <cell r="W655">
            <v>0</v>
          </cell>
          <cell r="X655">
            <v>0</v>
          </cell>
          <cell r="Y655">
            <v>0</v>
          </cell>
          <cell r="Z655">
            <v>0</v>
          </cell>
          <cell r="AA655">
            <v>8230</v>
          </cell>
        </row>
        <row r="656">
          <cell r="A656" t="str">
            <v>Whirlpool Corporation</v>
          </cell>
          <cell r="B656">
            <v>37438</v>
          </cell>
          <cell r="C656">
            <v>13989</v>
          </cell>
          <cell r="D656">
            <v>13989</v>
          </cell>
          <cell r="E656" t="str">
            <v>N/A</v>
          </cell>
          <cell r="F656" t="str">
            <v>N/A</v>
          </cell>
          <cell r="G656">
            <v>20000</v>
          </cell>
          <cell r="H656">
            <v>20000</v>
          </cell>
          <cell r="I656" t="str">
            <v>N/A</v>
          </cell>
          <cell r="J656" t="str">
            <v>N/A</v>
          </cell>
          <cell r="K656">
            <v>8120</v>
          </cell>
          <cell r="L656">
            <v>0</v>
          </cell>
          <cell r="M656">
            <v>75</v>
          </cell>
          <cell r="N656">
            <v>0</v>
          </cell>
          <cell r="O656">
            <v>0</v>
          </cell>
          <cell r="P656">
            <v>0</v>
          </cell>
          <cell r="Q656">
            <v>0</v>
          </cell>
          <cell r="R656">
            <v>0</v>
          </cell>
          <cell r="S656">
            <v>0</v>
          </cell>
          <cell r="T656">
            <v>0</v>
          </cell>
          <cell r="U656">
            <v>0</v>
          </cell>
          <cell r="V656">
            <v>35</v>
          </cell>
          <cell r="W656">
            <v>0</v>
          </cell>
          <cell r="X656">
            <v>0</v>
          </cell>
          <cell r="Y656">
            <v>0</v>
          </cell>
          <cell r="Z656">
            <v>0</v>
          </cell>
          <cell r="AA656">
            <v>8230</v>
          </cell>
        </row>
        <row r="658">
          <cell r="A658" t="str">
            <v>Total Rate C</v>
          </cell>
          <cell r="C658">
            <v>4906259</v>
          </cell>
          <cell r="D658">
            <v>4906259</v>
          </cell>
          <cell r="E658" t="str">
            <v>N/A</v>
          </cell>
          <cell r="F658" t="str">
            <v>N/A</v>
          </cell>
          <cell r="G658">
            <v>4980211</v>
          </cell>
          <cell r="H658">
            <v>4980211</v>
          </cell>
          <cell r="I658" t="str">
            <v>N/A</v>
          </cell>
          <cell r="J658" t="str">
            <v>N/A</v>
          </cell>
          <cell r="K658">
            <v>1899870.060000001</v>
          </cell>
          <cell r="L658">
            <v>0</v>
          </cell>
          <cell r="M658">
            <v>32850</v>
          </cell>
          <cell r="N658">
            <v>0</v>
          </cell>
          <cell r="O658">
            <v>0</v>
          </cell>
          <cell r="P658">
            <v>0</v>
          </cell>
          <cell r="Q658">
            <v>0</v>
          </cell>
          <cell r="R658">
            <v>-10747.46</v>
          </cell>
          <cell r="S658">
            <v>3689684</v>
          </cell>
          <cell r="T658">
            <v>6464.42</v>
          </cell>
          <cell r="U658">
            <v>0</v>
          </cell>
          <cell r="V658">
            <v>15330</v>
          </cell>
          <cell r="W658">
            <v>458.78999999999996</v>
          </cell>
          <cell r="X658">
            <v>209711.56999999998</v>
          </cell>
          <cell r="Y658">
            <v>1717</v>
          </cell>
          <cell r="Z658">
            <v>19099.72</v>
          </cell>
          <cell r="AA658">
            <v>2153936.4099999992</v>
          </cell>
        </row>
        <row r="664">
          <cell r="A664" t="str">
            <v>Rate D</v>
          </cell>
        </row>
        <row r="665">
          <cell r="A665" t="str">
            <v>A K Steel Corporation</v>
          </cell>
          <cell r="B665">
            <v>37104</v>
          </cell>
          <cell r="C665">
            <v>201597</v>
          </cell>
          <cell r="D665">
            <v>175000</v>
          </cell>
          <cell r="E665">
            <v>26597</v>
          </cell>
          <cell r="F665">
            <v>0</v>
          </cell>
          <cell r="G665">
            <v>201000</v>
          </cell>
          <cell r="H665">
            <v>175000</v>
          </cell>
          <cell r="I665">
            <v>26000</v>
          </cell>
          <cell r="J665">
            <v>0</v>
          </cell>
          <cell r="K665">
            <v>21361</v>
          </cell>
          <cell r="L665">
            <v>0</v>
          </cell>
          <cell r="M665">
            <v>75</v>
          </cell>
          <cell r="N665">
            <v>0</v>
          </cell>
          <cell r="O665">
            <v>0</v>
          </cell>
          <cell r="P665">
            <v>0</v>
          </cell>
          <cell r="Q665">
            <v>0</v>
          </cell>
          <cell r="R665">
            <v>0</v>
          </cell>
          <cell r="S665">
            <v>0</v>
          </cell>
          <cell r="T665">
            <v>0</v>
          </cell>
          <cell r="U665">
            <v>0</v>
          </cell>
          <cell r="V665">
            <v>75</v>
          </cell>
          <cell r="W665">
            <v>3.75</v>
          </cell>
          <cell r="X665">
            <v>0</v>
          </cell>
          <cell r="Y665">
            <v>0</v>
          </cell>
          <cell r="Z665">
            <v>0</v>
          </cell>
          <cell r="AA665">
            <v>21514.75</v>
          </cell>
        </row>
        <row r="666">
          <cell r="A666" t="str">
            <v>A K Steel Corporation</v>
          </cell>
          <cell r="B666">
            <v>37135</v>
          </cell>
          <cell r="C666">
            <v>206932</v>
          </cell>
          <cell r="D666">
            <v>175000</v>
          </cell>
          <cell r="E666">
            <v>31932</v>
          </cell>
          <cell r="F666">
            <v>0</v>
          </cell>
          <cell r="G666">
            <v>210000</v>
          </cell>
          <cell r="H666">
            <v>175000</v>
          </cell>
          <cell r="I666">
            <v>35000</v>
          </cell>
          <cell r="J666">
            <v>0</v>
          </cell>
          <cell r="K666">
            <v>21910</v>
          </cell>
          <cell r="L666">
            <v>0</v>
          </cell>
          <cell r="M666">
            <v>75</v>
          </cell>
          <cell r="N666">
            <v>0</v>
          </cell>
          <cell r="O666">
            <v>0</v>
          </cell>
          <cell r="P666">
            <v>0</v>
          </cell>
          <cell r="Q666">
            <v>0</v>
          </cell>
          <cell r="R666">
            <v>0</v>
          </cell>
          <cell r="S666">
            <v>0</v>
          </cell>
          <cell r="T666">
            <v>0</v>
          </cell>
          <cell r="U666">
            <v>0</v>
          </cell>
          <cell r="V666">
            <v>75</v>
          </cell>
          <cell r="W666">
            <v>3.75</v>
          </cell>
          <cell r="X666">
            <v>0</v>
          </cell>
          <cell r="Y666">
            <v>0</v>
          </cell>
          <cell r="Z666">
            <v>0</v>
          </cell>
          <cell r="AA666">
            <v>22063.75</v>
          </cell>
        </row>
        <row r="667">
          <cell r="A667" t="str">
            <v>A K Steel Corporation</v>
          </cell>
          <cell r="B667">
            <v>37165</v>
          </cell>
          <cell r="C667">
            <v>220888</v>
          </cell>
          <cell r="D667">
            <v>175000</v>
          </cell>
          <cell r="E667">
            <v>45888</v>
          </cell>
          <cell r="F667">
            <v>0</v>
          </cell>
          <cell r="G667">
            <v>227000</v>
          </cell>
          <cell r="H667">
            <v>175000</v>
          </cell>
          <cell r="I667">
            <v>52000</v>
          </cell>
          <cell r="J667">
            <v>0</v>
          </cell>
          <cell r="K667">
            <v>22947</v>
          </cell>
          <cell r="L667">
            <v>0</v>
          </cell>
          <cell r="M667">
            <v>75</v>
          </cell>
          <cell r="N667">
            <v>0</v>
          </cell>
          <cell r="O667">
            <v>0</v>
          </cell>
          <cell r="P667">
            <v>0</v>
          </cell>
          <cell r="Q667">
            <v>0</v>
          </cell>
          <cell r="R667">
            <v>0</v>
          </cell>
          <cell r="S667">
            <v>0</v>
          </cell>
          <cell r="T667">
            <v>0</v>
          </cell>
          <cell r="U667">
            <v>0</v>
          </cell>
          <cell r="V667">
            <v>75</v>
          </cell>
          <cell r="W667">
            <v>3.75</v>
          </cell>
          <cell r="X667">
            <v>0</v>
          </cell>
          <cell r="Y667">
            <v>0</v>
          </cell>
          <cell r="Z667">
            <v>0</v>
          </cell>
          <cell r="AA667">
            <v>23100.75</v>
          </cell>
        </row>
        <row r="668">
          <cell r="A668" t="str">
            <v>A K Steel Corporation</v>
          </cell>
          <cell r="B668">
            <v>37196</v>
          </cell>
          <cell r="C668">
            <v>212742</v>
          </cell>
          <cell r="D668">
            <v>175000</v>
          </cell>
          <cell r="E668">
            <v>37742</v>
          </cell>
          <cell r="F668">
            <v>0</v>
          </cell>
          <cell r="G668">
            <v>210000</v>
          </cell>
          <cell r="H668">
            <v>175000</v>
          </cell>
          <cell r="I668">
            <v>35000</v>
          </cell>
          <cell r="J668">
            <v>0</v>
          </cell>
          <cell r="K668">
            <v>21910</v>
          </cell>
          <cell r="L668">
            <v>0</v>
          </cell>
          <cell r="M668">
            <v>75</v>
          </cell>
          <cell r="N668">
            <v>0</v>
          </cell>
          <cell r="O668">
            <v>0</v>
          </cell>
          <cell r="P668">
            <v>0</v>
          </cell>
          <cell r="Q668">
            <v>0</v>
          </cell>
          <cell r="R668">
            <v>0</v>
          </cell>
          <cell r="S668">
            <v>0</v>
          </cell>
          <cell r="T668">
            <v>0</v>
          </cell>
          <cell r="U668">
            <v>0</v>
          </cell>
          <cell r="V668">
            <v>75</v>
          </cell>
          <cell r="W668">
            <v>3.75</v>
          </cell>
          <cell r="X668">
            <v>0</v>
          </cell>
          <cell r="Y668">
            <v>0</v>
          </cell>
          <cell r="Z668">
            <v>0</v>
          </cell>
          <cell r="AA668">
            <v>22063.75</v>
          </cell>
        </row>
        <row r="669">
          <cell r="A669" t="str">
            <v>A K Steel Corporation</v>
          </cell>
          <cell r="B669">
            <v>37226</v>
          </cell>
          <cell r="C669">
            <v>266953</v>
          </cell>
          <cell r="D669">
            <v>175000</v>
          </cell>
          <cell r="E669">
            <v>91953</v>
          </cell>
          <cell r="F669">
            <v>0</v>
          </cell>
          <cell r="G669">
            <v>266000</v>
          </cell>
          <cell r="H669">
            <v>175000</v>
          </cell>
          <cell r="I669">
            <v>91000</v>
          </cell>
          <cell r="J669">
            <v>0</v>
          </cell>
          <cell r="K669">
            <v>25326</v>
          </cell>
          <cell r="L669">
            <v>0</v>
          </cell>
          <cell r="M669">
            <v>75</v>
          </cell>
          <cell r="N669">
            <v>0</v>
          </cell>
          <cell r="O669">
            <v>0</v>
          </cell>
          <cell r="P669">
            <v>0</v>
          </cell>
          <cell r="Q669">
            <v>0</v>
          </cell>
          <cell r="R669">
            <v>0</v>
          </cell>
          <cell r="S669">
            <v>0</v>
          </cell>
          <cell r="T669">
            <v>0</v>
          </cell>
          <cell r="U669">
            <v>0</v>
          </cell>
          <cell r="V669">
            <v>75</v>
          </cell>
          <cell r="W669">
            <v>3.75</v>
          </cell>
          <cell r="X669">
            <v>22725.55</v>
          </cell>
          <cell r="Y669">
            <v>0</v>
          </cell>
          <cell r="Z669">
            <v>0</v>
          </cell>
          <cell r="AA669">
            <v>48205.3</v>
          </cell>
        </row>
        <row r="670">
          <cell r="A670" t="str">
            <v>A K Steel Corporation</v>
          </cell>
          <cell r="B670">
            <v>37257</v>
          </cell>
          <cell r="C670">
            <v>260865</v>
          </cell>
          <cell r="D670">
            <v>175000</v>
          </cell>
          <cell r="E670">
            <v>85865</v>
          </cell>
          <cell r="F670">
            <v>0</v>
          </cell>
          <cell r="G670">
            <v>284700</v>
          </cell>
          <cell r="H670">
            <v>175000</v>
          </cell>
          <cell r="I670">
            <v>109700</v>
          </cell>
          <cell r="J670">
            <v>0</v>
          </cell>
          <cell r="K670">
            <v>26466.7</v>
          </cell>
          <cell r="L670">
            <v>0</v>
          </cell>
          <cell r="M670">
            <v>75</v>
          </cell>
          <cell r="N670">
            <v>0</v>
          </cell>
          <cell r="O670">
            <v>0</v>
          </cell>
          <cell r="P670">
            <v>0</v>
          </cell>
          <cell r="Q670">
            <v>0</v>
          </cell>
          <cell r="R670">
            <v>0</v>
          </cell>
          <cell r="S670">
            <v>0</v>
          </cell>
          <cell r="T670">
            <v>0</v>
          </cell>
          <cell r="U670">
            <v>0</v>
          </cell>
          <cell r="V670">
            <v>75</v>
          </cell>
          <cell r="W670">
            <v>3.75</v>
          </cell>
          <cell r="X670">
            <v>0</v>
          </cell>
          <cell r="Y670">
            <v>0</v>
          </cell>
          <cell r="Z670">
            <v>0</v>
          </cell>
          <cell r="AA670">
            <v>26620.45</v>
          </cell>
        </row>
        <row r="671">
          <cell r="A671" t="str">
            <v>A K Steel Corporation</v>
          </cell>
          <cell r="B671">
            <v>37288</v>
          </cell>
          <cell r="C671">
            <v>261337</v>
          </cell>
          <cell r="D671">
            <v>175000</v>
          </cell>
          <cell r="E671">
            <v>86337</v>
          </cell>
          <cell r="F671">
            <v>0</v>
          </cell>
          <cell r="G671">
            <v>251550</v>
          </cell>
          <cell r="H671">
            <v>175000</v>
          </cell>
          <cell r="I671">
            <v>76550</v>
          </cell>
          <cell r="J671">
            <v>0</v>
          </cell>
          <cell r="K671">
            <v>24444.799999999999</v>
          </cell>
          <cell r="L671">
            <v>0</v>
          </cell>
          <cell r="M671">
            <v>75</v>
          </cell>
          <cell r="N671">
            <v>0</v>
          </cell>
          <cell r="O671">
            <v>0</v>
          </cell>
          <cell r="P671">
            <v>0</v>
          </cell>
          <cell r="Q671">
            <v>0</v>
          </cell>
          <cell r="R671">
            <v>0</v>
          </cell>
          <cell r="S671">
            <v>251550</v>
          </cell>
          <cell r="T671">
            <v>-251.8</v>
          </cell>
          <cell r="U671">
            <v>0</v>
          </cell>
          <cell r="V671">
            <v>75</v>
          </cell>
          <cell r="W671">
            <v>3.75</v>
          </cell>
          <cell r="X671">
            <v>0</v>
          </cell>
          <cell r="Y671">
            <v>0</v>
          </cell>
          <cell r="Z671">
            <v>0</v>
          </cell>
          <cell r="AA671">
            <v>24346.75</v>
          </cell>
        </row>
        <row r="672">
          <cell r="A672" t="str">
            <v>A K Steel Corporation</v>
          </cell>
          <cell r="B672">
            <v>37316</v>
          </cell>
          <cell r="C672">
            <v>272400</v>
          </cell>
          <cell r="D672">
            <v>175000</v>
          </cell>
          <cell r="E672">
            <v>97400</v>
          </cell>
          <cell r="F672">
            <v>0</v>
          </cell>
          <cell r="G672">
            <v>288200</v>
          </cell>
          <cell r="H672">
            <v>175000</v>
          </cell>
          <cell r="I672">
            <v>113200</v>
          </cell>
          <cell r="J672">
            <v>0</v>
          </cell>
          <cell r="K672">
            <v>26680.2</v>
          </cell>
          <cell r="L672">
            <v>0</v>
          </cell>
          <cell r="M672">
            <v>75</v>
          </cell>
          <cell r="N672">
            <v>0</v>
          </cell>
          <cell r="O672">
            <v>0</v>
          </cell>
          <cell r="P672">
            <v>0</v>
          </cell>
          <cell r="Q672">
            <v>0</v>
          </cell>
          <cell r="R672">
            <v>0</v>
          </cell>
          <cell r="S672">
            <v>288200</v>
          </cell>
          <cell r="T672">
            <v>-288.2</v>
          </cell>
          <cell r="U672">
            <v>0</v>
          </cell>
          <cell r="V672">
            <v>75</v>
          </cell>
          <cell r="W672">
            <v>3.75</v>
          </cell>
          <cell r="X672">
            <v>0</v>
          </cell>
          <cell r="Y672">
            <v>0</v>
          </cell>
          <cell r="Z672">
            <v>0</v>
          </cell>
          <cell r="AA672">
            <v>26545.75</v>
          </cell>
        </row>
        <row r="673">
          <cell r="A673" t="str">
            <v>A K Steel Corporation</v>
          </cell>
          <cell r="B673">
            <v>37347</v>
          </cell>
          <cell r="C673">
            <v>235909</v>
          </cell>
          <cell r="D673">
            <v>175000</v>
          </cell>
          <cell r="E673">
            <v>60909</v>
          </cell>
          <cell r="F673">
            <v>0</v>
          </cell>
          <cell r="G673">
            <v>238955</v>
          </cell>
          <cell r="H673">
            <v>175000</v>
          </cell>
          <cell r="I673">
            <v>63955</v>
          </cell>
          <cell r="J673">
            <v>0</v>
          </cell>
          <cell r="K673">
            <v>23676.26</v>
          </cell>
          <cell r="L673">
            <v>0</v>
          </cell>
          <cell r="M673">
            <v>75</v>
          </cell>
          <cell r="N673">
            <v>0</v>
          </cell>
          <cell r="O673">
            <v>0</v>
          </cell>
          <cell r="P673">
            <v>0</v>
          </cell>
          <cell r="Q673">
            <v>0</v>
          </cell>
          <cell r="R673">
            <v>0</v>
          </cell>
          <cell r="S673">
            <v>238955</v>
          </cell>
          <cell r="T673">
            <v>-238.96</v>
          </cell>
          <cell r="U673">
            <v>0</v>
          </cell>
          <cell r="V673">
            <v>75</v>
          </cell>
          <cell r="W673">
            <v>3.75</v>
          </cell>
          <cell r="X673">
            <v>0</v>
          </cell>
          <cell r="Y673">
            <v>0</v>
          </cell>
          <cell r="Z673">
            <v>0</v>
          </cell>
          <cell r="AA673">
            <v>23591.05</v>
          </cell>
        </row>
        <row r="674">
          <cell r="A674" t="str">
            <v>A K Steel Corporation</v>
          </cell>
          <cell r="B674">
            <v>37377</v>
          </cell>
          <cell r="C674">
            <v>236667</v>
          </cell>
          <cell r="D674">
            <v>175000</v>
          </cell>
          <cell r="E674">
            <v>61667</v>
          </cell>
          <cell r="F674">
            <v>0</v>
          </cell>
          <cell r="G674">
            <v>243360</v>
          </cell>
          <cell r="H674">
            <v>175000</v>
          </cell>
          <cell r="I674">
            <v>68360</v>
          </cell>
          <cell r="J674">
            <v>0</v>
          </cell>
          <cell r="K674">
            <v>23944.959999999999</v>
          </cell>
          <cell r="L674">
            <v>0</v>
          </cell>
          <cell r="M674">
            <v>75</v>
          </cell>
          <cell r="N674">
            <v>0</v>
          </cell>
          <cell r="O674">
            <v>0</v>
          </cell>
          <cell r="P674">
            <v>0</v>
          </cell>
          <cell r="Q674">
            <v>0</v>
          </cell>
          <cell r="R674">
            <v>0</v>
          </cell>
          <cell r="S674">
            <v>0</v>
          </cell>
          <cell r="T674">
            <v>0</v>
          </cell>
          <cell r="U674">
            <v>0</v>
          </cell>
          <cell r="V674">
            <v>75</v>
          </cell>
          <cell r="W674">
            <v>3.75</v>
          </cell>
          <cell r="X674">
            <v>0</v>
          </cell>
          <cell r="Y674">
            <v>0</v>
          </cell>
          <cell r="Z674">
            <v>0</v>
          </cell>
          <cell r="AA674">
            <v>24098.71</v>
          </cell>
        </row>
        <row r="675">
          <cell r="A675" t="str">
            <v>A K Steel Corporation</v>
          </cell>
          <cell r="B675">
            <v>37408</v>
          </cell>
          <cell r="C675">
            <v>216446</v>
          </cell>
          <cell r="D675">
            <v>175000</v>
          </cell>
          <cell r="E675">
            <v>41446</v>
          </cell>
          <cell r="F675">
            <v>0</v>
          </cell>
          <cell r="G675">
            <v>213200</v>
          </cell>
          <cell r="H675">
            <v>175000</v>
          </cell>
          <cell r="I675">
            <v>38200</v>
          </cell>
          <cell r="J675">
            <v>0</v>
          </cell>
          <cell r="K675">
            <v>22105.200000000001</v>
          </cell>
          <cell r="L675">
            <v>0</v>
          </cell>
          <cell r="M675">
            <v>75</v>
          </cell>
          <cell r="N675">
            <v>0</v>
          </cell>
          <cell r="O675">
            <v>0</v>
          </cell>
          <cell r="P675">
            <v>0</v>
          </cell>
          <cell r="Q675">
            <v>0</v>
          </cell>
          <cell r="R675">
            <v>0</v>
          </cell>
          <cell r="S675">
            <v>0</v>
          </cell>
          <cell r="T675">
            <v>0</v>
          </cell>
          <cell r="U675">
            <v>0</v>
          </cell>
          <cell r="V675">
            <v>75</v>
          </cell>
          <cell r="W675">
            <v>3.75</v>
          </cell>
          <cell r="X675">
            <v>0</v>
          </cell>
          <cell r="Y675">
            <v>0</v>
          </cell>
          <cell r="Z675">
            <v>0</v>
          </cell>
          <cell r="AA675">
            <v>22258.95</v>
          </cell>
        </row>
        <row r="676">
          <cell r="A676" t="str">
            <v>A K Steel Corporation</v>
          </cell>
          <cell r="B676">
            <v>37438</v>
          </cell>
          <cell r="C676">
            <v>200388</v>
          </cell>
          <cell r="D676">
            <v>175000</v>
          </cell>
          <cell r="E676">
            <v>25388</v>
          </cell>
          <cell r="F676">
            <v>0</v>
          </cell>
          <cell r="G676">
            <v>211630</v>
          </cell>
          <cell r="H676">
            <v>175000</v>
          </cell>
          <cell r="I676">
            <v>36630</v>
          </cell>
          <cell r="J676">
            <v>0</v>
          </cell>
          <cell r="K676">
            <v>22009.43</v>
          </cell>
          <cell r="L676">
            <v>0</v>
          </cell>
          <cell r="M676">
            <v>75</v>
          </cell>
          <cell r="N676">
            <v>0</v>
          </cell>
          <cell r="O676">
            <v>0</v>
          </cell>
          <cell r="P676">
            <v>0</v>
          </cell>
          <cell r="Q676">
            <v>0</v>
          </cell>
          <cell r="R676">
            <v>0</v>
          </cell>
          <cell r="S676">
            <v>0</v>
          </cell>
          <cell r="T676">
            <v>0</v>
          </cell>
          <cell r="U676">
            <v>0</v>
          </cell>
          <cell r="V676">
            <v>75</v>
          </cell>
          <cell r="W676">
            <v>3.75</v>
          </cell>
          <cell r="X676">
            <v>0</v>
          </cell>
          <cell r="Y676">
            <v>0</v>
          </cell>
          <cell r="Z676">
            <v>0</v>
          </cell>
          <cell r="AA676">
            <v>22163.18</v>
          </cell>
        </row>
        <row r="677">
          <cell r="A677" t="str">
            <v>Aluminum Company of America</v>
          </cell>
          <cell r="B677">
            <v>37104</v>
          </cell>
          <cell r="C677">
            <v>270862</v>
          </cell>
          <cell r="D677">
            <v>175000</v>
          </cell>
          <cell r="E677">
            <v>95862</v>
          </cell>
          <cell r="F677">
            <v>0</v>
          </cell>
          <cell r="G677">
            <v>277280</v>
          </cell>
          <cell r="H677">
            <v>175000</v>
          </cell>
          <cell r="I677">
            <v>102280</v>
          </cell>
          <cell r="J677">
            <v>0</v>
          </cell>
          <cell r="K677">
            <v>26014.080000000002</v>
          </cell>
          <cell r="L677">
            <v>0</v>
          </cell>
          <cell r="M677">
            <v>75</v>
          </cell>
          <cell r="N677">
            <v>0</v>
          </cell>
          <cell r="O677">
            <v>0</v>
          </cell>
          <cell r="P677">
            <v>0</v>
          </cell>
          <cell r="Q677">
            <v>0</v>
          </cell>
          <cell r="R677">
            <v>0</v>
          </cell>
          <cell r="S677">
            <v>0</v>
          </cell>
          <cell r="T677">
            <v>0</v>
          </cell>
          <cell r="U677">
            <v>1797</v>
          </cell>
          <cell r="V677">
            <v>75</v>
          </cell>
          <cell r="W677">
            <v>0</v>
          </cell>
          <cell r="X677">
            <v>0</v>
          </cell>
          <cell r="Y677">
            <v>0</v>
          </cell>
          <cell r="Z677">
            <v>0</v>
          </cell>
          <cell r="AA677">
            <v>27961.08</v>
          </cell>
        </row>
        <row r="678">
          <cell r="A678" t="str">
            <v>Aluminum Company of America</v>
          </cell>
          <cell r="B678">
            <v>37135</v>
          </cell>
          <cell r="C678">
            <v>290137</v>
          </cell>
          <cell r="D678">
            <v>175000</v>
          </cell>
          <cell r="E678">
            <v>115137</v>
          </cell>
          <cell r="F678">
            <v>0</v>
          </cell>
          <cell r="G678">
            <v>293235</v>
          </cell>
          <cell r="H678">
            <v>175000</v>
          </cell>
          <cell r="I678">
            <v>118235</v>
          </cell>
          <cell r="J678">
            <v>0</v>
          </cell>
          <cell r="K678">
            <v>26987.33</v>
          </cell>
          <cell r="L678">
            <v>0</v>
          </cell>
          <cell r="M678">
            <v>75</v>
          </cell>
          <cell r="N678">
            <v>0</v>
          </cell>
          <cell r="O678">
            <v>0</v>
          </cell>
          <cell r="P678">
            <v>0</v>
          </cell>
          <cell r="Q678">
            <v>0</v>
          </cell>
          <cell r="R678">
            <v>0</v>
          </cell>
          <cell r="S678">
            <v>0</v>
          </cell>
          <cell r="T678">
            <v>0</v>
          </cell>
          <cell r="U678">
            <v>1797</v>
          </cell>
          <cell r="V678">
            <v>75</v>
          </cell>
          <cell r="W678">
            <v>0</v>
          </cell>
          <cell r="X678">
            <v>0</v>
          </cell>
          <cell r="Y678">
            <v>0</v>
          </cell>
          <cell r="Z678">
            <v>0</v>
          </cell>
          <cell r="AA678">
            <v>28934.33</v>
          </cell>
        </row>
        <row r="679">
          <cell r="A679" t="str">
            <v>Aluminum Company of America</v>
          </cell>
          <cell r="B679">
            <v>37165</v>
          </cell>
          <cell r="C679">
            <v>331153</v>
          </cell>
          <cell r="D679">
            <v>175000</v>
          </cell>
          <cell r="E679">
            <v>156153</v>
          </cell>
          <cell r="F679">
            <v>0</v>
          </cell>
          <cell r="G679">
            <v>321640</v>
          </cell>
          <cell r="H679">
            <v>175000</v>
          </cell>
          <cell r="I679">
            <v>146640</v>
          </cell>
          <cell r="J679">
            <v>0</v>
          </cell>
          <cell r="K679">
            <v>28720.04</v>
          </cell>
          <cell r="L679">
            <v>0</v>
          </cell>
          <cell r="M679">
            <v>75</v>
          </cell>
          <cell r="N679">
            <v>0</v>
          </cell>
          <cell r="O679">
            <v>0</v>
          </cell>
          <cell r="P679">
            <v>0</v>
          </cell>
          <cell r="Q679">
            <v>0</v>
          </cell>
          <cell r="R679">
            <v>0</v>
          </cell>
          <cell r="S679">
            <v>0</v>
          </cell>
          <cell r="T679">
            <v>0</v>
          </cell>
          <cell r="U679">
            <v>1797</v>
          </cell>
          <cell r="V679">
            <v>75</v>
          </cell>
          <cell r="W679">
            <v>0</v>
          </cell>
          <cell r="X679">
            <v>0</v>
          </cell>
          <cell r="Y679">
            <v>0</v>
          </cell>
          <cell r="Z679">
            <v>0</v>
          </cell>
          <cell r="AA679">
            <v>30667.040000000001</v>
          </cell>
        </row>
        <row r="680">
          <cell r="A680" t="str">
            <v>Aluminum Company of America</v>
          </cell>
          <cell r="B680">
            <v>37196</v>
          </cell>
          <cell r="C680">
            <v>327811</v>
          </cell>
          <cell r="D680">
            <v>175000</v>
          </cell>
          <cell r="E680">
            <v>152811</v>
          </cell>
          <cell r="F680">
            <v>0</v>
          </cell>
          <cell r="G680">
            <v>347930</v>
          </cell>
          <cell r="H680">
            <v>175000</v>
          </cell>
          <cell r="I680">
            <v>172930</v>
          </cell>
          <cell r="J680">
            <v>0</v>
          </cell>
          <cell r="K680">
            <v>30323.73</v>
          </cell>
          <cell r="L680">
            <v>0</v>
          </cell>
          <cell r="M680">
            <v>75</v>
          </cell>
          <cell r="N680">
            <v>0</v>
          </cell>
          <cell r="O680">
            <v>0</v>
          </cell>
          <cell r="P680">
            <v>0</v>
          </cell>
          <cell r="Q680">
            <v>0</v>
          </cell>
          <cell r="R680">
            <v>0</v>
          </cell>
          <cell r="S680">
            <v>0</v>
          </cell>
          <cell r="T680">
            <v>0</v>
          </cell>
          <cell r="U680">
            <v>1797</v>
          </cell>
          <cell r="V680">
            <v>75</v>
          </cell>
          <cell r="W680">
            <v>0</v>
          </cell>
          <cell r="X680">
            <v>76141.789999999994</v>
          </cell>
          <cell r="Y680">
            <v>0</v>
          </cell>
          <cell r="Z680">
            <v>0</v>
          </cell>
          <cell r="AA680">
            <v>108412.52</v>
          </cell>
        </row>
        <row r="681">
          <cell r="A681" t="str">
            <v>Aluminum Company of America</v>
          </cell>
          <cell r="B681">
            <v>37226</v>
          </cell>
          <cell r="C681">
            <v>411113</v>
          </cell>
          <cell r="D681">
            <v>175000</v>
          </cell>
          <cell r="E681">
            <v>175000</v>
          </cell>
          <cell r="F681">
            <v>61113</v>
          </cell>
          <cell r="G681">
            <v>411000</v>
          </cell>
          <cell r="H681">
            <v>175000</v>
          </cell>
          <cell r="I681">
            <v>175000</v>
          </cell>
          <cell r="J681">
            <v>61000</v>
          </cell>
          <cell r="K681">
            <v>32829</v>
          </cell>
          <cell r="L681">
            <v>0</v>
          </cell>
          <cell r="M681">
            <v>75</v>
          </cell>
          <cell r="N681">
            <v>0</v>
          </cell>
          <cell r="O681">
            <v>0</v>
          </cell>
          <cell r="P681">
            <v>0</v>
          </cell>
          <cell r="Q681">
            <v>0</v>
          </cell>
          <cell r="R681">
            <v>0</v>
          </cell>
          <cell r="S681">
            <v>0</v>
          </cell>
          <cell r="T681">
            <v>0</v>
          </cell>
          <cell r="U681">
            <v>1797</v>
          </cell>
          <cell r="V681">
            <v>75</v>
          </cell>
          <cell r="W681">
            <v>0</v>
          </cell>
          <cell r="X681">
            <v>76140.789999999994</v>
          </cell>
          <cell r="Y681">
            <v>0</v>
          </cell>
          <cell r="Z681">
            <v>0</v>
          </cell>
          <cell r="AA681">
            <v>110916.79</v>
          </cell>
        </row>
        <row r="682">
          <cell r="A682" t="str">
            <v>Aluminum Company of America</v>
          </cell>
          <cell r="B682">
            <v>37257</v>
          </cell>
          <cell r="C682">
            <v>451290</v>
          </cell>
          <cell r="D682">
            <v>175000</v>
          </cell>
          <cell r="E682">
            <v>175000</v>
          </cell>
          <cell r="F682">
            <v>101290</v>
          </cell>
          <cell r="G682">
            <v>499000</v>
          </cell>
          <cell r="H682">
            <v>175000</v>
          </cell>
          <cell r="I682">
            <v>175000</v>
          </cell>
          <cell r="J682">
            <v>149000</v>
          </cell>
          <cell r="K682">
            <v>36261</v>
          </cell>
          <cell r="L682">
            <v>0</v>
          </cell>
          <cell r="M682">
            <v>75</v>
          </cell>
          <cell r="N682">
            <v>0</v>
          </cell>
          <cell r="O682">
            <v>0</v>
          </cell>
          <cell r="P682">
            <v>0</v>
          </cell>
          <cell r="Q682">
            <v>0</v>
          </cell>
          <cell r="R682">
            <v>0</v>
          </cell>
          <cell r="S682">
            <v>0</v>
          </cell>
          <cell r="T682">
            <v>0</v>
          </cell>
          <cell r="U682">
            <v>1797</v>
          </cell>
          <cell r="V682">
            <v>75</v>
          </cell>
          <cell r="W682">
            <v>0</v>
          </cell>
          <cell r="X682">
            <v>76140.789999999994</v>
          </cell>
          <cell r="Y682">
            <v>0</v>
          </cell>
          <cell r="Z682">
            <v>0</v>
          </cell>
          <cell r="AA682">
            <v>114348.79</v>
          </cell>
        </row>
        <row r="683">
          <cell r="A683" t="str">
            <v>Aluminum Company of America</v>
          </cell>
          <cell r="B683">
            <v>37288</v>
          </cell>
          <cell r="C683">
            <v>279463</v>
          </cell>
          <cell r="D683">
            <v>175000</v>
          </cell>
          <cell r="E683">
            <v>104463</v>
          </cell>
          <cell r="F683">
            <v>0</v>
          </cell>
          <cell r="G683">
            <v>256000</v>
          </cell>
          <cell r="H683">
            <v>175000</v>
          </cell>
          <cell r="I683">
            <v>81000</v>
          </cell>
          <cell r="J683">
            <v>0</v>
          </cell>
          <cell r="K683">
            <v>24715.69</v>
          </cell>
          <cell r="L683">
            <v>0</v>
          </cell>
          <cell r="M683">
            <v>75</v>
          </cell>
          <cell r="N683">
            <v>0</v>
          </cell>
          <cell r="O683">
            <v>0</v>
          </cell>
          <cell r="P683">
            <v>0</v>
          </cell>
          <cell r="Q683">
            <v>0</v>
          </cell>
          <cell r="R683">
            <v>0</v>
          </cell>
          <cell r="S683">
            <v>256000</v>
          </cell>
          <cell r="T683">
            <v>-255.91000000000003</v>
          </cell>
          <cell r="U683">
            <v>1797</v>
          </cell>
          <cell r="V683">
            <v>75</v>
          </cell>
          <cell r="W683">
            <v>0</v>
          </cell>
          <cell r="X683">
            <v>76140.84</v>
          </cell>
          <cell r="Y683">
            <v>0</v>
          </cell>
          <cell r="Z683">
            <v>0</v>
          </cell>
          <cell r="AA683">
            <v>102547.62</v>
          </cell>
        </row>
        <row r="684">
          <cell r="A684" t="str">
            <v>Aluminum Company of America</v>
          </cell>
          <cell r="B684">
            <v>37316</v>
          </cell>
          <cell r="C684">
            <v>292490</v>
          </cell>
          <cell r="D684">
            <v>175000</v>
          </cell>
          <cell r="E684">
            <v>117490</v>
          </cell>
          <cell r="F684">
            <v>0</v>
          </cell>
          <cell r="G684">
            <v>295900</v>
          </cell>
          <cell r="H684">
            <v>175000</v>
          </cell>
          <cell r="I684">
            <v>120900</v>
          </cell>
          <cell r="J684">
            <v>0</v>
          </cell>
          <cell r="K684">
            <v>27149.9</v>
          </cell>
          <cell r="L684">
            <v>0</v>
          </cell>
          <cell r="M684">
            <v>75</v>
          </cell>
          <cell r="N684">
            <v>0</v>
          </cell>
          <cell r="O684">
            <v>0</v>
          </cell>
          <cell r="P684">
            <v>0</v>
          </cell>
          <cell r="Q684">
            <v>0</v>
          </cell>
          <cell r="R684">
            <v>0</v>
          </cell>
          <cell r="S684">
            <v>295900</v>
          </cell>
          <cell r="T684">
            <v>-295.89999999999998</v>
          </cell>
          <cell r="U684">
            <v>1797</v>
          </cell>
          <cell r="V684">
            <v>75</v>
          </cell>
          <cell r="W684">
            <v>0</v>
          </cell>
          <cell r="X684">
            <v>0</v>
          </cell>
          <cell r="Y684">
            <v>0</v>
          </cell>
          <cell r="Z684">
            <v>0</v>
          </cell>
          <cell r="AA684">
            <v>28801</v>
          </cell>
        </row>
        <row r="685">
          <cell r="A685" t="str">
            <v>Aluminum Company of America</v>
          </cell>
          <cell r="B685">
            <v>37347</v>
          </cell>
          <cell r="C685">
            <v>253563</v>
          </cell>
          <cell r="D685">
            <v>175000</v>
          </cell>
          <cell r="E685">
            <v>78563</v>
          </cell>
          <cell r="F685">
            <v>0</v>
          </cell>
          <cell r="G685">
            <v>263000</v>
          </cell>
          <cell r="H685">
            <v>175000</v>
          </cell>
          <cell r="I685">
            <v>88000</v>
          </cell>
          <cell r="J685">
            <v>0</v>
          </cell>
          <cell r="K685">
            <v>25143</v>
          </cell>
          <cell r="L685">
            <v>0</v>
          </cell>
          <cell r="M685">
            <v>75</v>
          </cell>
          <cell r="N685">
            <v>0</v>
          </cell>
          <cell r="O685">
            <v>0</v>
          </cell>
          <cell r="P685">
            <v>0</v>
          </cell>
          <cell r="Q685">
            <v>0</v>
          </cell>
          <cell r="R685">
            <v>0</v>
          </cell>
          <cell r="S685">
            <v>263000</v>
          </cell>
          <cell r="T685">
            <v>-263</v>
          </cell>
          <cell r="U685">
            <v>1797</v>
          </cell>
          <cell r="V685">
            <v>75</v>
          </cell>
          <cell r="W685">
            <v>0</v>
          </cell>
          <cell r="X685">
            <v>0</v>
          </cell>
          <cell r="Y685">
            <v>0</v>
          </cell>
          <cell r="Z685">
            <v>0</v>
          </cell>
          <cell r="AA685">
            <v>26827</v>
          </cell>
        </row>
        <row r="686">
          <cell r="A686" t="str">
            <v>Aluminum Company of America</v>
          </cell>
          <cell r="B686">
            <v>37377</v>
          </cell>
          <cell r="C686">
            <v>244394</v>
          </cell>
          <cell r="D686">
            <v>175000</v>
          </cell>
          <cell r="E686">
            <v>69394</v>
          </cell>
          <cell r="F686">
            <v>0</v>
          </cell>
          <cell r="G686">
            <v>248800</v>
          </cell>
          <cell r="H686">
            <v>175000</v>
          </cell>
          <cell r="I686">
            <v>73800</v>
          </cell>
          <cell r="J686">
            <v>0</v>
          </cell>
          <cell r="K686">
            <v>24276.799999999999</v>
          </cell>
          <cell r="L686">
            <v>0</v>
          </cell>
          <cell r="M686">
            <v>75</v>
          </cell>
          <cell r="N686">
            <v>0</v>
          </cell>
          <cell r="O686">
            <v>0</v>
          </cell>
          <cell r="P686">
            <v>0</v>
          </cell>
          <cell r="Q686">
            <v>0</v>
          </cell>
          <cell r="R686">
            <v>0</v>
          </cell>
          <cell r="S686">
            <v>0</v>
          </cell>
          <cell r="T686">
            <v>0</v>
          </cell>
          <cell r="U686">
            <v>1797</v>
          </cell>
          <cell r="V686">
            <v>75</v>
          </cell>
          <cell r="W686">
            <v>0</v>
          </cell>
          <cell r="X686">
            <v>0</v>
          </cell>
          <cell r="Y686">
            <v>0</v>
          </cell>
          <cell r="Z686">
            <v>0</v>
          </cell>
          <cell r="AA686">
            <v>26223.8</v>
          </cell>
        </row>
        <row r="687">
          <cell r="A687" t="str">
            <v>Aluminum Company of America</v>
          </cell>
          <cell r="B687">
            <v>37408</v>
          </cell>
          <cell r="C687">
            <v>228344</v>
          </cell>
          <cell r="D687">
            <v>175000</v>
          </cell>
          <cell r="E687">
            <v>53344</v>
          </cell>
          <cell r="F687">
            <v>0</v>
          </cell>
          <cell r="G687">
            <v>226000</v>
          </cell>
          <cell r="H687">
            <v>175000</v>
          </cell>
          <cell r="I687">
            <v>51000</v>
          </cell>
          <cell r="J687">
            <v>0</v>
          </cell>
          <cell r="K687">
            <v>22886</v>
          </cell>
          <cell r="L687">
            <v>0</v>
          </cell>
          <cell r="M687">
            <v>75</v>
          </cell>
          <cell r="N687">
            <v>0</v>
          </cell>
          <cell r="O687">
            <v>0</v>
          </cell>
          <cell r="P687">
            <v>0</v>
          </cell>
          <cell r="Q687">
            <v>0</v>
          </cell>
          <cell r="R687">
            <v>0</v>
          </cell>
          <cell r="S687">
            <v>0</v>
          </cell>
          <cell r="T687">
            <v>0</v>
          </cell>
          <cell r="U687">
            <v>1797</v>
          </cell>
          <cell r="V687">
            <v>75</v>
          </cell>
          <cell r="W687">
            <v>0</v>
          </cell>
          <cell r="X687">
            <v>15595.69</v>
          </cell>
          <cell r="Y687">
            <v>0</v>
          </cell>
          <cell r="Z687">
            <v>0</v>
          </cell>
          <cell r="AA687">
            <v>40428.69</v>
          </cell>
        </row>
        <row r="688">
          <cell r="A688" t="str">
            <v>Aluminum Company of America</v>
          </cell>
          <cell r="B688">
            <v>37438</v>
          </cell>
          <cell r="C688">
            <v>229223</v>
          </cell>
          <cell r="D688">
            <v>175000</v>
          </cell>
          <cell r="E688">
            <v>54223</v>
          </cell>
          <cell r="F688">
            <v>0</v>
          </cell>
          <cell r="G688">
            <v>233200</v>
          </cell>
          <cell r="H688">
            <v>175000</v>
          </cell>
          <cell r="I688">
            <v>58200</v>
          </cell>
          <cell r="J688">
            <v>0</v>
          </cell>
          <cell r="K688">
            <v>23325.200000000001</v>
          </cell>
          <cell r="L688">
            <v>0</v>
          </cell>
          <cell r="M688">
            <v>75</v>
          </cell>
          <cell r="N688">
            <v>0</v>
          </cell>
          <cell r="O688">
            <v>0</v>
          </cell>
          <cell r="P688">
            <v>0</v>
          </cell>
          <cell r="Q688">
            <v>0</v>
          </cell>
          <cell r="R688">
            <v>0</v>
          </cell>
          <cell r="S688">
            <v>0</v>
          </cell>
          <cell r="T688">
            <v>0</v>
          </cell>
          <cell r="U688">
            <v>1797</v>
          </cell>
          <cell r="V688">
            <v>75</v>
          </cell>
          <cell r="W688">
            <v>0</v>
          </cell>
          <cell r="X688">
            <v>0</v>
          </cell>
          <cell r="Y688">
            <v>0</v>
          </cell>
          <cell r="Z688">
            <v>0</v>
          </cell>
          <cell r="AA688">
            <v>25272.2</v>
          </cell>
        </row>
        <row r="689">
          <cell r="A689" t="str">
            <v>GE</v>
          </cell>
          <cell r="B689">
            <v>37104</v>
          </cell>
          <cell r="C689">
            <v>389729</v>
          </cell>
          <cell r="D689">
            <v>175000</v>
          </cell>
          <cell r="E689">
            <v>175000</v>
          </cell>
          <cell r="F689">
            <v>39729</v>
          </cell>
          <cell r="G689">
            <v>399993</v>
          </cell>
          <cell r="H689">
            <v>175000</v>
          </cell>
          <cell r="I689">
            <v>175000</v>
          </cell>
          <cell r="J689">
            <v>49993</v>
          </cell>
          <cell r="K689">
            <v>32399.39</v>
          </cell>
          <cell r="L689">
            <v>0</v>
          </cell>
          <cell r="M689">
            <v>75</v>
          </cell>
          <cell r="N689">
            <v>0</v>
          </cell>
          <cell r="O689">
            <v>0</v>
          </cell>
          <cell r="P689">
            <v>0</v>
          </cell>
          <cell r="Q689">
            <v>0</v>
          </cell>
          <cell r="R689">
            <v>0</v>
          </cell>
          <cell r="S689">
            <v>0</v>
          </cell>
          <cell r="T689">
            <v>0</v>
          </cell>
          <cell r="U689">
            <v>3170</v>
          </cell>
          <cell r="V689">
            <v>75</v>
          </cell>
          <cell r="W689">
            <v>0</v>
          </cell>
          <cell r="X689">
            <v>0</v>
          </cell>
          <cell r="Y689">
            <v>0</v>
          </cell>
          <cell r="Z689">
            <v>0</v>
          </cell>
          <cell r="AA689">
            <v>35719.39</v>
          </cell>
        </row>
        <row r="690">
          <cell r="A690" t="str">
            <v>GE</v>
          </cell>
          <cell r="B690">
            <v>37135</v>
          </cell>
          <cell r="C690">
            <v>346077</v>
          </cell>
          <cell r="D690">
            <v>175000</v>
          </cell>
          <cell r="E690">
            <v>171077</v>
          </cell>
          <cell r="F690">
            <v>0</v>
          </cell>
          <cell r="G690">
            <v>399990</v>
          </cell>
          <cell r="H690">
            <v>175000</v>
          </cell>
          <cell r="I690">
            <v>175000</v>
          </cell>
          <cell r="J690">
            <v>49990</v>
          </cell>
          <cell r="K690">
            <v>32399.61</v>
          </cell>
          <cell r="L690">
            <v>0</v>
          </cell>
          <cell r="M690">
            <v>75</v>
          </cell>
          <cell r="N690">
            <v>0</v>
          </cell>
          <cell r="O690">
            <v>0</v>
          </cell>
          <cell r="P690">
            <v>0</v>
          </cell>
          <cell r="Q690">
            <v>0</v>
          </cell>
          <cell r="R690">
            <v>0</v>
          </cell>
          <cell r="S690">
            <v>0</v>
          </cell>
          <cell r="T690">
            <v>0</v>
          </cell>
          <cell r="U690">
            <v>6390</v>
          </cell>
          <cell r="V690">
            <v>75</v>
          </cell>
          <cell r="W690">
            <v>0</v>
          </cell>
          <cell r="X690">
            <v>0</v>
          </cell>
          <cell r="Y690">
            <v>0</v>
          </cell>
          <cell r="Z690">
            <v>0</v>
          </cell>
          <cell r="AA690">
            <v>38939.61</v>
          </cell>
        </row>
        <row r="691">
          <cell r="A691" t="str">
            <v>GE</v>
          </cell>
          <cell r="B691">
            <v>37165</v>
          </cell>
          <cell r="C691">
            <v>453627</v>
          </cell>
          <cell r="D691">
            <v>175000</v>
          </cell>
          <cell r="E691">
            <v>175000</v>
          </cell>
          <cell r="F691">
            <v>103627</v>
          </cell>
          <cell r="G691">
            <v>297209</v>
          </cell>
          <cell r="H691">
            <v>175000</v>
          </cell>
          <cell r="I691">
            <v>122209</v>
          </cell>
          <cell r="J691">
            <v>0</v>
          </cell>
          <cell r="K691">
            <v>27229.75</v>
          </cell>
          <cell r="L691">
            <v>0</v>
          </cell>
          <cell r="M691">
            <v>75</v>
          </cell>
          <cell r="N691">
            <v>0</v>
          </cell>
          <cell r="O691">
            <v>0</v>
          </cell>
          <cell r="P691">
            <v>0</v>
          </cell>
          <cell r="Q691">
            <v>0</v>
          </cell>
          <cell r="R691">
            <v>0</v>
          </cell>
          <cell r="S691">
            <v>0</v>
          </cell>
          <cell r="T691">
            <v>0</v>
          </cell>
          <cell r="U691">
            <v>3240</v>
          </cell>
          <cell r="V691">
            <v>75</v>
          </cell>
          <cell r="W691">
            <v>0</v>
          </cell>
          <cell r="X691">
            <v>0</v>
          </cell>
          <cell r="Y691">
            <v>0</v>
          </cell>
          <cell r="Z691">
            <v>0</v>
          </cell>
          <cell r="AA691">
            <v>30619.75</v>
          </cell>
        </row>
        <row r="692">
          <cell r="A692" t="str">
            <v>GE</v>
          </cell>
          <cell r="B692">
            <v>37196</v>
          </cell>
          <cell r="C692">
            <v>489550</v>
          </cell>
          <cell r="D692">
            <v>175000</v>
          </cell>
          <cell r="E692">
            <v>175000</v>
          </cell>
          <cell r="F692">
            <v>139550</v>
          </cell>
          <cell r="G692">
            <v>493000</v>
          </cell>
          <cell r="H692">
            <v>175000</v>
          </cell>
          <cell r="I692">
            <v>175000</v>
          </cell>
          <cell r="J692">
            <v>143000</v>
          </cell>
          <cell r="K692">
            <v>36027</v>
          </cell>
          <cell r="L692">
            <v>0</v>
          </cell>
          <cell r="M692">
            <v>75</v>
          </cell>
          <cell r="N692">
            <v>0</v>
          </cell>
          <cell r="O692">
            <v>0</v>
          </cell>
          <cell r="P692">
            <v>0</v>
          </cell>
          <cell r="Q692">
            <v>0</v>
          </cell>
          <cell r="R692">
            <v>0</v>
          </cell>
          <cell r="S692">
            <v>0</v>
          </cell>
          <cell r="T692">
            <v>0</v>
          </cell>
          <cell r="U692">
            <v>2995</v>
          </cell>
          <cell r="V692">
            <v>75</v>
          </cell>
          <cell r="W692">
            <v>0</v>
          </cell>
          <cell r="X692">
            <v>0</v>
          </cell>
          <cell r="Y692">
            <v>0</v>
          </cell>
          <cell r="Z692">
            <v>0</v>
          </cell>
          <cell r="AA692">
            <v>39172</v>
          </cell>
        </row>
        <row r="693">
          <cell r="A693" t="str">
            <v>GE</v>
          </cell>
          <cell r="B693">
            <v>37226</v>
          </cell>
          <cell r="C693">
            <v>566250</v>
          </cell>
          <cell r="D693">
            <v>175000</v>
          </cell>
          <cell r="E693">
            <v>175000</v>
          </cell>
          <cell r="F693">
            <v>216250</v>
          </cell>
          <cell r="G693">
            <v>579987</v>
          </cell>
          <cell r="H693">
            <v>175000</v>
          </cell>
          <cell r="I693">
            <v>175000</v>
          </cell>
          <cell r="J693">
            <v>229987</v>
          </cell>
          <cell r="K693">
            <v>39419.49</v>
          </cell>
          <cell r="L693">
            <v>0</v>
          </cell>
          <cell r="M693">
            <v>75</v>
          </cell>
          <cell r="N693">
            <v>0</v>
          </cell>
          <cell r="O693">
            <v>0</v>
          </cell>
          <cell r="P693">
            <v>0</v>
          </cell>
          <cell r="Q693">
            <v>0</v>
          </cell>
          <cell r="R693">
            <v>0</v>
          </cell>
          <cell r="S693">
            <v>0</v>
          </cell>
          <cell r="T693">
            <v>0</v>
          </cell>
          <cell r="U693">
            <v>2995</v>
          </cell>
          <cell r="V693">
            <v>75</v>
          </cell>
          <cell r="W693">
            <v>0</v>
          </cell>
          <cell r="X693">
            <v>0</v>
          </cell>
          <cell r="Y693">
            <v>0</v>
          </cell>
          <cell r="Z693">
            <v>0</v>
          </cell>
          <cell r="AA693">
            <v>42564.49</v>
          </cell>
        </row>
        <row r="694">
          <cell r="A694" t="str">
            <v>GE</v>
          </cell>
          <cell r="B694">
            <v>37257</v>
          </cell>
          <cell r="C694">
            <v>593027</v>
          </cell>
          <cell r="D694">
            <v>175000</v>
          </cell>
          <cell r="E694">
            <v>175000</v>
          </cell>
          <cell r="F694">
            <v>243027</v>
          </cell>
          <cell r="G694">
            <v>609487</v>
          </cell>
          <cell r="H694">
            <v>175000</v>
          </cell>
          <cell r="I694">
            <v>175000</v>
          </cell>
          <cell r="J694">
            <v>259487</v>
          </cell>
          <cell r="K694">
            <v>40569.99</v>
          </cell>
          <cell r="L694">
            <v>0</v>
          </cell>
          <cell r="M694">
            <v>75</v>
          </cell>
          <cell r="N694">
            <v>0</v>
          </cell>
          <cell r="O694">
            <v>0</v>
          </cell>
          <cell r="P694">
            <v>0</v>
          </cell>
          <cell r="Q694">
            <v>0</v>
          </cell>
          <cell r="R694">
            <v>0</v>
          </cell>
          <cell r="S694">
            <v>0</v>
          </cell>
          <cell r="T694">
            <v>0</v>
          </cell>
          <cell r="U694">
            <v>2995</v>
          </cell>
          <cell r="V694">
            <v>75</v>
          </cell>
          <cell r="W694">
            <v>0</v>
          </cell>
          <cell r="X694">
            <v>0</v>
          </cell>
          <cell r="Y694">
            <v>0</v>
          </cell>
          <cell r="Z694">
            <v>0</v>
          </cell>
          <cell r="AA694">
            <v>43714.99</v>
          </cell>
        </row>
        <row r="695">
          <cell r="A695" t="str">
            <v>GE</v>
          </cell>
          <cell r="B695">
            <v>37288</v>
          </cell>
          <cell r="C695">
            <v>489335</v>
          </cell>
          <cell r="D695">
            <v>175000</v>
          </cell>
          <cell r="E695">
            <v>175000</v>
          </cell>
          <cell r="F695">
            <v>139335</v>
          </cell>
          <cell r="G695">
            <v>524992</v>
          </cell>
          <cell r="H695">
            <v>175000</v>
          </cell>
          <cell r="I695">
            <v>175000</v>
          </cell>
          <cell r="J695">
            <v>174992</v>
          </cell>
          <cell r="K695">
            <v>37274.69</v>
          </cell>
          <cell r="L695">
            <v>0</v>
          </cell>
          <cell r="M695">
            <v>75</v>
          </cell>
          <cell r="N695">
            <v>0</v>
          </cell>
          <cell r="O695">
            <v>0</v>
          </cell>
          <cell r="P695">
            <v>0</v>
          </cell>
          <cell r="Q695">
            <v>0</v>
          </cell>
          <cell r="R695">
            <v>0</v>
          </cell>
          <cell r="S695">
            <v>524992</v>
          </cell>
          <cell r="T695">
            <v>-524.99</v>
          </cell>
          <cell r="U695">
            <v>2995</v>
          </cell>
          <cell r="V695">
            <v>75</v>
          </cell>
          <cell r="W695">
            <v>0</v>
          </cell>
          <cell r="X695">
            <v>0</v>
          </cell>
          <cell r="Y695">
            <v>0</v>
          </cell>
          <cell r="Z695">
            <v>0</v>
          </cell>
          <cell r="AA695">
            <v>39894.699999999997</v>
          </cell>
        </row>
        <row r="696">
          <cell r="A696" t="str">
            <v>GE</v>
          </cell>
          <cell r="B696">
            <v>37316</v>
          </cell>
          <cell r="C696">
            <v>406663</v>
          </cell>
          <cell r="D696">
            <v>175000</v>
          </cell>
          <cell r="E696">
            <v>175000</v>
          </cell>
          <cell r="F696">
            <v>56663</v>
          </cell>
          <cell r="G696">
            <v>389987</v>
          </cell>
          <cell r="H696">
            <v>175000</v>
          </cell>
          <cell r="I696">
            <v>175000</v>
          </cell>
          <cell r="J696">
            <v>39987</v>
          </cell>
          <cell r="K696">
            <v>32009.49</v>
          </cell>
          <cell r="L696">
            <v>0</v>
          </cell>
          <cell r="M696">
            <v>75</v>
          </cell>
          <cell r="N696">
            <v>0</v>
          </cell>
          <cell r="O696">
            <v>0</v>
          </cell>
          <cell r="P696">
            <v>0</v>
          </cell>
          <cell r="Q696">
            <v>0</v>
          </cell>
          <cell r="R696">
            <v>0</v>
          </cell>
          <cell r="S696">
            <v>389987</v>
          </cell>
          <cell r="T696">
            <v>-389.99</v>
          </cell>
          <cell r="U696">
            <v>2995</v>
          </cell>
          <cell r="V696">
            <v>75</v>
          </cell>
          <cell r="W696">
            <v>0</v>
          </cell>
          <cell r="X696">
            <v>0</v>
          </cell>
          <cell r="Y696">
            <v>0</v>
          </cell>
          <cell r="Z696">
            <v>0</v>
          </cell>
          <cell r="AA696">
            <v>34764.5</v>
          </cell>
        </row>
        <row r="697">
          <cell r="A697" t="str">
            <v>GE</v>
          </cell>
          <cell r="B697">
            <v>37347</v>
          </cell>
          <cell r="C697">
            <v>435765</v>
          </cell>
          <cell r="D697">
            <v>175000</v>
          </cell>
          <cell r="E697">
            <v>175000</v>
          </cell>
          <cell r="F697">
            <v>85765</v>
          </cell>
          <cell r="G697">
            <v>441000</v>
          </cell>
          <cell r="H697">
            <v>175000</v>
          </cell>
          <cell r="I697">
            <v>175000</v>
          </cell>
          <cell r="J697">
            <v>91000</v>
          </cell>
          <cell r="K697">
            <v>33999</v>
          </cell>
          <cell r="L697">
            <v>0</v>
          </cell>
          <cell r="M697">
            <v>75</v>
          </cell>
          <cell r="N697">
            <v>0</v>
          </cell>
          <cell r="O697">
            <v>0</v>
          </cell>
          <cell r="P697">
            <v>0</v>
          </cell>
          <cell r="Q697">
            <v>0</v>
          </cell>
          <cell r="R697">
            <v>0</v>
          </cell>
          <cell r="S697">
            <v>441000</v>
          </cell>
          <cell r="T697">
            <v>-441</v>
          </cell>
          <cell r="U697">
            <v>2995</v>
          </cell>
          <cell r="V697">
            <v>75</v>
          </cell>
          <cell r="W697">
            <v>0</v>
          </cell>
          <cell r="X697">
            <v>0</v>
          </cell>
          <cell r="Y697">
            <v>0</v>
          </cell>
          <cell r="Z697">
            <v>0</v>
          </cell>
          <cell r="AA697">
            <v>36703</v>
          </cell>
        </row>
        <row r="698">
          <cell r="A698" t="str">
            <v>GE</v>
          </cell>
          <cell r="B698">
            <v>37377</v>
          </cell>
          <cell r="C698">
            <v>448313</v>
          </cell>
          <cell r="D698">
            <v>175000</v>
          </cell>
          <cell r="E698">
            <v>175000</v>
          </cell>
          <cell r="F698">
            <v>98313</v>
          </cell>
          <cell r="G698">
            <v>468000</v>
          </cell>
          <cell r="H698">
            <v>175000</v>
          </cell>
          <cell r="I698">
            <v>175000</v>
          </cell>
          <cell r="J698">
            <v>118000</v>
          </cell>
          <cell r="K698">
            <v>35052</v>
          </cell>
          <cell r="L698">
            <v>0</v>
          </cell>
          <cell r="M698">
            <v>75</v>
          </cell>
          <cell r="N698">
            <v>0</v>
          </cell>
          <cell r="O698">
            <v>0</v>
          </cell>
          <cell r="P698">
            <v>0</v>
          </cell>
          <cell r="Q698">
            <v>0</v>
          </cell>
          <cell r="R698">
            <v>0</v>
          </cell>
          <cell r="S698">
            <v>0</v>
          </cell>
          <cell r="T698">
            <v>0</v>
          </cell>
          <cell r="U698">
            <v>2995</v>
          </cell>
          <cell r="V698">
            <v>75</v>
          </cell>
          <cell r="W698">
            <v>0</v>
          </cell>
          <cell r="X698">
            <v>0</v>
          </cell>
          <cell r="Y698">
            <v>0</v>
          </cell>
          <cell r="Z698">
            <v>0</v>
          </cell>
          <cell r="AA698">
            <v>38197</v>
          </cell>
        </row>
        <row r="699">
          <cell r="A699" t="str">
            <v>GE</v>
          </cell>
          <cell r="B699">
            <v>37408</v>
          </cell>
          <cell r="C699">
            <v>174217</v>
          </cell>
          <cell r="D699">
            <v>174217</v>
          </cell>
          <cell r="E699">
            <v>0</v>
          </cell>
          <cell r="F699">
            <v>0</v>
          </cell>
          <cell r="G699">
            <v>294000</v>
          </cell>
          <cell r="H699">
            <v>175000</v>
          </cell>
          <cell r="I699">
            <v>119000</v>
          </cell>
          <cell r="J699">
            <v>0</v>
          </cell>
          <cell r="K699">
            <v>27034</v>
          </cell>
          <cell r="L699">
            <v>0</v>
          </cell>
          <cell r="M699">
            <v>75</v>
          </cell>
          <cell r="N699">
            <v>0</v>
          </cell>
          <cell r="O699">
            <v>0</v>
          </cell>
          <cell r="P699">
            <v>0</v>
          </cell>
          <cell r="Q699">
            <v>0</v>
          </cell>
          <cell r="R699">
            <v>0</v>
          </cell>
          <cell r="S699">
            <v>0</v>
          </cell>
          <cell r="T699">
            <v>0</v>
          </cell>
          <cell r="U699">
            <v>8572.5</v>
          </cell>
          <cell r="V699">
            <v>75</v>
          </cell>
          <cell r="W699">
            <v>0</v>
          </cell>
          <cell r="X699">
            <v>0</v>
          </cell>
          <cell r="Y699">
            <v>0</v>
          </cell>
          <cell r="Z699">
            <v>0</v>
          </cell>
          <cell r="AA699">
            <v>35756.5</v>
          </cell>
        </row>
        <row r="700">
          <cell r="A700" t="str">
            <v>GE</v>
          </cell>
          <cell r="B700">
            <v>37438</v>
          </cell>
          <cell r="C700">
            <v>287735</v>
          </cell>
          <cell r="D700">
            <v>175000</v>
          </cell>
          <cell r="E700">
            <v>112735</v>
          </cell>
          <cell r="F700">
            <v>0</v>
          </cell>
          <cell r="G700">
            <v>310000</v>
          </cell>
          <cell r="H700">
            <v>175000</v>
          </cell>
          <cell r="I700">
            <v>135000</v>
          </cell>
          <cell r="J700">
            <v>0</v>
          </cell>
          <cell r="K700">
            <v>28010</v>
          </cell>
          <cell r="L700">
            <v>0</v>
          </cell>
          <cell r="M700">
            <v>75</v>
          </cell>
          <cell r="N700">
            <v>0</v>
          </cell>
          <cell r="O700">
            <v>0</v>
          </cell>
          <cell r="P700">
            <v>0</v>
          </cell>
          <cell r="Q700">
            <v>0</v>
          </cell>
          <cell r="R700">
            <v>0</v>
          </cell>
          <cell r="S700">
            <v>0</v>
          </cell>
          <cell r="T700">
            <v>0</v>
          </cell>
          <cell r="U700">
            <v>3800</v>
          </cell>
          <cell r="V700">
            <v>75</v>
          </cell>
          <cell r="W700">
            <v>0</v>
          </cell>
          <cell r="X700">
            <v>0</v>
          </cell>
          <cell r="Y700">
            <v>0</v>
          </cell>
          <cell r="Z700">
            <v>0</v>
          </cell>
          <cell r="AA700">
            <v>31960</v>
          </cell>
        </row>
        <row r="701">
          <cell r="A701" t="str">
            <v>Toyota Motor Manufacturing, Indiana</v>
          </cell>
          <cell r="B701">
            <v>37104</v>
          </cell>
          <cell r="C701">
            <v>32239</v>
          </cell>
          <cell r="D701">
            <v>32239</v>
          </cell>
          <cell r="E701">
            <v>0</v>
          </cell>
          <cell r="F701">
            <v>0</v>
          </cell>
          <cell r="G701">
            <v>30915</v>
          </cell>
          <cell r="H701">
            <v>30915</v>
          </cell>
          <cell r="I701">
            <v>0</v>
          </cell>
          <cell r="J701">
            <v>0</v>
          </cell>
          <cell r="K701">
            <v>3493.39</v>
          </cell>
          <cell r="L701">
            <v>0</v>
          </cell>
          <cell r="M701">
            <v>75</v>
          </cell>
          <cell r="N701">
            <v>0</v>
          </cell>
          <cell r="O701">
            <v>0</v>
          </cell>
          <cell r="P701">
            <v>0</v>
          </cell>
          <cell r="Q701">
            <v>0</v>
          </cell>
          <cell r="R701">
            <v>0</v>
          </cell>
          <cell r="S701">
            <v>0</v>
          </cell>
          <cell r="T701">
            <v>0</v>
          </cell>
          <cell r="U701">
            <v>0</v>
          </cell>
          <cell r="V701">
            <v>75</v>
          </cell>
          <cell r="W701">
            <v>0</v>
          </cell>
          <cell r="X701">
            <v>0</v>
          </cell>
          <cell r="Y701">
            <v>0</v>
          </cell>
          <cell r="Z701">
            <v>0</v>
          </cell>
          <cell r="AA701">
            <v>3643.39</v>
          </cell>
        </row>
        <row r="702">
          <cell r="A702" t="str">
            <v>Toyota Motor Manufacturing, Indiana</v>
          </cell>
          <cell r="B702">
            <v>37135</v>
          </cell>
          <cell r="C702">
            <v>39782</v>
          </cell>
          <cell r="D702">
            <v>39782</v>
          </cell>
          <cell r="E702">
            <v>0</v>
          </cell>
          <cell r="F702">
            <v>0</v>
          </cell>
          <cell r="G702">
            <v>45750</v>
          </cell>
          <cell r="H702">
            <v>45750</v>
          </cell>
          <cell r="I702">
            <v>0</v>
          </cell>
          <cell r="J702">
            <v>0</v>
          </cell>
          <cell r="K702">
            <v>5169.75</v>
          </cell>
          <cell r="L702">
            <v>0</v>
          </cell>
          <cell r="M702">
            <v>75</v>
          </cell>
          <cell r="N702">
            <v>0</v>
          </cell>
          <cell r="O702">
            <v>0</v>
          </cell>
          <cell r="P702">
            <v>0</v>
          </cell>
          <cell r="Q702">
            <v>0</v>
          </cell>
          <cell r="R702">
            <v>0</v>
          </cell>
          <cell r="S702">
            <v>0</v>
          </cell>
          <cell r="T702">
            <v>0</v>
          </cell>
          <cell r="U702">
            <v>0</v>
          </cell>
          <cell r="V702">
            <v>75</v>
          </cell>
          <cell r="W702">
            <v>0</v>
          </cell>
          <cell r="X702">
            <v>0</v>
          </cell>
          <cell r="Y702">
            <v>0</v>
          </cell>
          <cell r="Z702">
            <v>0</v>
          </cell>
          <cell r="AA702">
            <v>5319.75</v>
          </cell>
        </row>
        <row r="703">
          <cell r="A703" t="str">
            <v>Toyota Motor Manufacturing, Indiana</v>
          </cell>
          <cell r="B703">
            <v>37165</v>
          </cell>
          <cell r="C703">
            <v>65140</v>
          </cell>
          <cell r="D703">
            <v>65140</v>
          </cell>
          <cell r="E703">
            <v>0</v>
          </cell>
          <cell r="F703">
            <v>0</v>
          </cell>
          <cell r="G703">
            <v>60667</v>
          </cell>
          <cell r="H703">
            <v>60667</v>
          </cell>
          <cell r="I703">
            <v>0</v>
          </cell>
          <cell r="J703">
            <v>0</v>
          </cell>
          <cell r="K703">
            <v>6855.37</v>
          </cell>
          <cell r="L703">
            <v>0</v>
          </cell>
          <cell r="M703">
            <v>75</v>
          </cell>
          <cell r="N703">
            <v>0</v>
          </cell>
          <cell r="O703">
            <v>0</v>
          </cell>
          <cell r="P703">
            <v>0</v>
          </cell>
          <cell r="Q703">
            <v>0</v>
          </cell>
          <cell r="R703">
            <v>0</v>
          </cell>
          <cell r="S703">
            <v>0</v>
          </cell>
          <cell r="T703">
            <v>0</v>
          </cell>
          <cell r="U703">
            <v>0</v>
          </cell>
          <cell r="V703">
            <v>75</v>
          </cell>
          <cell r="W703">
            <v>0</v>
          </cell>
          <cell r="X703">
            <v>0</v>
          </cell>
          <cell r="Y703">
            <v>0</v>
          </cell>
          <cell r="Z703">
            <v>0</v>
          </cell>
          <cell r="AA703">
            <v>7005.37</v>
          </cell>
        </row>
        <row r="704">
          <cell r="A704" t="str">
            <v>Toyota Motor Manufacturing, Indiana</v>
          </cell>
          <cell r="B704">
            <v>37196</v>
          </cell>
          <cell r="C704">
            <v>63547</v>
          </cell>
          <cell r="D704">
            <v>63547</v>
          </cell>
          <cell r="E704">
            <v>0</v>
          </cell>
          <cell r="F704">
            <v>0</v>
          </cell>
          <cell r="G704">
            <v>89000</v>
          </cell>
          <cell r="H704">
            <v>89000</v>
          </cell>
          <cell r="I704">
            <v>0</v>
          </cell>
          <cell r="J704">
            <v>0</v>
          </cell>
          <cell r="K704">
            <v>10057</v>
          </cell>
          <cell r="L704">
            <v>0</v>
          </cell>
          <cell r="M704">
            <v>75</v>
          </cell>
          <cell r="N704">
            <v>0</v>
          </cell>
          <cell r="O704">
            <v>0</v>
          </cell>
          <cell r="P704">
            <v>0</v>
          </cell>
          <cell r="Q704">
            <v>0</v>
          </cell>
          <cell r="R704">
            <v>0</v>
          </cell>
          <cell r="S704">
            <v>0</v>
          </cell>
          <cell r="T704">
            <v>0</v>
          </cell>
          <cell r="U704">
            <v>0</v>
          </cell>
          <cell r="V704">
            <v>75</v>
          </cell>
          <cell r="W704">
            <v>0</v>
          </cell>
          <cell r="X704">
            <v>0</v>
          </cell>
          <cell r="Y704">
            <v>0</v>
          </cell>
          <cell r="Z704">
            <v>0</v>
          </cell>
          <cell r="AA704">
            <v>10207</v>
          </cell>
        </row>
        <row r="705">
          <cell r="A705" t="str">
            <v>Toyota Motor Manufacturing, Indiana</v>
          </cell>
          <cell r="B705">
            <v>37226</v>
          </cell>
          <cell r="C705">
            <v>65705</v>
          </cell>
          <cell r="D705">
            <v>65705</v>
          </cell>
          <cell r="E705">
            <v>0</v>
          </cell>
          <cell r="F705">
            <v>0</v>
          </cell>
          <cell r="G705">
            <v>64990</v>
          </cell>
          <cell r="H705">
            <v>64990</v>
          </cell>
          <cell r="I705">
            <v>0</v>
          </cell>
          <cell r="J705">
            <v>0</v>
          </cell>
          <cell r="K705">
            <v>7343.87</v>
          </cell>
          <cell r="L705">
            <v>0</v>
          </cell>
          <cell r="M705">
            <v>75</v>
          </cell>
          <cell r="N705">
            <v>0</v>
          </cell>
          <cell r="O705">
            <v>0</v>
          </cell>
          <cell r="P705">
            <v>0</v>
          </cell>
          <cell r="Q705">
            <v>0</v>
          </cell>
          <cell r="R705">
            <v>0</v>
          </cell>
          <cell r="S705">
            <v>0</v>
          </cell>
          <cell r="T705">
            <v>0</v>
          </cell>
          <cell r="U705">
            <v>0</v>
          </cell>
          <cell r="V705">
            <v>75</v>
          </cell>
          <cell r="W705">
            <v>0</v>
          </cell>
          <cell r="X705">
            <v>0</v>
          </cell>
          <cell r="Y705">
            <v>0</v>
          </cell>
          <cell r="Z705">
            <v>0</v>
          </cell>
          <cell r="AA705">
            <v>7493.87</v>
          </cell>
        </row>
        <row r="706">
          <cell r="A706" t="str">
            <v>Toyota Motor Manufacturing, Indiana</v>
          </cell>
          <cell r="B706">
            <v>37257</v>
          </cell>
          <cell r="C706">
            <v>111541</v>
          </cell>
          <cell r="D706">
            <v>111541</v>
          </cell>
          <cell r="E706">
            <v>0</v>
          </cell>
          <cell r="F706">
            <v>0</v>
          </cell>
          <cell r="G706">
            <v>99742</v>
          </cell>
          <cell r="H706">
            <v>99742</v>
          </cell>
          <cell r="I706">
            <v>0</v>
          </cell>
          <cell r="J706">
            <v>0</v>
          </cell>
          <cell r="K706">
            <v>11270.85</v>
          </cell>
          <cell r="L706">
            <v>0</v>
          </cell>
          <cell r="M706">
            <v>75</v>
          </cell>
          <cell r="N706">
            <v>0</v>
          </cell>
          <cell r="O706">
            <v>0</v>
          </cell>
          <cell r="P706">
            <v>0</v>
          </cell>
          <cell r="Q706">
            <v>0</v>
          </cell>
          <cell r="R706">
            <v>0</v>
          </cell>
          <cell r="S706">
            <v>0</v>
          </cell>
          <cell r="T706">
            <v>0</v>
          </cell>
          <cell r="U706">
            <v>0</v>
          </cell>
          <cell r="V706">
            <v>75</v>
          </cell>
          <cell r="W706">
            <v>0</v>
          </cell>
          <cell r="X706">
            <v>0</v>
          </cell>
          <cell r="Y706">
            <v>0</v>
          </cell>
          <cell r="Z706">
            <v>0</v>
          </cell>
          <cell r="AA706">
            <v>11420.85</v>
          </cell>
        </row>
        <row r="707">
          <cell r="A707" t="str">
            <v>Toyota Motor Manufacturing, Indiana</v>
          </cell>
          <cell r="B707">
            <v>37288</v>
          </cell>
          <cell r="C707">
            <v>115501</v>
          </cell>
          <cell r="D707">
            <v>115501</v>
          </cell>
          <cell r="E707">
            <v>0</v>
          </cell>
          <cell r="F707">
            <v>0</v>
          </cell>
          <cell r="G707">
            <v>104874</v>
          </cell>
          <cell r="H707">
            <v>104874</v>
          </cell>
          <cell r="I707">
            <v>0</v>
          </cell>
          <cell r="J707">
            <v>0</v>
          </cell>
          <cell r="K707">
            <v>11850.76</v>
          </cell>
          <cell r="L707">
            <v>0</v>
          </cell>
          <cell r="M707">
            <v>75</v>
          </cell>
          <cell r="N707">
            <v>0</v>
          </cell>
          <cell r="O707">
            <v>0</v>
          </cell>
          <cell r="P707">
            <v>0</v>
          </cell>
          <cell r="Q707">
            <v>0</v>
          </cell>
          <cell r="R707">
            <v>0</v>
          </cell>
          <cell r="S707">
            <v>104874</v>
          </cell>
          <cell r="T707">
            <v>-104.87</v>
          </cell>
          <cell r="U707">
            <v>0</v>
          </cell>
          <cell r="V707">
            <v>75</v>
          </cell>
          <cell r="W707">
            <v>0</v>
          </cell>
          <cell r="X707">
            <v>-7493.87</v>
          </cell>
          <cell r="Y707">
            <v>0</v>
          </cell>
          <cell r="Z707">
            <v>0</v>
          </cell>
          <cell r="AA707">
            <v>4402.0200000000004</v>
          </cell>
        </row>
        <row r="708">
          <cell r="A708" t="str">
            <v>Toyota Motor Manufacturing, Indiana</v>
          </cell>
          <cell r="B708">
            <v>37316</v>
          </cell>
          <cell r="C708">
            <v>97593</v>
          </cell>
          <cell r="D708">
            <v>97593</v>
          </cell>
          <cell r="E708">
            <v>0</v>
          </cell>
          <cell r="F708">
            <v>0</v>
          </cell>
          <cell r="G708">
            <v>96645</v>
          </cell>
          <cell r="H708">
            <v>96645</v>
          </cell>
          <cell r="I708">
            <v>0</v>
          </cell>
          <cell r="J708">
            <v>0</v>
          </cell>
          <cell r="K708">
            <v>10920.88</v>
          </cell>
          <cell r="L708">
            <v>0</v>
          </cell>
          <cell r="M708">
            <v>75</v>
          </cell>
          <cell r="N708">
            <v>0</v>
          </cell>
          <cell r="O708">
            <v>0</v>
          </cell>
          <cell r="P708">
            <v>0</v>
          </cell>
          <cell r="Q708">
            <v>0</v>
          </cell>
          <cell r="R708">
            <v>0</v>
          </cell>
          <cell r="S708">
            <v>96645</v>
          </cell>
          <cell r="T708">
            <v>-96.64</v>
          </cell>
          <cell r="U708">
            <v>0</v>
          </cell>
          <cell r="V708">
            <v>75</v>
          </cell>
          <cell r="W708">
            <v>0</v>
          </cell>
          <cell r="X708">
            <v>0</v>
          </cell>
          <cell r="Y708">
            <v>0</v>
          </cell>
          <cell r="Z708">
            <v>0</v>
          </cell>
          <cell r="AA708">
            <v>10974.24</v>
          </cell>
        </row>
        <row r="709">
          <cell r="A709" t="str">
            <v>Toyota Motor Manufacturing, Indiana</v>
          </cell>
          <cell r="B709">
            <v>37347</v>
          </cell>
          <cell r="C709">
            <v>61665</v>
          </cell>
          <cell r="D709">
            <v>61665</v>
          </cell>
          <cell r="E709">
            <v>0</v>
          </cell>
          <cell r="F709">
            <v>0</v>
          </cell>
          <cell r="G709">
            <v>79621</v>
          </cell>
          <cell r="H709">
            <v>79621</v>
          </cell>
          <cell r="I709">
            <v>0</v>
          </cell>
          <cell r="J709">
            <v>0</v>
          </cell>
          <cell r="K709">
            <v>8997.17</v>
          </cell>
          <cell r="L709">
            <v>0</v>
          </cell>
          <cell r="M709">
            <v>75</v>
          </cell>
          <cell r="N709">
            <v>0</v>
          </cell>
          <cell r="O709">
            <v>0</v>
          </cell>
          <cell r="P709">
            <v>0</v>
          </cell>
          <cell r="Q709">
            <v>0</v>
          </cell>
          <cell r="R709">
            <v>0</v>
          </cell>
          <cell r="S709">
            <v>79621</v>
          </cell>
          <cell r="T709">
            <v>-79.62</v>
          </cell>
          <cell r="U709">
            <v>0</v>
          </cell>
          <cell r="V709">
            <v>75</v>
          </cell>
          <cell r="W709">
            <v>0</v>
          </cell>
          <cell r="X709">
            <v>0</v>
          </cell>
          <cell r="Y709">
            <v>0</v>
          </cell>
          <cell r="Z709">
            <v>0</v>
          </cell>
          <cell r="AA709">
            <v>9067.5499999999993</v>
          </cell>
        </row>
        <row r="710">
          <cell r="A710" t="str">
            <v>Toyota Motor Manufacturing, Indiana</v>
          </cell>
          <cell r="B710">
            <v>37377</v>
          </cell>
          <cell r="C710">
            <v>57765</v>
          </cell>
          <cell r="D710">
            <v>57765</v>
          </cell>
          <cell r="E710">
            <v>0</v>
          </cell>
          <cell r="F710">
            <v>0</v>
          </cell>
          <cell r="G710">
            <v>42320</v>
          </cell>
          <cell r="H710">
            <v>42320</v>
          </cell>
          <cell r="I710">
            <v>0</v>
          </cell>
          <cell r="J710">
            <v>0</v>
          </cell>
          <cell r="K710">
            <v>4782.16</v>
          </cell>
          <cell r="L710">
            <v>0</v>
          </cell>
          <cell r="M710">
            <v>75</v>
          </cell>
          <cell r="N710">
            <v>0</v>
          </cell>
          <cell r="O710">
            <v>0</v>
          </cell>
          <cell r="P710">
            <v>0</v>
          </cell>
          <cell r="Q710">
            <v>0</v>
          </cell>
          <cell r="R710">
            <v>0</v>
          </cell>
          <cell r="S710">
            <v>0</v>
          </cell>
          <cell r="T710">
            <v>0</v>
          </cell>
          <cell r="U710">
            <v>0</v>
          </cell>
          <cell r="V710">
            <v>75</v>
          </cell>
          <cell r="W710">
            <v>901.49</v>
          </cell>
          <cell r="X710">
            <v>28582.89</v>
          </cell>
          <cell r="Y710">
            <v>7273</v>
          </cell>
          <cell r="Z710">
            <v>28582.89</v>
          </cell>
          <cell r="AA710">
            <v>34416.54</v>
          </cell>
        </row>
        <row r="711">
          <cell r="A711" t="str">
            <v>Toyota Motor Manufacturing, Indiana</v>
          </cell>
          <cell r="B711">
            <v>37408</v>
          </cell>
          <cell r="C711">
            <v>33854</v>
          </cell>
          <cell r="D711">
            <v>33854</v>
          </cell>
          <cell r="E711">
            <v>0</v>
          </cell>
          <cell r="F711">
            <v>0</v>
          </cell>
          <cell r="G711">
            <v>59729</v>
          </cell>
          <cell r="H711">
            <v>59729</v>
          </cell>
          <cell r="I711">
            <v>0</v>
          </cell>
          <cell r="J711">
            <v>0</v>
          </cell>
          <cell r="K711">
            <v>6749.38</v>
          </cell>
          <cell r="L711">
            <v>0</v>
          </cell>
          <cell r="M711">
            <v>75</v>
          </cell>
          <cell r="N711">
            <v>0</v>
          </cell>
          <cell r="O711">
            <v>0</v>
          </cell>
          <cell r="P711">
            <v>0</v>
          </cell>
          <cell r="Q711">
            <v>0</v>
          </cell>
          <cell r="R711">
            <v>0</v>
          </cell>
          <cell r="S711">
            <v>0</v>
          </cell>
          <cell r="T711">
            <v>0</v>
          </cell>
          <cell r="U711">
            <v>0</v>
          </cell>
          <cell r="V711">
            <v>75</v>
          </cell>
          <cell r="W711">
            <v>0</v>
          </cell>
          <cell r="X711">
            <v>33515.03</v>
          </cell>
          <cell r="Y711">
            <v>0</v>
          </cell>
          <cell r="Z711">
            <v>0</v>
          </cell>
          <cell r="AA711">
            <v>40414.410000000003</v>
          </cell>
        </row>
        <row r="712">
          <cell r="A712" t="str">
            <v>Toyota Motor Manufacturing, Indiana</v>
          </cell>
          <cell r="B712">
            <v>37438</v>
          </cell>
          <cell r="C712">
            <v>26730</v>
          </cell>
          <cell r="D712">
            <v>26730</v>
          </cell>
          <cell r="E712">
            <v>0</v>
          </cell>
          <cell r="F712">
            <v>0</v>
          </cell>
          <cell r="G712">
            <v>22716</v>
          </cell>
          <cell r="H712">
            <v>22716</v>
          </cell>
          <cell r="I712">
            <v>0</v>
          </cell>
          <cell r="J712">
            <v>0</v>
          </cell>
          <cell r="K712">
            <v>2566.91</v>
          </cell>
          <cell r="L712">
            <v>0</v>
          </cell>
          <cell r="M712">
            <v>75</v>
          </cell>
          <cell r="N712">
            <v>0</v>
          </cell>
          <cell r="O712">
            <v>0</v>
          </cell>
          <cell r="P712">
            <v>0</v>
          </cell>
          <cell r="Q712">
            <v>0</v>
          </cell>
          <cell r="R712">
            <v>0</v>
          </cell>
          <cell r="S712">
            <v>0</v>
          </cell>
          <cell r="T712">
            <v>0</v>
          </cell>
          <cell r="U712">
            <v>0</v>
          </cell>
          <cell r="V712">
            <v>75</v>
          </cell>
          <cell r="W712">
            <v>0</v>
          </cell>
          <cell r="X712">
            <v>0</v>
          </cell>
          <cell r="Y712">
            <v>0</v>
          </cell>
          <cell r="Z712">
            <v>0</v>
          </cell>
          <cell r="AA712">
            <v>2716.91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C Bill Tab"/>
      <sheetName val="RevenueReport"/>
      <sheetName val="Excluding CTs"/>
      <sheetName val="Excluding CTs &amp; Mead Johnson"/>
      <sheetName val="Volumes Excl CTs &amp; Mead Johns"/>
      <sheetName val="Rate C"/>
      <sheetName val="Rate C by Month"/>
      <sheetName val="Rate D"/>
    </sheetNames>
    <sheetDataSet>
      <sheetData sheetId="0" refreshError="1"/>
      <sheetData sheetId="1" refreshError="1">
        <row r="1">
          <cell r="A1" t="str">
            <v>CustName</v>
          </cell>
          <cell r="B1" t="str">
            <v>CustId</v>
          </cell>
          <cell r="C1" t="str">
            <v>FinMonth</v>
          </cell>
          <cell r="D1" t="str">
            <v>BillMonth</v>
          </cell>
          <cell r="E1" t="str">
            <v>Citygate</v>
          </cell>
          <cell r="F1" t="str">
            <v>CityGate</v>
          </cell>
          <cell r="G1" t="str">
            <v>Backup</v>
          </cell>
          <cell r="H1" t="str">
            <v>Transport</v>
          </cell>
          <cell r="I1" t="str">
            <v>TGTC</v>
          </cell>
          <cell r="J1" t="str">
            <v>TGTC</v>
          </cell>
          <cell r="K1" t="str">
            <v>Commod</v>
          </cell>
          <cell r="L1" t="str">
            <v>Commod $</v>
          </cell>
          <cell r="M1" t="str">
            <v>TakeOrPay</v>
          </cell>
          <cell r="N1" t="str">
            <v>Trans</v>
          </cell>
          <cell r="O1" t="str">
            <v>Trans $</v>
          </cell>
          <cell r="P1" t="str">
            <v>Storage</v>
          </cell>
          <cell r="Q1" t="str">
            <v>Service</v>
          </cell>
          <cell r="R1" t="str">
            <v>Tax</v>
          </cell>
          <cell r="S1" t="str">
            <v>Other</v>
          </cell>
          <cell r="T1" t="str">
            <v>Tariff</v>
          </cell>
          <cell r="U1" t="str">
            <v>Tariff $</v>
          </cell>
          <cell r="V1" t="str">
            <v>Total</v>
          </cell>
          <cell r="W1" t="str">
            <v>SigRev</v>
          </cell>
        </row>
        <row r="2">
          <cell r="E2" t="str">
            <v>Dth</v>
          </cell>
          <cell r="H2" t="str">
            <v>Svc. Chg.</v>
          </cell>
          <cell r="I2" t="str">
            <v>Dth</v>
          </cell>
          <cell r="K2" t="str">
            <v>Dth</v>
          </cell>
          <cell r="N2" t="str">
            <v>Dth</v>
          </cell>
          <cell r="Q2" t="str">
            <v>Charge</v>
          </cell>
          <cell r="T2" t="str">
            <v>Dth</v>
          </cell>
        </row>
        <row r="4">
          <cell r="A4" t="str">
            <v>RATE OPT</v>
          </cell>
        </row>
        <row r="5">
          <cell r="A5" t="str">
            <v>J. H. Rudolph</v>
          </cell>
          <cell r="B5">
            <v>3</v>
          </cell>
          <cell r="C5">
            <v>37257</v>
          </cell>
          <cell r="D5">
            <v>37257</v>
          </cell>
          <cell r="E5">
            <v>1000</v>
          </cell>
          <cell r="F5">
            <v>291</v>
          </cell>
          <cell r="G5">
            <v>0</v>
          </cell>
          <cell r="H5">
            <v>120</v>
          </cell>
          <cell r="I5">
            <v>0</v>
          </cell>
          <cell r="J5">
            <v>0</v>
          </cell>
          <cell r="K5">
            <v>0</v>
          </cell>
          <cell r="L5">
            <v>0</v>
          </cell>
          <cell r="M5">
            <v>0</v>
          </cell>
          <cell r="N5">
            <v>1000</v>
          </cell>
          <cell r="O5">
            <v>3</v>
          </cell>
          <cell r="P5">
            <v>0</v>
          </cell>
          <cell r="Q5">
            <v>19</v>
          </cell>
          <cell r="R5">
            <v>0.95</v>
          </cell>
          <cell r="S5">
            <v>0</v>
          </cell>
          <cell r="T5">
            <v>0</v>
          </cell>
          <cell r="U5">
            <v>0</v>
          </cell>
          <cell r="V5">
            <v>433.95</v>
          </cell>
          <cell r="W5">
            <v>414</v>
          </cell>
        </row>
        <row r="6">
          <cell r="A6" t="str">
            <v>J. H. Rudolph</v>
          </cell>
          <cell r="B6">
            <v>3</v>
          </cell>
          <cell r="C6">
            <v>37288</v>
          </cell>
          <cell r="D6">
            <v>37288</v>
          </cell>
          <cell r="E6">
            <v>1000</v>
          </cell>
          <cell r="F6">
            <v>291</v>
          </cell>
          <cell r="G6">
            <v>0</v>
          </cell>
          <cell r="H6">
            <v>120</v>
          </cell>
          <cell r="I6">
            <v>0</v>
          </cell>
          <cell r="J6">
            <v>0</v>
          </cell>
          <cell r="K6">
            <v>0</v>
          </cell>
          <cell r="L6">
            <v>0</v>
          </cell>
          <cell r="M6">
            <v>0</v>
          </cell>
          <cell r="N6">
            <v>1000</v>
          </cell>
          <cell r="O6">
            <v>-1</v>
          </cell>
          <cell r="P6">
            <v>0</v>
          </cell>
          <cell r="Q6">
            <v>19</v>
          </cell>
          <cell r="R6">
            <v>0.95</v>
          </cell>
          <cell r="S6">
            <v>0</v>
          </cell>
          <cell r="T6">
            <v>0</v>
          </cell>
          <cell r="U6">
            <v>0</v>
          </cell>
          <cell r="V6">
            <v>429.95</v>
          </cell>
          <cell r="W6">
            <v>410</v>
          </cell>
        </row>
        <row r="7">
          <cell r="A7" t="str">
            <v>J. H. Rudolph</v>
          </cell>
          <cell r="B7">
            <v>3</v>
          </cell>
          <cell r="C7">
            <v>37316</v>
          </cell>
          <cell r="D7">
            <v>37316</v>
          </cell>
          <cell r="E7">
            <v>2015</v>
          </cell>
          <cell r="F7">
            <v>586.36</v>
          </cell>
          <cell r="G7">
            <v>0</v>
          </cell>
          <cell r="H7">
            <v>120</v>
          </cell>
          <cell r="I7">
            <v>0</v>
          </cell>
          <cell r="J7">
            <v>0</v>
          </cell>
          <cell r="K7">
            <v>0</v>
          </cell>
          <cell r="L7">
            <v>0</v>
          </cell>
          <cell r="M7">
            <v>0</v>
          </cell>
          <cell r="N7">
            <v>2015</v>
          </cell>
          <cell r="O7">
            <v>-2.02</v>
          </cell>
          <cell r="P7">
            <v>0</v>
          </cell>
          <cell r="Q7">
            <v>19</v>
          </cell>
          <cell r="R7">
            <v>0.95</v>
          </cell>
          <cell r="S7">
            <v>0</v>
          </cell>
          <cell r="T7">
            <v>0</v>
          </cell>
          <cell r="U7">
            <v>0</v>
          </cell>
          <cell r="V7">
            <v>724.29</v>
          </cell>
          <cell r="W7">
            <v>704.34</v>
          </cell>
        </row>
        <row r="8">
          <cell r="A8" t="str">
            <v>J. H. Rudolph</v>
          </cell>
          <cell r="B8">
            <v>3</v>
          </cell>
          <cell r="C8">
            <v>37347</v>
          </cell>
          <cell r="D8">
            <v>37347</v>
          </cell>
          <cell r="E8">
            <v>3500</v>
          </cell>
          <cell r="F8">
            <v>1018.5</v>
          </cell>
          <cell r="G8">
            <v>0</v>
          </cell>
          <cell r="H8">
            <v>120</v>
          </cell>
          <cell r="I8">
            <v>0</v>
          </cell>
          <cell r="J8">
            <v>0</v>
          </cell>
          <cell r="K8">
            <v>0</v>
          </cell>
          <cell r="L8">
            <v>0</v>
          </cell>
          <cell r="M8">
            <v>0</v>
          </cell>
          <cell r="N8">
            <v>3500</v>
          </cell>
          <cell r="O8">
            <v>-3.5</v>
          </cell>
          <cell r="P8">
            <v>0</v>
          </cell>
          <cell r="Q8">
            <v>19</v>
          </cell>
          <cell r="R8">
            <v>0.95</v>
          </cell>
          <cell r="S8">
            <v>0</v>
          </cell>
          <cell r="T8">
            <v>0</v>
          </cell>
          <cell r="U8">
            <v>0</v>
          </cell>
          <cell r="V8">
            <v>1154.95</v>
          </cell>
          <cell r="W8">
            <v>1135</v>
          </cell>
        </row>
        <row r="9">
          <cell r="A9" t="str">
            <v>J. H. Rudolph</v>
          </cell>
          <cell r="B9">
            <v>3</v>
          </cell>
          <cell r="C9">
            <v>37377</v>
          </cell>
          <cell r="D9">
            <v>37377</v>
          </cell>
          <cell r="E9">
            <v>9137</v>
          </cell>
          <cell r="F9">
            <v>2658.87</v>
          </cell>
          <cell r="G9">
            <v>0</v>
          </cell>
          <cell r="H9">
            <v>120</v>
          </cell>
          <cell r="I9">
            <v>0</v>
          </cell>
          <cell r="J9">
            <v>0</v>
          </cell>
          <cell r="K9">
            <v>0</v>
          </cell>
          <cell r="L9">
            <v>0</v>
          </cell>
          <cell r="M9">
            <v>0</v>
          </cell>
          <cell r="N9">
            <v>9137</v>
          </cell>
          <cell r="O9">
            <v>-9.14</v>
          </cell>
          <cell r="P9">
            <v>0</v>
          </cell>
          <cell r="Q9">
            <v>19</v>
          </cell>
          <cell r="R9">
            <v>0.95</v>
          </cell>
          <cell r="S9">
            <v>0</v>
          </cell>
          <cell r="T9">
            <v>0</v>
          </cell>
          <cell r="U9">
            <v>0</v>
          </cell>
          <cell r="V9">
            <v>2789.68</v>
          </cell>
          <cell r="W9">
            <v>2769.73</v>
          </cell>
        </row>
        <row r="10">
          <cell r="A10" t="str">
            <v>J. H. Rudolph</v>
          </cell>
          <cell r="B10">
            <v>3</v>
          </cell>
          <cell r="C10">
            <v>37408</v>
          </cell>
          <cell r="D10">
            <v>37408</v>
          </cell>
          <cell r="E10">
            <v>12000</v>
          </cell>
          <cell r="F10">
            <v>3492</v>
          </cell>
          <cell r="G10">
            <v>0</v>
          </cell>
          <cell r="H10">
            <v>120</v>
          </cell>
          <cell r="I10">
            <v>0</v>
          </cell>
          <cell r="J10">
            <v>0</v>
          </cell>
          <cell r="K10">
            <v>0</v>
          </cell>
          <cell r="L10">
            <v>0</v>
          </cell>
          <cell r="M10">
            <v>0</v>
          </cell>
          <cell r="N10">
            <v>12000</v>
          </cell>
          <cell r="O10">
            <v>-12</v>
          </cell>
          <cell r="P10">
            <v>0</v>
          </cell>
          <cell r="Q10">
            <v>19</v>
          </cell>
          <cell r="R10">
            <v>0.95</v>
          </cell>
          <cell r="S10">
            <v>0</v>
          </cell>
          <cell r="T10">
            <v>0</v>
          </cell>
          <cell r="U10">
            <v>0</v>
          </cell>
          <cell r="V10">
            <v>3619.95</v>
          </cell>
          <cell r="W10">
            <v>3600</v>
          </cell>
        </row>
        <row r="11">
          <cell r="A11" t="str">
            <v>J. H. Rudolph</v>
          </cell>
          <cell r="B11">
            <v>3</v>
          </cell>
          <cell r="C11">
            <v>37438</v>
          </cell>
          <cell r="D11">
            <v>37438</v>
          </cell>
          <cell r="E11">
            <v>16290</v>
          </cell>
          <cell r="F11">
            <v>4740.3900000000003</v>
          </cell>
          <cell r="G11">
            <v>0</v>
          </cell>
          <cell r="H11">
            <v>120</v>
          </cell>
          <cell r="I11">
            <v>0</v>
          </cell>
          <cell r="J11">
            <v>0</v>
          </cell>
          <cell r="K11">
            <v>0</v>
          </cell>
          <cell r="L11">
            <v>0</v>
          </cell>
          <cell r="M11">
            <v>0</v>
          </cell>
          <cell r="N11">
            <v>16290</v>
          </cell>
          <cell r="O11">
            <v>-16.29</v>
          </cell>
          <cell r="P11">
            <v>0</v>
          </cell>
          <cell r="Q11">
            <v>19</v>
          </cell>
          <cell r="R11">
            <v>0.95</v>
          </cell>
          <cell r="S11">
            <v>0</v>
          </cell>
          <cell r="T11">
            <v>0</v>
          </cell>
          <cell r="U11">
            <v>0</v>
          </cell>
          <cell r="V11">
            <v>4864.05</v>
          </cell>
          <cell r="W11">
            <v>4844.1000000000004</v>
          </cell>
        </row>
        <row r="12">
          <cell r="A12" t="str">
            <v>J. H. Rudolph</v>
          </cell>
          <cell r="B12">
            <v>3</v>
          </cell>
          <cell r="C12">
            <v>37469</v>
          </cell>
          <cell r="D12">
            <v>37469</v>
          </cell>
          <cell r="E12">
            <v>18000</v>
          </cell>
          <cell r="F12">
            <v>5238</v>
          </cell>
          <cell r="G12">
            <v>0</v>
          </cell>
          <cell r="H12">
            <v>120</v>
          </cell>
          <cell r="I12">
            <v>0</v>
          </cell>
          <cell r="J12">
            <v>0</v>
          </cell>
          <cell r="K12">
            <v>0</v>
          </cell>
          <cell r="L12">
            <v>0</v>
          </cell>
          <cell r="M12">
            <v>0</v>
          </cell>
          <cell r="N12">
            <v>0</v>
          </cell>
          <cell r="O12">
            <v>0</v>
          </cell>
          <cell r="P12">
            <v>0</v>
          </cell>
          <cell r="Q12">
            <v>19</v>
          </cell>
          <cell r="R12">
            <v>0.95</v>
          </cell>
          <cell r="S12">
            <v>0</v>
          </cell>
          <cell r="T12">
            <v>0</v>
          </cell>
          <cell r="U12">
            <v>0</v>
          </cell>
          <cell r="V12">
            <v>5377.95</v>
          </cell>
          <cell r="W12">
            <v>5358</v>
          </cell>
        </row>
        <row r="13">
          <cell r="A13" t="str">
            <v>J. H. Rudolph</v>
          </cell>
          <cell r="B13">
            <v>3</v>
          </cell>
          <cell r="C13">
            <v>37500</v>
          </cell>
          <cell r="D13">
            <v>37500</v>
          </cell>
          <cell r="E13">
            <v>12000</v>
          </cell>
          <cell r="F13">
            <v>3492</v>
          </cell>
          <cell r="G13">
            <v>0</v>
          </cell>
          <cell r="H13">
            <v>0</v>
          </cell>
          <cell r="I13">
            <v>0</v>
          </cell>
          <cell r="J13">
            <v>0</v>
          </cell>
          <cell r="K13">
            <v>0</v>
          </cell>
          <cell r="L13">
            <v>0</v>
          </cell>
          <cell r="M13">
            <v>0</v>
          </cell>
          <cell r="N13">
            <v>0</v>
          </cell>
          <cell r="O13">
            <v>0</v>
          </cell>
          <cell r="P13">
            <v>0</v>
          </cell>
          <cell r="Q13">
            <v>120</v>
          </cell>
          <cell r="R13">
            <v>6</v>
          </cell>
          <cell r="S13">
            <v>-228</v>
          </cell>
          <cell r="T13">
            <v>0</v>
          </cell>
          <cell r="U13">
            <v>0</v>
          </cell>
          <cell r="V13">
            <v>3390</v>
          </cell>
          <cell r="W13">
            <v>3492</v>
          </cell>
        </row>
        <row r="14">
          <cell r="A14" t="str">
            <v>J. H. Rudolph</v>
          </cell>
          <cell r="B14">
            <v>3</v>
          </cell>
          <cell r="C14">
            <v>37530</v>
          </cell>
          <cell r="D14">
            <v>37530</v>
          </cell>
          <cell r="E14">
            <v>11000</v>
          </cell>
          <cell r="F14">
            <v>3201</v>
          </cell>
          <cell r="G14">
            <v>0</v>
          </cell>
          <cell r="H14">
            <v>0</v>
          </cell>
          <cell r="I14">
            <v>0</v>
          </cell>
          <cell r="J14">
            <v>0</v>
          </cell>
          <cell r="K14">
            <v>0</v>
          </cell>
          <cell r="L14">
            <v>0</v>
          </cell>
          <cell r="M14">
            <v>0</v>
          </cell>
          <cell r="N14">
            <v>0</v>
          </cell>
          <cell r="O14">
            <v>0</v>
          </cell>
          <cell r="P14">
            <v>0</v>
          </cell>
          <cell r="Q14">
            <v>120</v>
          </cell>
          <cell r="R14">
            <v>6</v>
          </cell>
          <cell r="S14">
            <v>0</v>
          </cell>
          <cell r="T14">
            <v>0</v>
          </cell>
          <cell r="U14">
            <v>0</v>
          </cell>
          <cell r="V14">
            <v>3327</v>
          </cell>
          <cell r="W14">
            <v>3201</v>
          </cell>
        </row>
        <row r="15">
          <cell r="A15" t="str">
            <v>J. H. Rudolph</v>
          </cell>
          <cell r="B15">
            <v>3</v>
          </cell>
          <cell r="C15">
            <v>37561</v>
          </cell>
          <cell r="D15">
            <v>37561</v>
          </cell>
          <cell r="E15">
            <v>6000</v>
          </cell>
          <cell r="F15">
            <v>1746</v>
          </cell>
          <cell r="G15">
            <v>0</v>
          </cell>
          <cell r="H15">
            <v>0</v>
          </cell>
          <cell r="I15">
            <v>0</v>
          </cell>
          <cell r="J15">
            <v>0</v>
          </cell>
          <cell r="K15">
            <v>0</v>
          </cell>
          <cell r="L15">
            <v>0</v>
          </cell>
          <cell r="M15">
            <v>0</v>
          </cell>
          <cell r="N15">
            <v>0</v>
          </cell>
          <cell r="O15">
            <v>0</v>
          </cell>
          <cell r="P15">
            <v>0</v>
          </cell>
          <cell r="Q15">
            <v>120</v>
          </cell>
          <cell r="R15">
            <v>6</v>
          </cell>
          <cell r="S15">
            <v>0</v>
          </cell>
          <cell r="T15">
            <v>0</v>
          </cell>
          <cell r="U15">
            <v>0</v>
          </cell>
          <cell r="V15">
            <v>1872</v>
          </cell>
          <cell r="W15">
            <v>1746</v>
          </cell>
        </row>
        <row r="16">
          <cell r="A16" t="str">
            <v>J. H. Rudolph</v>
          </cell>
          <cell r="B16">
            <v>3</v>
          </cell>
          <cell r="C16">
            <v>37591</v>
          </cell>
          <cell r="D16">
            <v>37591</v>
          </cell>
          <cell r="E16">
            <v>2000</v>
          </cell>
          <cell r="F16">
            <v>582</v>
          </cell>
          <cell r="G16">
            <v>0</v>
          </cell>
          <cell r="H16">
            <v>0</v>
          </cell>
          <cell r="I16">
            <v>0</v>
          </cell>
          <cell r="J16">
            <v>0</v>
          </cell>
          <cell r="K16">
            <v>0</v>
          </cell>
          <cell r="L16">
            <v>0</v>
          </cell>
          <cell r="M16">
            <v>0</v>
          </cell>
          <cell r="N16">
            <v>0</v>
          </cell>
          <cell r="O16">
            <v>0</v>
          </cell>
          <cell r="P16">
            <v>0</v>
          </cell>
          <cell r="Q16">
            <v>120</v>
          </cell>
          <cell r="R16">
            <v>7.2</v>
          </cell>
          <cell r="S16">
            <v>0</v>
          </cell>
          <cell r="T16">
            <v>0</v>
          </cell>
          <cell r="U16">
            <v>0</v>
          </cell>
          <cell r="V16">
            <v>709.2</v>
          </cell>
          <cell r="W16">
            <v>582</v>
          </cell>
        </row>
        <row r="18">
          <cell r="A18" t="str">
            <v xml:space="preserve">     TOTAL RATE OPT</v>
          </cell>
          <cell r="E18">
            <v>93942</v>
          </cell>
          <cell r="F18">
            <v>27337.119999999999</v>
          </cell>
          <cell r="G18">
            <v>121279.12</v>
          </cell>
          <cell r="H18">
            <v>960</v>
          </cell>
          <cell r="I18">
            <v>0</v>
          </cell>
          <cell r="J18">
            <v>960</v>
          </cell>
          <cell r="K18">
            <v>0</v>
          </cell>
          <cell r="L18">
            <v>0</v>
          </cell>
          <cell r="M18">
            <v>0</v>
          </cell>
          <cell r="N18">
            <v>44942</v>
          </cell>
          <cell r="O18">
            <v>-40.950000000000003</v>
          </cell>
          <cell r="P18">
            <v>44901.05</v>
          </cell>
          <cell r="Q18">
            <v>632</v>
          </cell>
          <cell r="R18">
            <v>32.800000000000004</v>
          </cell>
          <cell r="S18">
            <v>664.8</v>
          </cell>
          <cell r="T18">
            <v>0</v>
          </cell>
          <cell r="U18">
            <v>0</v>
          </cell>
          <cell r="V18">
            <v>28692.97</v>
          </cell>
          <cell r="W18">
            <v>28256.17</v>
          </cell>
        </row>
        <row r="22">
          <cell r="A22" t="str">
            <v>RATE B</v>
          </cell>
        </row>
        <row r="23">
          <cell r="A23" t="str">
            <v>Consolidated Grain &amp; Barge - Dryer</v>
          </cell>
          <cell r="B23">
            <v>6</v>
          </cell>
          <cell r="C23">
            <v>37257</v>
          </cell>
          <cell r="D23">
            <v>37257</v>
          </cell>
          <cell r="E23">
            <v>2159</v>
          </cell>
          <cell r="F23">
            <v>1314.38</v>
          </cell>
          <cell r="G23">
            <v>1675.4</v>
          </cell>
          <cell r="H23">
            <v>75</v>
          </cell>
          <cell r="I23">
            <v>2159</v>
          </cell>
          <cell r="J23">
            <v>672.53</v>
          </cell>
          <cell r="K23">
            <v>2214</v>
          </cell>
          <cell r="L23">
            <v>5656.77</v>
          </cell>
          <cell r="M23">
            <v>0</v>
          </cell>
          <cell r="N23">
            <v>2159</v>
          </cell>
          <cell r="O23">
            <v>6.48</v>
          </cell>
          <cell r="P23">
            <v>0</v>
          </cell>
          <cell r="Q23">
            <v>19</v>
          </cell>
          <cell r="R23">
            <v>0</v>
          </cell>
          <cell r="S23">
            <v>-1912.9</v>
          </cell>
          <cell r="T23">
            <v>0</v>
          </cell>
          <cell r="U23">
            <v>0</v>
          </cell>
          <cell r="V23">
            <v>7506.66</v>
          </cell>
          <cell r="W23">
            <v>3071.26</v>
          </cell>
        </row>
        <row r="24">
          <cell r="A24" t="str">
            <v>Consolidated Grain &amp; Barge - Dryer</v>
          </cell>
          <cell r="B24">
            <v>6</v>
          </cell>
          <cell r="C24">
            <v>37288</v>
          </cell>
          <cell r="D24">
            <v>37288</v>
          </cell>
          <cell r="E24">
            <v>4297</v>
          </cell>
          <cell r="F24">
            <v>2603.59</v>
          </cell>
          <cell r="G24">
            <v>1513.26</v>
          </cell>
          <cell r="H24">
            <v>75</v>
          </cell>
          <cell r="I24">
            <v>4297</v>
          </cell>
          <cell r="J24">
            <v>1338.52</v>
          </cell>
          <cell r="K24">
            <v>4407</v>
          </cell>
          <cell r="L24">
            <v>11259.88</v>
          </cell>
          <cell r="M24">
            <v>0</v>
          </cell>
          <cell r="N24">
            <v>4297</v>
          </cell>
          <cell r="O24">
            <v>-4.3</v>
          </cell>
          <cell r="P24">
            <v>0</v>
          </cell>
          <cell r="Q24">
            <v>19</v>
          </cell>
          <cell r="R24">
            <v>0</v>
          </cell>
          <cell r="S24">
            <v>0</v>
          </cell>
          <cell r="T24">
            <v>0</v>
          </cell>
          <cell r="U24">
            <v>0</v>
          </cell>
          <cell r="V24">
            <v>16804.95</v>
          </cell>
          <cell r="W24">
            <v>4187.55</v>
          </cell>
        </row>
        <row r="25">
          <cell r="A25" t="str">
            <v>Consolidated Grain &amp; Barge - Dryer</v>
          </cell>
          <cell r="B25">
            <v>6</v>
          </cell>
          <cell r="C25">
            <v>37316</v>
          </cell>
          <cell r="D25">
            <v>37316</v>
          </cell>
          <cell r="E25">
            <v>0</v>
          </cell>
          <cell r="F25">
            <v>0</v>
          </cell>
          <cell r="G25">
            <v>1675.4</v>
          </cell>
          <cell r="H25">
            <v>75</v>
          </cell>
          <cell r="I25">
            <v>0</v>
          </cell>
          <cell r="J25">
            <v>0</v>
          </cell>
          <cell r="K25">
            <v>0</v>
          </cell>
          <cell r="L25">
            <v>0</v>
          </cell>
          <cell r="M25">
            <v>0</v>
          </cell>
          <cell r="N25">
            <v>0</v>
          </cell>
          <cell r="O25">
            <v>0</v>
          </cell>
          <cell r="P25">
            <v>0</v>
          </cell>
          <cell r="Q25">
            <v>19</v>
          </cell>
          <cell r="R25">
            <v>0</v>
          </cell>
          <cell r="S25">
            <v>0</v>
          </cell>
          <cell r="T25">
            <v>0</v>
          </cell>
          <cell r="U25">
            <v>0</v>
          </cell>
          <cell r="V25">
            <v>1769.4</v>
          </cell>
          <cell r="W25">
            <v>1750.4</v>
          </cell>
        </row>
        <row r="26">
          <cell r="A26" t="str">
            <v>Consolidated Grain &amp; Barge - Dryer</v>
          </cell>
          <cell r="B26">
            <v>6</v>
          </cell>
          <cell r="C26">
            <v>37347</v>
          </cell>
          <cell r="D26">
            <v>37347</v>
          </cell>
          <cell r="E26">
            <v>0</v>
          </cell>
          <cell r="F26">
            <v>0</v>
          </cell>
          <cell r="G26">
            <v>1621.35</v>
          </cell>
          <cell r="H26">
            <v>75</v>
          </cell>
          <cell r="I26">
            <v>0</v>
          </cell>
          <cell r="J26">
            <v>0</v>
          </cell>
          <cell r="K26">
            <v>0</v>
          </cell>
          <cell r="L26">
            <v>0</v>
          </cell>
          <cell r="M26">
            <v>0</v>
          </cell>
          <cell r="N26">
            <v>0</v>
          </cell>
          <cell r="O26">
            <v>0</v>
          </cell>
          <cell r="P26">
            <v>0</v>
          </cell>
          <cell r="Q26">
            <v>19</v>
          </cell>
          <cell r="R26">
            <v>0</v>
          </cell>
          <cell r="S26">
            <v>0</v>
          </cell>
          <cell r="T26">
            <v>0</v>
          </cell>
          <cell r="U26">
            <v>0</v>
          </cell>
          <cell r="V26">
            <v>1715.35</v>
          </cell>
          <cell r="W26">
            <v>1696.35</v>
          </cell>
        </row>
        <row r="27">
          <cell r="A27" t="str">
            <v>Consolidated Grain &amp; Barge - Dryer</v>
          </cell>
          <cell r="B27">
            <v>6</v>
          </cell>
          <cell r="C27">
            <v>37377</v>
          </cell>
          <cell r="D27">
            <v>37377</v>
          </cell>
          <cell r="E27">
            <v>661</v>
          </cell>
          <cell r="F27">
            <v>411.08</v>
          </cell>
          <cell r="G27">
            <v>1675.4</v>
          </cell>
          <cell r="H27">
            <v>75</v>
          </cell>
          <cell r="I27">
            <v>661</v>
          </cell>
          <cell r="J27">
            <v>205.9</v>
          </cell>
          <cell r="K27">
            <v>679</v>
          </cell>
          <cell r="L27">
            <v>2253.6</v>
          </cell>
          <cell r="M27">
            <v>0</v>
          </cell>
          <cell r="N27">
            <v>0</v>
          </cell>
          <cell r="O27">
            <v>0</v>
          </cell>
          <cell r="P27">
            <v>0</v>
          </cell>
          <cell r="Q27">
            <v>19</v>
          </cell>
          <cell r="R27">
            <v>0</v>
          </cell>
          <cell r="S27">
            <v>0</v>
          </cell>
          <cell r="T27">
            <v>0</v>
          </cell>
          <cell r="U27">
            <v>0</v>
          </cell>
          <cell r="V27">
            <v>4639.9799999999996</v>
          </cell>
          <cell r="W27">
            <v>2161.48</v>
          </cell>
        </row>
        <row r="28">
          <cell r="A28" t="str">
            <v>Consolidated Grain &amp; Barge - Dryer</v>
          </cell>
          <cell r="B28">
            <v>6</v>
          </cell>
          <cell r="C28">
            <v>37408</v>
          </cell>
          <cell r="D28">
            <v>37408</v>
          </cell>
          <cell r="E28">
            <v>1</v>
          </cell>
          <cell r="F28">
            <v>0.85</v>
          </cell>
          <cell r="G28">
            <v>1621.35</v>
          </cell>
          <cell r="H28">
            <v>75</v>
          </cell>
          <cell r="I28">
            <v>1</v>
          </cell>
          <cell r="J28">
            <v>0.31</v>
          </cell>
          <cell r="K28">
            <v>1</v>
          </cell>
          <cell r="L28">
            <v>3.42</v>
          </cell>
          <cell r="M28">
            <v>0</v>
          </cell>
          <cell r="N28">
            <v>0</v>
          </cell>
          <cell r="O28">
            <v>0</v>
          </cell>
          <cell r="P28">
            <v>0</v>
          </cell>
          <cell r="Q28">
            <v>19</v>
          </cell>
          <cell r="R28">
            <v>0</v>
          </cell>
          <cell r="S28">
            <v>4639.9799999999996</v>
          </cell>
          <cell r="T28">
            <v>0</v>
          </cell>
          <cell r="U28">
            <v>0</v>
          </cell>
          <cell r="V28">
            <v>6359.91</v>
          </cell>
          <cell r="W28">
            <v>1697.2</v>
          </cell>
        </row>
        <row r="29">
          <cell r="A29" t="str">
            <v>Consolidated Grain &amp; Barge - Dryer</v>
          </cell>
          <cell r="B29">
            <v>6</v>
          </cell>
          <cell r="C29">
            <v>37438</v>
          </cell>
          <cell r="D29">
            <v>37438</v>
          </cell>
          <cell r="E29">
            <v>23</v>
          </cell>
          <cell r="F29">
            <v>19.62</v>
          </cell>
          <cell r="G29">
            <v>1675.4</v>
          </cell>
          <cell r="H29">
            <v>75</v>
          </cell>
          <cell r="I29">
            <v>23</v>
          </cell>
          <cell r="J29">
            <v>7.16</v>
          </cell>
          <cell r="K29">
            <v>24</v>
          </cell>
          <cell r="L29">
            <v>78.67</v>
          </cell>
          <cell r="M29">
            <v>0</v>
          </cell>
          <cell r="N29">
            <v>0</v>
          </cell>
          <cell r="O29">
            <v>0</v>
          </cell>
          <cell r="P29">
            <v>0</v>
          </cell>
          <cell r="Q29">
            <v>19</v>
          </cell>
          <cell r="R29">
            <v>0</v>
          </cell>
          <cell r="S29">
            <v>1580.73</v>
          </cell>
          <cell r="T29">
            <v>0</v>
          </cell>
          <cell r="U29">
            <v>0</v>
          </cell>
          <cell r="V29">
            <v>3455.58</v>
          </cell>
          <cell r="W29">
            <v>1770.02</v>
          </cell>
        </row>
        <row r="30">
          <cell r="A30" t="str">
            <v>Consolidated Grain &amp; Barge - Dryer</v>
          </cell>
          <cell r="B30">
            <v>6</v>
          </cell>
          <cell r="C30">
            <v>37469</v>
          </cell>
          <cell r="D30">
            <v>37469</v>
          </cell>
          <cell r="E30">
            <v>72</v>
          </cell>
          <cell r="F30">
            <v>55.92</v>
          </cell>
          <cell r="G30">
            <v>1675.4</v>
          </cell>
          <cell r="H30">
            <v>75</v>
          </cell>
          <cell r="I30">
            <v>72</v>
          </cell>
          <cell r="J30">
            <v>24.73</v>
          </cell>
          <cell r="K30">
            <v>74</v>
          </cell>
          <cell r="L30">
            <v>220.22</v>
          </cell>
          <cell r="M30">
            <v>0</v>
          </cell>
          <cell r="N30">
            <v>0</v>
          </cell>
          <cell r="O30">
            <v>0</v>
          </cell>
          <cell r="P30">
            <v>0</v>
          </cell>
          <cell r="Q30">
            <v>19</v>
          </cell>
          <cell r="R30">
            <v>0</v>
          </cell>
          <cell r="S30">
            <v>3455.58</v>
          </cell>
          <cell r="T30">
            <v>0</v>
          </cell>
          <cell r="U30">
            <v>0</v>
          </cell>
          <cell r="V30">
            <v>5525.85</v>
          </cell>
          <cell r="W30">
            <v>1806.32</v>
          </cell>
        </row>
        <row r="31">
          <cell r="A31" t="str">
            <v>Consolidated Grain &amp; Barge - Dryer</v>
          </cell>
          <cell r="B31">
            <v>6</v>
          </cell>
          <cell r="C31">
            <v>37500</v>
          </cell>
          <cell r="D31">
            <v>37500</v>
          </cell>
          <cell r="E31">
            <v>8415</v>
          </cell>
          <cell r="F31">
            <v>5086.75</v>
          </cell>
          <cell r="G31">
            <v>1621.35</v>
          </cell>
          <cell r="H31">
            <v>75</v>
          </cell>
          <cell r="I31">
            <v>8415</v>
          </cell>
          <cell r="J31">
            <v>2603.6</v>
          </cell>
          <cell r="K31">
            <v>8647</v>
          </cell>
          <cell r="L31">
            <v>28431.34</v>
          </cell>
          <cell r="M31">
            <v>0</v>
          </cell>
          <cell r="N31">
            <v>0</v>
          </cell>
          <cell r="O31">
            <v>0</v>
          </cell>
          <cell r="P31">
            <v>0</v>
          </cell>
          <cell r="Q31">
            <v>19</v>
          </cell>
          <cell r="R31">
            <v>0</v>
          </cell>
          <cell r="S31">
            <v>0</v>
          </cell>
          <cell r="T31">
            <v>0</v>
          </cell>
          <cell r="U31">
            <v>0</v>
          </cell>
          <cell r="V31">
            <v>37837.040000000001</v>
          </cell>
          <cell r="W31">
            <v>6783.1</v>
          </cell>
        </row>
        <row r="32">
          <cell r="A32" t="str">
            <v>Consolidated Grain &amp; Barge - Dryer</v>
          </cell>
          <cell r="B32">
            <v>6</v>
          </cell>
          <cell r="C32">
            <v>37530</v>
          </cell>
          <cell r="D32">
            <v>37530</v>
          </cell>
          <cell r="E32">
            <v>4185</v>
          </cell>
          <cell r="F32">
            <v>2536.0599999999977</v>
          </cell>
          <cell r="G32">
            <v>1675.4</v>
          </cell>
          <cell r="H32">
            <v>75</v>
          </cell>
          <cell r="I32">
            <v>4185</v>
          </cell>
          <cell r="J32">
            <v>1294.8400000000001</v>
          </cell>
          <cell r="K32">
            <v>4301</v>
          </cell>
          <cell r="L32">
            <v>15853.489999999991</v>
          </cell>
          <cell r="M32">
            <v>0</v>
          </cell>
          <cell r="N32">
            <v>0</v>
          </cell>
          <cell r="O32">
            <v>0</v>
          </cell>
          <cell r="P32">
            <v>0</v>
          </cell>
          <cell r="Q32">
            <v>19</v>
          </cell>
          <cell r="R32">
            <v>0</v>
          </cell>
          <cell r="S32">
            <v>0</v>
          </cell>
          <cell r="T32">
            <v>0</v>
          </cell>
          <cell r="U32">
            <v>0</v>
          </cell>
          <cell r="V32">
            <v>21453.789999999979</v>
          </cell>
          <cell r="W32">
            <v>4286.4599999999991</v>
          </cell>
        </row>
        <row r="33">
          <cell r="A33" t="str">
            <v>Consolidated Grain &amp; Barge - Dryer</v>
          </cell>
          <cell r="B33">
            <v>6</v>
          </cell>
          <cell r="C33">
            <v>37561</v>
          </cell>
          <cell r="D33">
            <v>37561</v>
          </cell>
          <cell r="E33">
            <v>4184</v>
          </cell>
          <cell r="F33">
            <v>2535.4499999999998</v>
          </cell>
          <cell r="G33">
            <v>1621.35</v>
          </cell>
          <cell r="H33">
            <v>75</v>
          </cell>
          <cell r="I33">
            <v>4184</v>
          </cell>
          <cell r="J33">
            <v>1189.93</v>
          </cell>
          <cell r="K33">
            <v>4312</v>
          </cell>
          <cell r="L33">
            <v>17791.310000000001</v>
          </cell>
          <cell r="M33">
            <v>0</v>
          </cell>
          <cell r="N33">
            <v>0</v>
          </cell>
          <cell r="O33">
            <v>0</v>
          </cell>
          <cell r="P33">
            <v>0</v>
          </cell>
          <cell r="Q33">
            <v>19</v>
          </cell>
          <cell r="R33">
            <v>0</v>
          </cell>
          <cell r="S33">
            <v>0</v>
          </cell>
          <cell r="T33">
            <v>0</v>
          </cell>
          <cell r="U33">
            <v>0</v>
          </cell>
          <cell r="V33">
            <v>23232.04</v>
          </cell>
          <cell r="W33">
            <v>4231.8</v>
          </cell>
        </row>
        <row r="34">
          <cell r="A34" t="str">
            <v>Consolidated Grain &amp; Barge - Dryer</v>
          </cell>
          <cell r="B34">
            <v>6</v>
          </cell>
          <cell r="C34">
            <v>37591</v>
          </cell>
          <cell r="D34">
            <v>37591</v>
          </cell>
          <cell r="E34">
            <v>1939</v>
          </cell>
          <cell r="F34">
            <v>1181.72</v>
          </cell>
          <cell r="G34">
            <v>1675.4</v>
          </cell>
          <cell r="H34">
            <v>75</v>
          </cell>
          <cell r="I34">
            <v>1939</v>
          </cell>
          <cell r="J34">
            <v>551.45000000000005</v>
          </cell>
          <cell r="K34">
            <v>1999</v>
          </cell>
          <cell r="L34">
            <v>8275.86</v>
          </cell>
          <cell r="M34">
            <v>0</v>
          </cell>
          <cell r="N34">
            <v>0</v>
          </cell>
          <cell r="O34">
            <v>0</v>
          </cell>
          <cell r="P34">
            <v>0</v>
          </cell>
          <cell r="Q34">
            <v>19</v>
          </cell>
          <cell r="R34">
            <v>0</v>
          </cell>
          <cell r="S34">
            <v>0</v>
          </cell>
          <cell r="T34">
            <v>0</v>
          </cell>
          <cell r="U34">
            <v>0</v>
          </cell>
          <cell r="V34">
            <v>11778.43</v>
          </cell>
          <cell r="W34">
            <v>2932.12</v>
          </cell>
        </row>
        <row r="35">
          <cell r="A35" t="str">
            <v>Ara-Mark Services</v>
          </cell>
          <cell r="B35">
            <v>9</v>
          </cell>
          <cell r="C35">
            <v>37257</v>
          </cell>
          <cell r="D35">
            <v>37257</v>
          </cell>
          <cell r="E35">
            <v>2400</v>
          </cell>
          <cell r="F35">
            <v>1459.7</v>
          </cell>
          <cell r="G35">
            <v>0</v>
          </cell>
          <cell r="H35">
            <v>75</v>
          </cell>
          <cell r="I35">
            <v>0</v>
          </cell>
          <cell r="J35">
            <v>0</v>
          </cell>
          <cell r="K35">
            <v>0</v>
          </cell>
          <cell r="L35">
            <v>0</v>
          </cell>
          <cell r="M35">
            <v>0</v>
          </cell>
          <cell r="N35">
            <v>2400</v>
          </cell>
          <cell r="O35">
            <v>7.2</v>
          </cell>
          <cell r="P35">
            <v>0</v>
          </cell>
          <cell r="Q35">
            <v>19</v>
          </cell>
          <cell r="R35">
            <v>0.95</v>
          </cell>
          <cell r="S35">
            <v>0</v>
          </cell>
          <cell r="T35">
            <v>0</v>
          </cell>
          <cell r="U35">
            <v>0</v>
          </cell>
          <cell r="V35">
            <v>1561.85</v>
          </cell>
          <cell r="W35">
            <v>1541.9</v>
          </cell>
        </row>
        <row r="36">
          <cell r="A36" t="str">
            <v>Ara-Mark Services</v>
          </cell>
          <cell r="B36">
            <v>9</v>
          </cell>
          <cell r="C36">
            <v>37288</v>
          </cell>
          <cell r="D36">
            <v>37288</v>
          </cell>
          <cell r="E36">
            <v>2212</v>
          </cell>
          <cell r="F36">
            <v>1346.34</v>
          </cell>
          <cell r="G36">
            <v>0</v>
          </cell>
          <cell r="H36">
            <v>75</v>
          </cell>
          <cell r="I36">
            <v>0</v>
          </cell>
          <cell r="J36">
            <v>0</v>
          </cell>
          <cell r="K36">
            <v>0</v>
          </cell>
          <cell r="L36">
            <v>0</v>
          </cell>
          <cell r="M36">
            <v>0</v>
          </cell>
          <cell r="N36">
            <v>2212</v>
          </cell>
          <cell r="O36">
            <v>-2.21</v>
          </cell>
          <cell r="P36">
            <v>0</v>
          </cell>
          <cell r="Q36">
            <v>19</v>
          </cell>
          <cell r="R36">
            <v>0.95</v>
          </cell>
          <cell r="S36">
            <v>0</v>
          </cell>
          <cell r="T36">
            <v>0</v>
          </cell>
          <cell r="U36">
            <v>0</v>
          </cell>
          <cell r="V36">
            <v>1439.08</v>
          </cell>
          <cell r="W36">
            <v>1419.13</v>
          </cell>
        </row>
        <row r="37">
          <cell r="A37" t="str">
            <v>Ara-Mark Services</v>
          </cell>
          <cell r="B37">
            <v>9</v>
          </cell>
          <cell r="C37">
            <v>37316</v>
          </cell>
          <cell r="D37">
            <v>37316</v>
          </cell>
          <cell r="E37">
            <v>2201</v>
          </cell>
          <cell r="F37">
            <v>1339.7</v>
          </cell>
          <cell r="G37">
            <v>0</v>
          </cell>
          <cell r="H37">
            <v>75</v>
          </cell>
          <cell r="I37">
            <v>0</v>
          </cell>
          <cell r="J37">
            <v>0</v>
          </cell>
          <cell r="K37">
            <v>0</v>
          </cell>
          <cell r="L37">
            <v>0</v>
          </cell>
          <cell r="M37">
            <v>0</v>
          </cell>
          <cell r="N37">
            <v>2201</v>
          </cell>
          <cell r="O37">
            <v>-2.2000000000000002</v>
          </cell>
          <cell r="P37">
            <v>0</v>
          </cell>
          <cell r="Q37">
            <v>19</v>
          </cell>
          <cell r="R37">
            <v>0.95</v>
          </cell>
          <cell r="S37">
            <v>0</v>
          </cell>
          <cell r="T37">
            <v>0</v>
          </cell>
          <cell r="U37">
            <v>0</v>
          </cell>
          <cell r="V37">
            <v>1432.45</v>
          </cell>
          <cell r="W37">
            <v>1412.5</v>
          </cell>
        </row>
        <row r="38">
          <cell r="A38" t="str">
            <v>Ara-Mark Services</v>
          </cell>
          <cell r="B38">
            <v>9</v>
          </cell>
          <cell r="C38">
            <v>37347</v>
          </cell>
          <cell r="D38">
            <v>37347</v>
          </cell>
          <cell r="E38">
            <v>2100</v>
          </cell>
          <cell r="F38">
            <v>1278.8</v>
          </cell>
          <cell r="G38">
            <v>0</v>
          </cell>
          <cell r="H38">
            <v>75</v>
          </cell>
          <cell r="I38">
            <v>0</v>
          </cell>
          <cell r="J38">
            <v>0</v>
          </cell>
          <cell r="K38">
            <v>0</v>
          </cell>
          <cell r="L38">
            <v>0</v>
          </cell>
          <cell r="M38">
            <v>0</v>
          </cell>
          <cell r="N38">
            <v>2100</v>
          </cell>
          <cell r="O38">
            <v>-2.1</v>
          </cell>
          <cell r="P38">
            <v>0</v>
          </cell>
          <cell r="Q38">
            <v>19</v>
          </cell>
          <cell r="R38">
            <v>0.95</v>
          </cell>
          <cell r="S38">
            <v>0</v>
          </cell>
          <cell r="T38">
            <v>0</v>
          </cell>
          <cell r="U38">
            <v>0</v>
          </cell>
          <cell r="V38">
            <v>1371.65</v>
          </cell>
          <cell r="W38">
            <v>1351.7</v>
          </cell>
        </row>
        <row r="39">
          <cell r="A39" t="str">
            <v>Ara-Mark Services</v>
          </cell>
          <cell r="B39">
            <v>9</v>
          </cell>
          <cell r="C39">
            <v>37377</v>
          </cell>
          <cell r="D39">
            <v>37377</v>
          </cell>
          <cell r="E39">
            <v>2130</v>
          </cell>
          <cell r="F39">
            <v>1296.8900000000001</v>
          </cell>
          <cell r="G39">
            <v>0</v>
          </cell>
          <cell r="H39">
            <v>75</v>
          </cell>
          <cell r="I39">
            <v>0</v>
          </cell>
          <cell r="J39">
            <v>0</v>
          </cell>
          <cell r="K39">
            <v>0</v>
          </cell>
          <cell r="L39">
            <v>0</v>
          </cell>
          <cell r="M39">
            <v>0</v>
          </cell>
          <cell r="N39">
            <v>0</v>
          </cell>
          <cell r="O39">
            <v>0</v>
          </cell>
          <cell r="P39">
            <v>0</v>
          </cell>
          <cell r="Q39">
            <v>19</v>
          </cell>
          <cell r="R39">
            <v>0.95</v>
          </cell>
          <cell r="S39">
            <v>0</v>
          </cell>
          <cell r="T39">
            <v>0</v>
          </cell>
          <cell r="U39">
            <v>0</v>
          </cell>
          <cell r="V39">
            <v>1391.84</v>
          </cell>
          <cell r="W39">
            <v>1371.89</v>
          </cell>
        </row>
        <row r="40">
          <cell r="A40" t="str">
            <v>Ara-Mark Services</v>
          </cell>
          <cell r="B40">
            <v>9</v>
          </cell>
          <cell r="C40">
            <v>37408</v>
          </cell>
          <cell r="D40">
            <v>37408</v>
          </cell>
          <cell r="E40">
            <v>1800</v>
          </cell>
          <cell r="F40">
            <v>1097.9000000000001</v>
          </cell>
          <cell r="G40">
            <v>0</v>
          </cell>
          <cell r="H40">
            <v>75</v>
          </cell>
          <cell r="I40">
            <v>0</v>
          </cell>
          <cell r="J40">
            <v>0</v>
          </cell>
          <cell r="K40">
            <v>0</v>
          </cell>
          <cell r="L40">
            <v>0</v>
          </cell>
          <cell r="M40">
            <v>0</v>
          </cell>
          <cell r="N40">
            <v>0</v>
          </cell>
          <cell r="O40">
            <v>0</v>
          </cell>
          <cell r="P40">
            <v>0</v>
          </cell>
          <cell r="Q40">
            <v>19</v>
          </cell>
          <cell r="R40">
            <v>0.95</v>
          </cell>
          <cell r="S40">
            <v>0</v>
          </cell>
          <cell r="T40">
            <v>0</v>
          </cell>
          <cell r="U40">
            <v>0</v>
          </cell>
          <cell r="V40">
            <v>1192.8499999999999</v>
          </cell>
          <cell r="W40">
            <v>1172.9000000000001</v>
          </cell>
        </row>
        <row r="41">
          <cell r="A41" t="str">
            <v>Ara-Mark Services</v>
          </cell>
          <cell r="B41">
            <v>9</v>
          </cell>
          <cell r="C41">
            <v>37438</v>
          </cell>
          <cell r="D41">
            <v>37438</v>
          </cell>
          <cell r="E41">
            <v>1800</v>
          </cell>
          <cell r="F41">
            <v>1097.9000000000001</v>
          </cell>
          <cell r="G41">
            <v>0</v>
          </cell>
          <cell r="H41">
            <v>75</v>
          </cell>
          <cell r="I41">
            <v>0</v>
          </cell>
          <cell r="J41">
            <v>0</v>
          </cell>
          <cell r="K41">
            <v>0</v>
          </cell>
          <cell r="L41">
            <v>0</v>
          </cell>
          <cell r="M41">
            <v>0</v>
          </cell>
          <cell r="N41">
            <v>0</v>
          </cell>
          <cell r="O41">
            <v>0</v>
          </cell>
          <cell r="P41">
            <v>0</v>
          </cell>
          <cell r="Q41">
            <v>19</v>
          </cell>
          <cell r="R41">
            <v>0.95</v>
          </cell>
          <cell r="S41">
            <v>0</v>
          </cell>
          <cell r="T41">
            <v>0</v>
          </cell>
          <cell r="U41">
            <v>0</v>
          </cell>
          <cell r="V41">
            <v>1192.8499999999999</v>
          </cell>
          <cell r="W41">
            <v>1172.9000000000001</v>
          </cell>
        </row>
        <row r="42">
          <cell r="A42" t="str">
            <v>Ara-Mark Services</v>
          </cell>
          <cell r="B42">
            <v>9</v>
          </cell>
          <cell r="C42">
            <v>37469</v>
          </cell>
          <cell r="D42">
            <v>37469</v>
          </cell>
          <cell r="E42">
            <v>1900</v>
          </cell>
          <cell r="F42">
            <v>1158.2</v>
          </cell>
          <cell r="G42">
            <v>0</v>
          </cell>
          <cell r="H42">
            <v>75</v>
          </cell>
          <cell r="I42">
            <v>0</v>
          </cell>
          <cell r="J42">
            <v>0</v>
          </cell>
          <cell r="K42">
            <v>0</v>
          </cell>
          <cell r="L42">
            <v>0</v>
          </cell>
          <cell r="M42">
            <v>0</v>
          </cell>
          <cell r="N42">
            <v>0</v>
          </cell>
          <cell r="O42">
            <v>0</v>
          </cell>
          <cell r="P42">
            <v>0</v>
          </cell>
          <cell r="Q42">
            <v>19</v>
          </cell>
          <cell r="R42">
            <v>0.95</v>
          </cell>
          <cell r="S42">
            <v>0</v>
          </cell>
          <cell r="T42">
            <v>0</v>
          </cell>
          <cell r="U42">
            <v>0</v>
          </cell>
          <cell r="V42">
            <v>1253.1500000000001</v>
          </cell>
          <cell r="W42">
            <v>1233.2</v>
          </cell>
        </row>
        <row r="43">
          <cell r="A43" t="str">
            <v>Ara-Mark Services</v>
          </cell>
          <cell r="B43">
            <v>9</v>
          </cell>
          <cell r="C43">
            <v>37500</v>
          </cell>
          <cell r="D43">
            <v>37500</v>
          </cell>
          <cell r="E43">
            <v>1800</v>
          </cell>
          <cell r="F43">
            <v>1097.9000000000001</v>
          </cell>
          <cell r="G43">
            <v>0</v>
          </cell>
          <cell r="H43">
            <v>75</v>
          </cell>
          <cell r="I43">
            <v>0</v>
          </cell>
          <cell r="J43">
            <v>0</v>
          </cell>
          <cell r="K43">
            <v>0</v>
          </cell>
          <cell r="L43">
            <v>0</v>
          </cell>
          <cell r="M43">
            <v>0</v>
          </cell>
          <cell r="N43">
            <v>0</v>
          </cell>
          <cell r="O43">
            <v>0</v>
          </cell>
          <cell r="P43">
            <v>0</v>
          </cell>
          <cell r="Q43">
            <v>19</v>
          </cell>
          <cell r="R43">
            <v>0.95</v>
          </cell>
          <cell r="S43">
            <v>0</v>
          </cell>
          <cell r="T43">
            <v>0</v>
          </cell>
          <cell r="U43">
            <v>0</v>
          </cell>
          <cell r="V43">
            <v>1192.8499999999999</v>
          </cell>
          <cell r="W43">
            <v>1172.9000000000001</v>
          </cell>
        </row>
        <row r="44">
          <cell r="A44" t="str">
            <v>Ara-Mark Services</v>
          </cell>
          <cell r="B44">
            <v>9</v>
          </cell>
          <cell r="C44">
            <v>37530</v>
          </cell>
          <cell r="D44">
            <v>37530</v>
          </cell>
          <cell r="E44">
            <v>2200</v>
          </cell>
          <cell r="F44">
            <v>1339.1</v>
          </cell>
          <cell r="G44">
            <v>0</v>
          </cell>
          <cell r="H44">
            <v>75</v>
          </cell>
          <cell r="I44">
            <v>0</v>
          </cell>
          <cell r="J44">
            <v>0</v>
          </cell>
          <cell r="K44">
            <v>0</v>
          </cell>
          <cell r="L44">
            <v>0</v>
          </cell>
          <cell r="M44">
            <v>0</v>
          </cell>
          <cell r="N44">
            <v>0</v>
          </cell>
          <cell r="O44">
            <v>0</v>
          </cell>
          <cell r="P44">
            <v>0</v>
          </cell>
          <cell r="Q44">
            <v>19</v>
          </cell>
          <cell r="R44">
            <v>0.95</v>
          </cell>
          <cell r="S44">
            <v>0</v>
          </cell>
          <cell r="T44">
            <v>0</v>
          </cell>
          <cell r="U44">
            <v>0</v>
          </cell>
          <cell r="V44">
            <v>1434.05</v>
          </cell>
          <cell r="W44">
            <v>1414.1</v>
          </cell>
        </row>
        <row r="45">
          <cell r="A45" t="str">
            <v>Ara-Mark Services</v>
          </cell>
          <cell r="B45">
            <v>9</v>
          </cell>
          <cell r="C45">
            <v>37561</v>
          </cell>
          <cell r="D45">
            <v>37561</v>
          </cell>
          <cell r="E45">
            <v>2200</v>
          </cell>
          <cell r="F45">
            <v>1339.1</v>
          </cell>
          <cell r="G45">
            <v>0</v>
          </cell>
          <cell r="H45">
            <v>75</v>
          </cell>
          <cell r="I45">
            <v>0</v>
          </cell>
          <cell r="J45">
            <v>0</v>
          </cell>
          <cell r="K45">
            <v>0</v>
          </cell>
          <cell r="L45">
            <v>0</v>
          </cell>
          <cell r="M45">
            <v>0</v>
          </cell>
          <cell r="N45">
            <v>0</v>
          </cell>
          <cell r="O45">
            <v>0</v>
          </cell>
          <cell r="P45">
            <v>0</v>
          </cell>
          <cell r="Q45">
            <v>19</v>
          </cell>
          <cell r="R45">
            <v>0.95</v>
          </cell>
          <cell r="S45">
            <v>0</v>
          </cell>
          <cell r="T45">
            <v>0</v>
          </cell>
          <cell r="U45">
            <v>0</v>
          </cell>
          <cell r="V45">
            <v>1434.05</v>
          </cell>
          <cell r="W45">
            <v>1414.1</v>
          </cell>
        </row>
        <row r="46">
          <cell r="A46" t="str">
            <v>Ara-Mark Services</v>
          </cell>
          <cell r="B46">
            <v>9</v>
          </cell>
          <cell r="C46">
            <v>37591</v>
          </cell>
          <cell r="D46">
            <v>37591</v>
          </cell>
          <cell r="E46">
            <v>2200</v>
          </cell>
          <cell r="F46">
            <v>1339.1</v>
          </cell>
          <cell r="G46">
            <v>0</v>
          </cell>
          <cell r="H46">
            <v>75</v>
          </cell>
          <cell r="I46">
            <v>0</v>
          </cell>
          <cell r="J46">
            <v>0</v>
          </cell>
          <cell r="K46">
            <v>0</v>
          </cell>
          <cell r="L46">
            <v>0</v>
          </cell>
          <cell r="M46">
            <v>0</v>
          </cell>
          <cell r="N46">
            <v>0</v>
          </cell>
          <cell r="O46">
            <v>0</v>
          </cell>
          <cell r="P46">
            <v>0</v>
          </cell>
          <cell r="Q46">
            <v>19</v>
          </cell>
          <cell r="R46">
            <v>1.1399999999999999</v>
          </cell>
          <cell r="S46">
            <v>0</v>
          </cell>
          <cell r="T46">
            <v>0</v>
          </cell>
          <cell r="U46">
            <v>0</v>
          </cell>
          <cell r="V46">
            <v>1434.24</v>
          </cell>
          <cell r="W46">
            <v>1414.1</v>
          </cell>
        </row>
        <row r="47">
          <cell r="A47" t="str">
            <v>Southern Indiana Minerals, Inc.</v>
          </cell>
          <cell r="B47">
            <v>12</v>
          </cell>
          <cell r="C47">
            <v>37257</v>
          </cell>
          <cell r="D47">
            <v>37257</v>
          </cell>
          <cell r="E47">
            <v>1</v>
          </cell>
          <cell r="F47">
            <v>0.85</v>
          </cell>
          <cell r="G47">
            <v>0</v>
          </cell>
          <cell r="H47">
            <v>75</v>
          </cell>
          <cell r="I47">
            <v>0</v>
          </cell>
          <cell r="J47">
            <v>0</v>
          </cell>
          <cell r="K47">
            <v>0</v>
          </cell>
          <cell r="L47">
            <v>0</v>
          </cell>
          <cell r="M47">
            <v>0</v>
          </cell>
          <cell r="N47">
            <v>0</v>
          </cell>
          <cell r="O47">
            <v>0</v>
          </cell>
          <cell r="P47">
            <v>0</v>
          </cell>
          <cell r="Q47">
            <v>19</v>
          </cell>
          <cell r="R47">
            <v>0</v>
          </cell>
          <cell r="S47">
            <v>0</v>
          </cell>
          <cell r="T47">
            <v>0</v>
          </cell>
          <cell r="U47">
            <v>0</v>
          </cell>
          <cell r="V47">
            <v>94.85</v>
          </cell>
          <cell r="W47">
            <v>75.849999999999994</v>
          </cell>
        </row>
        <row r="48">
          <cell r="A48" t="str">
            <v>Midwestern Pet Foods</v>
          </cell>
          <cell r="B48">
            <v>18</v>
          </cell>
          <cell r="C48">
            <v>37257</v>
          </cell>
          <cell r="D48">
            <v>37257</v>
          </cell>
          <cell r="E48">
            <v>5200</v>
          </cell>
          <cell r="F48">
            <v>3148.1</v>
          </cell>
          <cell r="G48">
            <v>0</v>
          </cell>
          <cell r="H48">
            <v>75</v>
          </cell>
          <cell r="I48">
            <v>0</v>
          </cell>
          <cell r="J48">
            <v>0</v>
          </cell>
          <cell r="K48">
            <v>0</v>
          </cell>
          <cell r="L48">
            <v>0</v>
          </cell>
          <cell r="M48">
            <v>0</v>
          </cell>
          <cell r="N48">
            <v>5200</v>
          </cell>
          <cell r="O48">
            <v>15.6</v>
          </cell>
          <cell r="P48">
            <v>0</v>
          </cell>
          <cell r="Q48">
            <v>19</v>
          </cell>
          <cell r="R48">
            <v>0</v>
          </cell>
          <cell r="S48">
            <v>0</v>
          </cell>
          <cell r="T48">
            <v>0</v>
          </cell>
          <cell r="U48">
            <v>0</v>
          </cell>
          <cell r="V48">
            <v>3257.7</v>
          </cell>
          <cell r="W48">
            <v>3238.7</v>
          </cell>
        </row>
        <row r="49">
          <cell r="A49" t="str">
            <v>Midwestern Pet Foods</v>
          </cell>
          <cell r="B49">
            <v>18</v>
          </cell>
          <cell r="C49">
            <v>37288</v>
          </cell>
          <cell r="D49">
            <v>37288</v>
          </cell>
          <cell r="E49">
            <v>4278</v>
          </cell>
          <cell r="F49">
            <v>2592.13</v>
          </cell>
          <cell r="G49">
            <v>0</v>
          </cell>
          <cell r="H49">
            <v>75</v>
          </cell>
          <cell r="I49">
            <v>0</v>
          </cell>
          <cell r="J49">
            <v>0</v>
          </cell>
          <cell r="K49">
            <v>0</v>
          </cell>
          <cell r="L49">
            <v>0</v>
          </cell>
          <cell r="M49">
            <v>0</v>
          </cell>
          <cell r="N49">
            <v>4278</v>
          </cell>
          <cell r="O49">
            <v>-4.28</v>
          </cell>
          <cell r="P49">
            <v>0</v>
          </cell>
          <cell r="Q49">
            <v>19</v>
          </cell>
          <cell r="R49">
            <v>0</v>
          </cell>
          <cell r="S49">
            <v>0</v>
          </cell>
          <cell r="T49">
            <v>0</v>
          </cell>
          <cell r="U49">
            <v>0</v>
          </cell>
          <cell r="V49">
            <v>2681.85</v>
          </cell>
          <cell r="W49">
            <v>2662.85</v>
          </cell>
        </row>
        <row r="50">
          <cell r="A50" t="str">
            <v>Midwestern Pet Foods</v>
          </cell>
          <cell r="B50">
            <v>18</v>
          </cell>
          <cell r="C50">
            <v>37316</v>
          </cell>
          <cell r="D50">
            <v>37316</v>
          </cell>
          <cell r="E50">
            <v>4569</v>
          </cell>
          <cell r="F50">
            <v>2767.61</v>
          </cell>
          <cell r="G50">
            <v>0</v>
          </cell>
          <cell r="H50">
            <v>75</v>
          </cell>
          <cell r="I50">
            <v>0</v>
          </cell>
          <cell r="J50">
            <v>0</v>
          </cell>
          <cell r="K50">
            <v>0</v>
          </cell>
          <cell r="L50">
            <v>0</v>
          </cell>
          <cell r="M50">
            <v>0</v>
          </cell>
          <cell r="N50">
            <v>4569</v>
          </cell>
          <cell r="O50">
            <v>-4.57</v>
          </cell>
          <cell r="P50">
            <v>0</v>
          </cell>
          <cell r="Q50">
            <v>19</v>
          </cell>
          <cell r="R50">
            <v>0</v>
          </cell>
          <cell r="S50">
            <v>0</v>
          </cell>
          <cell r="T50">
            <v>0</v>
          </cell>
          <cell r="U50">
            <v>0</v>
          </cell>
          <cell r="V50">
            <v>2857.04</v>
          </cell>
          <cell r="W50">
            <v>2838.04</v>
          </cell>
        </row>
        <row r="51">
          <cell r="A51" t="str">
            <v>Midwestern Pet Foods</v>
          </cell>
          <cell r="B51">
            <v>18</v>
          </cell>
          <cell r="C51">
            <v>37347</v>
          </cell>
          <cell r="D51">
            <v>37347</v>
          </cell>
          <cell r="E51">
            <v>4476</v>
          </cell>
          <cell r="F51">
            <v>2711.53</v>
          </cell>
          <cell r="G51">
            <v>0</v>
          </cell>
          <cell r="H51">
            <v>75</v>
          </cell>
          <cell r="I51">
            <v>0</v>
          </cell>
          <cell r="J51">
            <v>0</v>
          </cell>
          <cell r="K51">
            <v>0</v>
          </cell>
          <cell r="L51">
            <v>0</v>
          </cell>
          <cell r="M51">
            <v>0</v>
          </cell>
          <cell r="N51">
            <v>4476</v>
          </cell>
          <cell r="O51">
            <v>-4.4800000000000004</v>
          </cell>
          <cell r="P51">
            <v>0</v>
          </cell>
          <cell r="Q51">
            <v>19</v>
          </cell>
          <cell r="R51">
            <v>0</v>
          </cell>
          <cell r="S51">
            <v>0</v>
          </cell>
          <cell r="T51">
            <v>0</v>
          </cell>
          <cell r="U51">
            <v>0</v>
          </cell>
          <cell r="V51">
            <v>2801.05</v>
          </cell>
          <cell r="W51">
            <v>2782.05</v>
          </cell>
        </row>
        <row r="52">
          <cell r="A52" t="str">
            <v>Midwestern Pet Foods</v>
          </cell>
          <cell r="B52">
            <v>18</v>
          </cell>
          <cell r="C52">
            <v>37377</v>
          </cell>
          <cell r="D52">
            <v>37377</v>
          </cell>
          <cell r="E52">
            <v>3700</v>
          </cell>
          <cell r="F52">
            <v>2243.6</v>
          </cell>
          <cell r="G52">
            <v>0</v>
          </cell>
          <cell r="H52">
            <v>75</v>
          </cell>
          <cell r="I52">
            <v>0</v>
          </cell>
          <cell r="J52">
            <v>0</v>
          </cell>
          <cell r="K52">
            <v>0</v>
          </cell>
          <cell r="L52">
            <v>0</v>
          </cell>
          <cell r="M52">
            <v>0</v>
          </cell>
          <cell r="N52">
            <v>0</v>
          </cell>
          <cell r="O52">
            <v>0</v>
          </cell>
          <cell r="P52">
            <v>0</v>
          </cell>
          <cell r="Q52">
            <v>19</v>
          </cell>
          <cell r="R52">
            <v>0</v>
          </cell>
          <cell r="S52">
            <v>0</v>
          </cell>
          <cell r="T52">
            <v>0</v>
          </cell>
          <cell r="U52">
            <v>0</v>
          </cell>
          <cell r="V52">
            <v>2337.6</v>
          </cell>
          <cell r="W52">
            <v>2318.6</v>
          </cell>
        </row>
        <row r="53">
          <cell r="A53" t="str">
            <v>Midwestern Pet Foods</v>
          </cell>
          <cell r="B53">
            <v>18</v>
          </cell>
          <cell r="C53">
            <v>37408</v>
          </cell>
          <cell r="D53">
            <v>37408</v>
          </cell>
          <cell r="E53">
            <v>3500</v>
          </cell>
          <cell r="F53">
            <v>2123</v>
          </cell>
          <cell r="G53">
            <v>0</v>
          </cell>
          <cell r="H53">
            <v>75</v>
          </cell>
          <cell r="I53">
            <v>0</v>
          </cell>
          <cell r="J53">
            <v>0</v>
          </cell>
          <cell r="K53">
            <v>0</v>
          </cell>
          <cell r="L53">
            <v>0</v>
          </cell>
          <cell r="M53">
            <v>0</v>
          </cell>
          <cell r="N53">
            <v>0</v>
          </cell>
          <cell r="O53">
            <v>0</v>
          </cell>
          <cell r="P53">
            <v>0</v>
          </cell>
          <cell r="Q53">
            <v>19</v>
          </cell>
          <cell r="R53">
            <v>0</v>
          </cell>
          <cell r="S53">
            <v>0</v>
          </cell>
          <cell r="T53">
            <v>0</v>
          </cell>
          <cell r="U53">
            <v>0</v>
          </cell>
          <cell r="V53">
            <v>2217</v>
          </cell>
          <cell r="W53">
            <v>2198</v>
          </cell>
        </row>
        <row r="54">
          <cell r="A54" t="str">
            <v>Midwestern Pet Foods</v>
          </cell>
          <cell r="B54">
            <v>18</v>
          </cell>
          <cell r="C54">
            <v>37438</v>
          </cell>
          <cell r="D54">
            <v>37438</v>
          </cell>
          <cell r="E54">
            <v>3180</v>
          </cell>
          <cell r="F54">
            <v>1930.04</v>
          </cell>
          <cell r="G54">
            <v>0</v>
          </cell>
          <cell r="H54">
            <v>75</v>
          </cell>
          <cell r="I54">
            <v>0</v>
          </cell>
          <cell r="J54">
            <v>0</v>
          </cell>
          <cell r="K54">
            <v>0</v>
          </cell>
          <cell r="L54">
            <v>0</v>
          </cell>
          <cell r="M54">
            <v>0</v>
          </cell>
          <cell r="N54">
            <v>0</v>
          </cell>
          <cell r="O54">
            <v>0</v>
          </cell>
          <cell r="P54">
            <v>0</v>
          </cell>
          <cell r="Q54">
            <v>19</v>
          </cell>
          <cell r="R54">
            <v>0</v>
          </cell>
          <cell r="S54">
            <v>0</v>
          </cell>
          <cell r="T54">
            <v>0</v>
          </cell>
          <cell r="U54">
            <v>0</v>
          </cell>
          <cell r="V54">
            <v>2024.04</v>
          </cell>
          <cell r="W54">
            <v>2005.04</v>
          </cell>
        </row>
        <row r="55">
          <cell r="A55" t="str">
            <v>Midwestern Pet Foods</v>
          </cell>
          <cell r="B55">
            <v>18</v>
          </cell>
          <cell r="C55">
            <v>37469</v>
          </cell>
          <cell r="D55">
            <v>37469</v>
          </cell>
          <cell r="E55">
            <v>3300</v>
          </cell>
          <cell r="F55">
            <v>2002.4</v>
          </cell>
          <cell r="G55">
            <v>0</v>
          </cell>
          <cell r="H55">
            <v>75</v>
          </cell>
          <cell r="I55">
            <v>0</v>
          </cell>
          <cell r="J55">
            <v>0</v>
          </cell>
          <cell r="K55">
            <v>0</v>
          </cell>
          <cell r="L55">
            <v>0</v>
          </cell>
          <cell r="M55">
            <v>0</v>
          </cell>
          <cell r="N55">
            <v>0</v>
          </cell>
          <cell r="O55">
            <v>0</v>
          </cell>
          <cell r="P55">
            <v>0</v>
          </cell>
          <cell r="Q55">
            <v>19</v>
          </cell>
          <cell r="R55">
            <v>0</v>
          </cell>
          <cell r="S55">
            <v>0</v>
          </cell>
          <cell r="T55">
            <v>0</v>
          </cell>
          <cell r="U55">
            <v>0</v>
          </cell>
          <cell r="V55">
            <v>2096.4</v>
          </cell>
          <cell r="W55">
            <v>2077.4</v>
          </cell>
        </row>
        <row r="56">
          <cell r="A56" t="str">
            <v>Midwestern Pet Foods</v>
          </cell>
          <cell r="B56">
            <v>18</v>
          </cell>
          <cell r="C56">
            <v>37500</v>
          </cell>
          <cell r="D56">
            <v>37500</v>
          </cell>
          <cell r="E56">
            <v>3300</v>
          </cell>
          <cell r="F56">
            <v>2002.4</v>
          </cell>
          <cell r="G56">
            <v>0</v>
          </cell>
          <cell r="H56">
            <v>75</v>
          </cell>
          <cell r="I56">
            <v>0</v>
          </cell>
          <cell r="J56">
            <v>0</v>
          </cell>
          <cell r="K56">
            <v>0</v>
          </cell>
          <cell r="L56">
            <v>0</v>
          </cell>
          <cell r="M56">
            <v>0</v>
          </cell>
          <cell r="N56">
            <v>0</v>
          </cell>
          <cell r="O56">
            <v>0</v>
          </cell>
          <cell r="P56">
            <v>0</v>
          </cell>
          <cell r="Q56">
            <v>19</v>
          </cell>
          <cell r="R56">
            <v>0</v>
          </cell>
          <cell r="S56">
            <v>0</v>
          </cell>
          <cell r="T56">
            <v>0</v>
          </cell>
          <cell r="U56">
            <v>0</v>
          </cell>
          <cell r="V56">
            <v>2096.4</v>
          </cell>
          <cell r="W56">
            <v>2077.4</v>
          </cell>
        </row>
        <row r="57">
          <cell r="A57" t="str">
            <v>Midwestern Pet Foods</v>
          </cell>
          <cell r="B57">
            <v>18</v>
          </cell>
          <cell r="C57">
            <v>37530</v>
          </cell>
          <cell r="D57">
            <v>37530</v>
          </cell>
          <cell r="E57">
            <v>3855</v>
          </cell>
          <cell r="F57">
            <v>2337.06</v>
          </cell>
          <cell r="G57">
            <v>0</v>
          </cell>
          <cell r="H57">
            <v>75</v>
          </cell>
          <cell r="I57">
            <v>0</v>
          </cell>
          <cell r="J57">
            <v>0</v>
          </cell>
          <cell r="K57">
            <v>0</v>
          </cell>
          <cell r="L57">
            <v>0</v>
          </cell>
          <cell r="M57">
            <v>0</v>
          </cell>
          <cell r="N57">
            <v>0</v>
          </cell>
          <cell r="O57">
            <v>0</v>
          </cell>
          <cell r="P57">
            <v>0</v>
          </cell>
          <cell r="Q57">
            <v>19</v>
          </cell>
          <cell r="R57">
            <v>0</v>
          </cell>
          <cell r="S57">
            <v>0</v>
          </cell>
          <cell r="T57">
            <v>0</v>
          </cell>
          <cell r="U57">
            <v>0</v>
          </cell>
          <cell r="V57">
            <v>2431.06</v>
          </cell>
          <cell r="W57">
            <v>2412.06</v>
          </cell>
        </row>
        <row r="58">
          <cell r="A58" t="str">
            <v>Midwestern Pet Foods</v>
          </cell>
          <cell r="B58">
            <v>18</v>
          </cell>
          <cell r="C58">
            <v>37561</v>
          </cell>
          <cell r="D58">
            <v>37561</v>
          </cell>
          <cell r="E58">
            <v>4300</v>
          </cell>
          <cell r="F58">
            <v>2605.4</v>
          </cell>
          <cell r="G58">
            <v>0</v>
          </cell>
          <cell r="H58">
            <v>75</v>
          </cell>
          <cell r="I58">
            <v>0</v>
          </cell>
          <cell r="J58">
            <v>0</v>
          </cell>
          <cell r="K58">
            <v>0</v>
          </cell>
          <cell r="L58">
            <v>0</v>
          </cell>
          <cell r="M58">
            <v>0</v>
          </cell>
          <cell r="N58">
            <v>0</v>
          </cell>
          <cell r="O58">
            <v>0</v>
          </cell>
          <cell r="P58">
            <v>0</v>
          </cell>
          <cell r="Q58">
            <v>19</v>
          </cell>
          <cell r="R58">
            <v>0</v>
          </cell>
          <cell r="S58">
            <v>0</v>
          </cell>
          <cell r="T58">
            <v>0</v>
          </cell>
          <cell r="U58">
            <v>0</v>
          </cell>
          <cell r="V58">
            <v>2699.4</v>
          </cell>
          <cell r="W58">
            <v>2680.4</v>
          </cell>
        </row>
        <row r="59">
          <cell r="A59" t="str">
            <v>Midwestern Pet Foods</v>
          </cell>
          <cell r="B59">
            <v>18</v>
          </cell>
          <cell r="C59">
            <v>37591</v>
          </cell>
          <cell r="D59">
            <v>37591</v>
          </cell>
          <cell r="E59">
            <v>4940</v>
          </cell>
          <cell r="F59">
            <v>2991.32</v>
          </cell>
          <cell r="G59">
            <v>0</v>
          </cell>
          <cell r="H59">
            <v>75</v>
          </cell>
          <cell r="I59">
            <v>0</v>
          </cell>
          <cell r="J59">
            <v>0</v>
          </cell>
          <cell r="K59">
            <v>0</v>
          </cell>
          <cell r="L59">
            <v>0</v>
          </cell>
          <cell r="M59">
            <v>0</v>
          </cell>
          <cell r="N59">
            <v>0</v>
          </cell>
          <cell r="O59">
            <v>0</v>
          </cell>
          <cell r="P59">
            <v>0</v>
          </cell>
          <cell r="Q59">
            <v>19</v>
          </cell>
          <cell r="R59">
            <v>0</v>
          </cell>
          <cell r="S59">
            <v>0</v>
          </cell>
          <cell r="T59">
            <v>0</v>
          </cell>
          <cell r="U59">
            <v>0</v>
          </cell>
          <cell r="V59">
            <v>3085.32</v>
          </cell>
          <cell r="W59">
            <v>3066.32</v>
          </cell>
        </row>
        <row r="60">
          <cell r="A60" t="str">
            <v>Marathon Ashland Petroleum Company</v>
          </cell>
          <cell r="B60">
            <v>20</v>
          </cell>
          <cell r="C60">
            <v>37257</v>
          </cell>
          <cell r="D60">
            <v>37257</v>
          </cell>
          <cell r="E60">
            <v>2734</v>
          </cell>
          <cell r="F60">
            <v>1661.1</v>
          </cell>
          <cell r="G60">
            <v>0</v>
          </cell>
          <cell r="H60">
            <v>75</v>
          </cell>
          <cell r="I60">
            <v>0</v>
          </cell>
          <cell r="J60">
            <v>0</v>
          </cell>
          <cell r="K60">
            <v>0</v>
          </cell>
          <cell r="L60">
            <v>0</v>
          </cell>
          <cell r="M60">
            <v>0</v>
          </cell>
          <cell r="N60">
            <v>2734</v>
          </cell>
          <cell r="O60">
            <v>8.1999999999999993</v>
          </cell>
          <cell r="P60">
            <v>0</v>
          </cell>
          <cell r="Q60">
            <v>19</v>
          </cell>
          <cell r="R60">
            <v>0.95</v>
          </cell>
          <cell r="S60">
            <v>0</v>
          </cell>
          <cell r="T60">
            <v>0</v>
          </cell>
          <cell r="U60">
            <v>0</v>
          </cell>
          <cell r="V60">
            <v>1764.25</v>
          </cell>
          <cell r="W60">
            <v>1744.3</v>
          </cell>
        </row>
        <row r="61">
          <cell r="A61" t="str">
            <v>Marathon Ashland Petroleum Company</v>
          </cell>
          <cell r="B61">
            <v>20</v>
          </cell>
          <cell r="C61">
            <v>37288</v>
          </cell>
          <cell r="D61">
            <v>37288</v>
          </cell>
          <cell r="E61">
            <v>2688</v>
          </cell>
          <cell r="F61">
            <v>1633.36</v>
          </cell>
          <cell r="G61">
            <v>0</v>
          </cell>
          <cell r="H61">
            <v>75</v>
          </cell>
          <cell r="I61">
            <v>0</v>
          </cell>
          <cell r="J61">
            <v>0</v>
          </cell>
          <cell r="K61">
            <v>0</v>
          </cell>
          <cell r="L61">
            <v>0</v>
          </cell>
          <cell r="M61">
            <v>0</v>
          </cell>
          <cell r="N61">
            <v>2688</v>
          </cell>
          <cell r="O61">
            <v>-2.69</v>
          </cell>
          <cell r="P61">
            <v>0</v>
          </cell>
          <cell r="Q61">
            <v>19</v>
          </cell>
          <cell r="R61">
            <v>0.95</v>
          </cell>
          <cell r="S61">
            <v>0</v>
          </cell>
          <cell r="T61">
            <v>0</v>
          </cell>
          <cell r="U61">
            <v>0</v>
          </cell>
          <cell r="V61">
            <v>1725.62</v>
          </cell>
          <cell r="W61">
            <v>1705.67</v>
          </cell>
        </row>
        <row r="62">
          <cell r="A62" t="str">
            <v>Marathon Ashland Petroleum Company</v>
          </cell>
          <cell r="B62">
            <v>20</v>
          </cell>
          <cell r="C62">
            <v>37316</v>
          </cell>
          <cell r="D62">
            <v>37316</v>
          </cell>
          <cell r="E62">
            <v>2950</v>
          </cell>
          <cell r="F62">
            <v>1791.35</v>
          </cell>
          <cell r="G62">
            <v>0</v>
          </cell>
          <cell r="H62">
            <v>75</v>
          </cell>
          <cell r="I62">
            <v>0</v>
          </cell>
          <cell r="J62">
            <v>0</v>
          </cell>
          <cell r="K62">
            <v>0</v>
          </cell>
          <cell r="L62">
            <v>0</v>
          </cell>
          <cell r="M62">
            <v>0</v>
          </cell>
          <cell r="N62">
            <v>2950</v>
          </cell>
          <cell r="O62">
            <v>-2.95</v>
          </cell>
          <cell r="P62">
            <v>0</v>
          </cell>
          <cell r="Q62">
            <v>19</v>
          </cell>
          <cell r="R62">
            <v>0.95</v>
          </cell>
          <cell r="S62">
            <v>0</v>
          </cell>
          <cell r="T62">
            <v>0</v>
          </cell>
          <cell r="U62">
            <v>0</v>
          </cell>
          <cell r="V62">
            <v>1883.35</v>
          </cell>
          <cell r="W62">
            <v>1863.4</v>
          </cell>
        </row>
        <row r="63">
          <cell r="A63" t="str">
            <v>Marathon Ashland Petroleum Company</v>
          </cell>
          <cell r="B63">
            <v>20</v>
          </cell>
          <cell r="C63">
            <v>37347</v>
          </cell>
          <cell r="D63">
            <v>37347</v>
          </cell>
          <cell r="E63">
            <v>3090</v>
          </cell>
          <cell r="F63">
            <v>1875.77</v>
          </cell>
          <cell r="G63">
            <v>0</v>
          </cell>
          <cell r="H63">
            <v>75</v>
          </cell>
          <cell r="I63">
            <v>0</v>
          </cell>
          <cell r="J63">
            <v>0</v>
          </cell>
          <cell r="K63">
            <v>0</v>
          </cell>
          <cell r="L63">
            <v>0</v>
          </cell>
          <cell r="M63">
            <v>0</v>
          </cell>
          <cell r="N63">
            <v>3090</v>
          </cell>
          <cell r="O63">
            <v>-3.09</v>
          </cell>
          <cell r="P63">
            <v>0</v>
          </cell>
          <cell r="Q63">
            <v>19</v>
          </cell>
          <cell r="R63">
            <v>0.95</v>
          </cell>
          <cell r="S63">
            <v>0</v>
          </cell>
          <cell r="T63">
            <v>0</v>
          </cell>
          <cell r="U63">
            <v>0</v>
          </cell>
          <cell r="V63">
            <v>1967.63</v>
          </cell>
          <cell r="W63">
            <v>1947.68</v>
          </cell>
        </row>
        <row r="64">
          <cell r="A64" t="str">
            <v>Marathon Ashland Petroleum Company</v>
          </cell>
          <cell r="B64">
            <v>20</v>
          </cell>
          <cell r="C64">
            <v>37377</v>
          </cell>
          <cell r="D64">
            <v>37377</v>
          </cell>
          <cell r="E64">
            <v>2945</v>
          </cell>
          <cell r="F64">
            <v>1788.33</v>
          </cell>
          <cell r="G64">
            <v>0</v>
          </cell>
          <cell r="H64">
            <v>75</v>
          </cell>
          <cell r="I64">
            <v>0</v>
          </cell>
          <cell r="J64">
            <v>0</v>
          </cell>
          <cell r="K64">
            <v>0</v>
          </cell>
          <cell r="L64">
            <v>0</v>
          </cell>
          <cell r="M64">
            <v>0</v>
          </cell>
          <cell r="N64">
            <v>0</v>
          </cell>
          <cell r="O64">
            <v>0</v>
          </cell>
          <cell r="P64">
            <v>0</v>
          </cell>
          <cell r="Q64">
            <v>19</v>
          </cell>
          <cell r="R64">
            <v>0.95</v>
          </cell>
          <cell r="S64">
            <v>1967.63</v>
          </cell>
          <cell r="T64">
            <v>0</v>
          </cell>
          <cell r="U64">
            <v>0</v>
          </cell>
          <cell r="V64">
            <v>3850.91</v>
          </cell>
          <cell r="W64">
            <v>1863.33</v>
          </cell>
        </row>
        <row r="65">
          <cell r="A65" t="str">
            <v>Marathon Ashland Petroleum Company</v>
          </cell>
          <cell r="B65">
            <v>20</v>
          </cell>
          <cell r="C65">
            <v>37408</v>
          </cell>
          <cell r="D65">
            <v>37408</v>
          </cell>
          <cell r="E65">
            <v>3000</v>
          </cell>
          <cell r="F65">
            <v>1821.5</v>
          </cell>
          <cell r="G65">
            <v>0</v>
          </cell>
          <cell r="H65">
            <v>75</v>
          </cell>
          <cell r="I65">
            <v>0</v>
          </cell>
          <cell r="J65">
            <v>0</v>
          </cell>
          <cell r="K65">
            <v>0</v>
          </cell>
          <cell r="L65">
            <v>0</v>
          </cell>
          <cell r="M65">
            <v>0</v>
          </cell>
          <cell r="N65">
            <v>0</v>
          </cell>
          <cell r="O65">
            <v>0</v>
          </cell>
          <cell r="P65">
            <v>0</v>
          </cell>
          <cell r="Q65">
            <v>19</v>
          </cell>
          <cell r="R65">
            <v>0.95</v>
          </cell>
          <cell r="S65">
            <v>1883.28</v>
          </cell>
          <cell r="T65">
            <v>0</v>
          </cell>
          <cell r="U65">
            <v>0</v>
          </cell>
          <cell r="V65">
            <v>3799.73</v>
          </cell>
          <cell r="W65">
            <v>1896.5</v>
          </cell>
        </row>
        <row r="66">
          <cell r="A66" t="str">
            <v>Marathon Ashland Petroleum Company</v>
          </cell>
          <cell r="B66">
            <v>20</v>
          </cell>
          <cell r="C66">
            <v>37438</v>
          </cell>
          <cell r="D66">
            <v>37438</v>
          </cell>
          <cell r="E66">
            <v>2945</v>
          </cell>
          <cell r="F66">
            <v>1788.33</v>
          </cell>
          <cell r="G66">
            <v>0</v>
          </cell>
          <cell r="H66">
            <v>75</v>
          </cell>
          <cell r="I66">
            <v>0</v>
          </cell>
          <cell r="J66">
            <v>0</v>
          </cell>
          <cell r="K66">
            <v>0</v>
          </cell>
          <cell r="L66">
            <v>0</v>
          </cell>
          <cell r="M66">
            <v>0</v>
          </cell>
          <cell r="N66">
            <v>0</v>
          </cell>
          <cell r="O66">
            <v>0</v>
          </cell>
          <cell r="P66">
            <v>0</v>
          </cell>
          <cell r="Q66">
            <v>19</v>
          </cell>
          <cell r="R66">
            <v>0.95</v>
          </cell>
          <cell r="S66">
            <v>1883.28</v>
          </cell>
          <cell r="T66">
            <v>0</v>
          </cell>
          <cell r="U66">
            <v>0</v>
          </cell>
          <cell r="V66">
            <v>3766.56</v>
          </cell>
          <cell r="W66">
            <v>1863.33</v>
          </cell>
        </row>
        <row r="67">
          <cell r="A67" t="str">
            <v>Marathon Ashland Petroleum Company</v>
          </cell>
          <cell r="B67">
            <v>20</v>
          </cell>
          <cell r="C67">
            <v>37469</v>
          </cell>
          <cell r="D67">
            <v>37469</v>
          </cell>
          <cell r="E67">
            <v>3100</v>
          </cell>
          <cell r="F67">
            <v>1881.8</v>
          </cell>
          <cell r="G67">
            <v>0</v>
          </cell>
          <cell r="H67">
            <v>75</v>
          </cell>
          <cell r="I67">
            <v>0</v>
          </cell>
          <cell r="J67">
            <v>0</v>
          </cell>
          <cell r="K67">
            <v>0</v>
          </cell>
          <cell r="L67">
            <v>0</v>
          </cell>
          <cell r="M67">
            <v>0</v>
          </cell>
          <cell r="N67">
            <v>0</v>
          </cell>
          <cell r="O67">
            <v>0</v>
          </cell>
          <cell r="P67">
            <v>0</v>
          </cell>
          <cell r="Q67">
            <v>19</v>
          </cell>
          <cell r="R67">
            <v>0.95</v>
          </cell>
          <cell r="S67">
            <v>3766.56</v>
          </cell>
          <cell r="T67">
            <v>0</v>
          </cell>
          <cell r="U67">
            <v>0</v>
          </cell>
          <cell r="V67">
            <v>5743.31</v>
          </cell>
          <cell r="W67">
            <v>1956.8</v>
          </cell>
        </row>
        <row r="68">
          <cell r="A68" t="str">
            <v>Marathon Ashland Petroleum Company</v>
          </cell>
          <cell r="B68">
            <v>20</v>
          </cell>
          <cell r="C68">
            <v>37500</v>
          </cell>
          <cell r="D68">
            <v>37500</v>
          </cell>
          <cell r="E68">
            <v>3000</v>
          </cell>
          <cell r="F68">
            <v>1821.5</v>
          </cell>
          <cell r="G68">
            <v>0</v>
          </cell>
          <cell r="H68">
            <v>75</v>
          </cell>
          <cell r="I68">
            <v>0</v>
          </cell>
          <cell r="J68">
            <v>0</v>
          </cell>
          <cell r="K68">
            <v>0</v>
          </cell>
          <cell r="L68">
            <v>0</v>
          </cell>
          <cell r="M68">
            <v>0</v>
          </cell>
          <cell r="N68">
            <v>0</v>
          </cell>
          <cell r="O68">
            <v>0</v>
          </cell>
          <cell r="P68">
            <v>0</v>
          </cell>
          <cell r="Q68">
            <v>19</v>
          </cell>
          <cell r="R68">
            <v>0.95</v>
          </cell>
          <cell r="S68">
            <v>0</v>
          </cell>
          <cell r="T68">
            <v>0</v>
          </cell>
          <cell r="U68">
            <v>0</v>
          </cell>
          <cell r="V68">
            <v>1916.45</v>
          </cell>
          <cell r="W68">
            <v>1896.5</v>
          </cell>
        </row>
        <row r="69">
          <cell r="A69" t="str">
            <v>Marathon Ashland Petroleum Company</v>
          </cell>
          <cell r="B69">
            <v>20</v>
          </cell>
          <cell r="C69">
            <v>37530</v>
          </cell>
          <cell r="D69">
            <v>37530</v>
          </cell>
          <cell r="E69">
            <v>3100</v>
          </cell>
          <cell r="F69">
            <v>1881.8</v>
          </cell>
          <cell r="G69">
            <v>0</v>
          </cell>
          <cell r="H69">
            <v>75</v>
          </cell>
          <cell r="I69">
            <v>0</v>
          </cell>
          <cell r="J69">
            <v>0</v>
          </cell>
          <cell r="K69">
            <v>0</v>
          </cell>
          <cell r="L69">
            <v>0</v>
          </cell>
          <cell r="M69">
            <v>0</v>
          </cell>
          <cell r="N69">
            <v>0</v>
          </cell>
          <cell r="O69">
            <v>0</v>
          </cell>
          <cell r="P69">
            <v>0</v>
          </cell>
          <cell r="Q69">
            <v>19</v>
          </cell>
          <cell r="R69">
            <v>0.95</v>
          </cell>
          <cell r="S69">
            <v>-1850.11</v>
          </cell>
          <cell r="T69">
            <v>0</v>
          </cell>
          <cell r="U69">
            <v>0</v>
          </cell>
          <cell r="V69">
            <v>126.6400000000001</v>
          </cell>
          <cell r="W69">
            <v>1956.8</v>
          </cell>
        </row>
        <row r="70">
          <cell r="A70" t="str">
            <v>Marathon Ashland Petroleum Company</v>
          </cell>
          <cell r="B70">
            <v>20</v>
          </cell>
          <cell r="C70">
            <v>37561</v>
          </cell>
          <cell r="D70">
            <v>37561</v>
          </cell>
          <cell r="E70">
            <v>3090</v>
          </cell>
          <cell r="F70">
            <v>1875.77</v>
          </cell>
          <cell r="G70">
            <v>0</v>
          </cell>
          <cell r="H70">
            <v>75</v>
          </cell>
          <cell r="I70">
            <v>0</v>
          </cell>
          <cell r="J70">
            <v>0</v>
          </cell>
          <cell r="K70">
            <v>0</v>
          </cell>
          <cell r="L70">
            <v>0</v>
          </cell>
          <cell r="M70">
            <v>0</v>
          </cell>
          <cell r="N70">
            <v>0</v>
          </cell>
          <cell r="O70">
            <v>0</v>
          </cell>
          <cell r="P70">
            <v>0</v>
          </cell>
          <cell r="Q70">
            <v>19</v>
          </cell>
          <cell r="R70">
            <v>0.95</v>
          </cell>
          <cell r="S70">
            <v>0</v>
          </cell>
          <cell r="T70">
            <v>0</v>
          </cell>
          <cell r="U70">
            <v>0</v>
          </cell>
          <cell r="V70">
            <v>1970.72</v>
          </cell>
          <cell r="W70">
            <v>1950.77</v>
          </cell>
        </row>
        <row r="71">
          <cell r="A71" t="str">
            <v>Marathon Ashland Petroleum Company</v>
          </cell>
          <cell r="B71">
            <v>20</v>
          </cell>
          <cell r="C71">
            <v>37591</v>
          </cell>
          <cell r="D71">
            <v>37591</v>
          </cell>
          <cell r="E71">
            <v>2480</v>
          </cell>
          <cell r="F71">
            <v>1507.94</v>
          </cell>
          <cell r="G71">
            <v>0</v>
          </cell>
          <cell r="H71">
            <v>75</v>
          </cell>
          <cell r="I71">
            <v>0</v>
          </cell>
          <cell r="J71">
            <v>0</v>
          </cell>
          <cell r="K71">
            <v>0</v>
          </cell>
          <cell r="L71">
            <v>0</v>
          </cell>
          <cell r="M71">
            <v>0</v>
          </cell>
          <cell r="N71">
            <v>0</v>
          </cell>
          <cell r="O71">
            <v>0</v>
          </cell>
          <cell r="P71">
            <v>0</v>
          </cell>
          <cell r="Q71">
            <v>19</v>
          </cell>
          <cell r="R71">
            <v>1.1399999999999999</v>
          </cell>
          <cell r="S71">
            <v>0</v>
          </cell>
          <cell r="T71">
            <v>0</v>
          </cell>
          <cell r="U71">
            <v>0</v>
          </cell>
          <cell r="V71">
            <v>1603.08</v>
          </cell>
          <cell r="W71">
            <v>1582.94</v>
          </cell>
        </row>
        <row r="72">
          <cell r="A72" t="str">
            <v>Uniseal, Inc.</v>
          </cell>
          <cell r="B72">
            <v>32</v>
          </cell>
          <cell r="C72">
            <v>37257</v>
          </cell>
          <cell r="D72">
            <v>37257</v>
          </cell>
          <cell r="E72">
            <v>2000</v>
          </cell>
          <cell r="F72">
            <v>1218.5</v>
          </cell>
          <cell r="G72">
            <v>0</v>
          </cell>
          <cell r="H72">
            <v>75</v>
          </cell>
          <cell r="I72">
            <v>0</v>
          </cell>
          <cell r="J72">
            <v>0</v>
          </cell>
          <cell r="K72">
            <v>0</v>
          </cell>
          <cell r="L72">
            <v>0</v>
          </cell>
          <cell r="M72">
            <v>0</v>
          </cell>
          <cell r="N72">
            <v>2000</v>
          </cell>
          <cell r="O72">
            <v>6</v>
          </cell>
          <cell r="P72">
            <v>0</v>
          </cell>
          <cell r="Q72">
            <v>19</v>
          </cell>
          <cell r="R72">
            <v>0.95</v>
          </cell>
          <cell r="S72">
            <v>0</v>
          </cell>
          <cell r="T72">
            <v>0</v>
          </cell>
          <cell r="U72">
            <v>0</v>
          </cell>
          <cell r="V72">
            <v>1319.45</v>
          </cell>
          <cell r="W72">
            <v>1299.5</v>
          </cell>
        </row>
        <row r="73">
          <cell r="A73" t="str">
            <v>Uniseal, Inc.</v>
          </cell>
          <cell r="B73">
            <v>32</v>
          </cell>
          <cell r="C73">
            <v>37288</v>
          </cell>
          <cell r="D73">
            <v>37288</v>
          </cell>
          <cell r="E73">
            <v>1600</v>
          </cell>
          <cell r="F73">
            <v>977.3</v>
          </cell>
          <cell r="G73">
            <v>0</v>
          </cell>
          <cell r="H73">
            <v>75</v>
          </cell>
          <cell r="I73">
            <v>0</v>
          </cell>
          <cell r="J73">
            <v>0</v>
          </cell>
          <cell r="K73">
            <v>0</v>
          </cell>
          <cell r="L73">
            <v>0</v>
          </cell>
          <cell r="M73">
            <v>0</v>
          </cell>
          <cell r="N73">
            <v>1600</v>
          </cell>
          <cell r="O73">
            <v>-1.6</v>
          </cell>
          <cell r="P73">
            <v>0</v>
          </cell>
          <cell r="Q73">
            <v>19</v>
          </cell>
          <cell r="R73">
            <v>0.95</v>
          </cell>
          <cell r="S73">
            <v>0</v>
          </cell>
          <cell r="T73">
            <v>0</v>
          </cell>
          <cell r="U73">
            <v>0</v>
          </cell>
          <cell r="V73">
            <v>1070.6500000000001</v>
          </cell>
          <cell r="W73">
            <v>1050.7</v>
          </cell>
        </row>
        <row r="74">
          <cell r="A74" t="str">
            <v>Uniseal, Inc.</v>
          </cell>
          <cell r="B74">
            <v>32</v>
          </cell>
          <cell r="C74">
            <v>37316</v>
          </cell>
          <cell r="D74">
            <v>37316</v>
          </cell>
          <cell r="E74">
            <v>1705</v>
          </cell>
          <cell r="F74">
            <v>1040.6199999999999</v>
          </cell>
          <cell r="G74">
            <v>0</v>
          </cell>
          <cell r="H74">
            <v>75</v>
          </cell>
          <cell r="I74">
            <v>0</v>
          </cell>
          <cell r="J74">
            <v>0</v>
          </cell>
          <cell r="K74">
            <v>0</v>
          </cell>
          <cell r="L74">
            <v>0</v>
          </cell>
          <cell r="M74">
            <v>0</v>
          </cell>
          <cell r="N74">
            <v>1705</v>
          </cell>
          <cell r="O74">
            <v>-1.71</v>
          </cell>
          <cell r="P74">
            <v>0</v>
          </cell>
          <cell r="Q74">
            <v>19</v>
          </cell>
          <cell r="R74">
            <v>0.95</v>
          </cell>
          <cell r="S74">
            <v>0</v>
          </cell>
          <cell r="T74">
            <v>0</v>
          </cell>
          <cell r="U74">
            <v>0</v>
          </cell>
          <cell r="V74">
            <v>1133.8599999999999</v>
          </cell>
          <cell r="W74">
            <v>1113.9100000000001</v>
          </cell>
        </row>
        <row r="75">
          <cell r="A75" t="str">
            <v>Uniseal, Inc.</v>
          </cell>
          <cell r="B75">
            <v>32</v>
          </cell>
          <cell r="C75">
            <v>37347</v>
          </cell>
          <cell r="D75">
            <v>37347</v>
          </cell>
          <cell r="E75">
            <v>1600</v>
          </cell>
          <cell r="F75">
            <v>977.3</v>
          </cell>
          <cell r="G75">
            <v>0</v>
          </cell>
          <cell r="H75">
            <v>75</v>
          </cell>
          <cell r="I75">
            <v>0</v>
          </cell>
          <cell r="J75">
            <v>0</v>
          </cell>
          <cell r="K75">
            <v>0</v>
          </cell>
          <cell r="L75">
            <v>0</v>
          </cell>
          <cell r="M75">
            <v>0</v>
          </cell>
          <cell r="N75">
            <v>1600</v>
          </cell>
          <cell r="O75">
            <v>-1.6</v>
          </cell>
          <cell r="P75">
            <v>0</v>
          </cell>
          <cell r="Q75">
            <v>19</v>
          </cell>
          <cell r="R75">
            <v>0.95</v>
          </cell>
          <cell r="S75">
            <v>0</v>
          </cell>
          <cell r="T75">
            <v>0</v>
          </cell>
          <cell r="U75">
            <v>0</v>
          </cell>
          <cell r="V75">
            <v>1070.6500000000001</v>
          </cell>
          <cell r="W75">
            <v>1050.7</v>
          </cell>
        </row>
        <row r="76">
          <cell r="A76" t="str">
            <v>Uniseal, Inc.</v>
          </cell>
          <cell r="B76">
            <v>32</v>
          </cell>
          <cell r="C76">
            <v>37377</v>
          </cell>
          <cell r="D76">
            <v>37377</v>
          </cell>
          <cell r="E76">
            <v>1300</v>
          </cell>
          <cell r="F76">
            <v>796.4</v>
          </cell>
          <cell r="G76">
            <v>0</v>
          </cell>
          <cell r="H76">
            <v>75</v>
          </cell>
          <cell r="I76">
            <v>0</v>
          </cell>
          <cell r="J76">
            <v>0</v>
          </cell>
          <cell r="K76">
            <v>0</v>
          </cell>
          <cell r="L76">
            <v>0</v>
          </cell>
          <cell r="M76">
            <v>0</v>
          </cell>
          <cell r="N76">
            <v>0</v>
          </cell>
          <cell r="O76">
            <v>0</v>
          </cell>
          <cell r="P76">
            <v>0</v>
          </cell>
          <cell r="Q76">
            <v>19</v>
          </cell>
          <cell r="R76">
            <v>0.95</v>
          </cell>
          <cell r="S76">
            <v>0</v>
          </cell>
          <cell r="T76">
            <v>0</v>
          </cell>
          <cell r="U76">
            <v>0</v>
          </cell>
          <cell r="V76">
            <v>891.35</v>
          </cell>
          <cell r="W76">
            <v>871.4</v>
          </cell>
        </row>
        <row r="77">
          <cell r="A77" t="str">
            <v>Uniseal, Inc.</v>
          </cell>
          <cell r="B77">
            <v>32</v>
          </cell>
          <cell r="C77">
            <v>37408</v>
          </cell>
          <cell r="D77">
            <v>37408</v>
          </cell>
          <cell r="E77">
            <v>1100</v>
          </cell>
          <cell r="F77">
            <v>675.8</v>
          </cell>
          <cell r="G77">
            <v>0</v>
          </cell>
          <cell r="H77">
            <v>75</v>
          </cell>
          <cell r="I77">
            <v>0</v>
          </cell>
          <cell r="J77">
            <v>0</v>
          </cell>
          <cell r="K77">
            <v>0</v>
          </cell>
          <cell r="L77">
            <v>0</v>
          </cell>
          <cell r="M77">
            <v>0</v>
          </cell>
          <cell r="N77">
            <v>0</v>
          </cell>
          <cell r="O77">
            <v>0</v>
          </cell>
          <cell r="P77">
            <v>0</v>
          </cell>
          <cell r="Q77">
            <v>19</v>
          </cell>
          <cell r="R77">
            <v>0.95</v>
          </cell>
          <cell r="S77">
            <v>0</v>
          </cell>
          <cell r="T77">
            <v>0</v>
          </cell>
          <cell r="U77">
            <v>0</v>
          </cell>
          <cell r="V77">
            <v>770.75</v>
          </cell>
          <cell r="W77">
            <v>750.8</v>
          </cell>
        </row>
        <row r="78">
          <cell r="A78" t="str">
            <v>Uniseal, Inc.</v>
          </cell>
          <cell r="B78">
            <v>32</v>
          </cell>
          <cell r="C78">
            <v>37438</v>
          </cell>
          <cell r="D78">
            <v>37438</v>
          </cell>
          <cell r="E78">
            <v>1000</v>
          </cell>
          <cell r="F78">
            <v>615.5</v>
          </cell>
          <cell r="G78">
            <v>0</v>
          </cell>
          <cell r="H78">
            <v>75</v>
          </cell>
          <cell r="I78">
            <v>0</v>
          </cell>
          <cell r="J78">
            <v>0</v>
          </cell>
          <cell r="K78">
            <v>0</v>
          </cell>
          <cell r="L78">
            <v>0</v>
          </cell>
          <cell r="M78">
            <v>0</v>
          </cell>
          <cell r="N78">
            <v>0</v>
          </cell>
          <cell r="O78">
            <v>0</v>
          </cell>
          <cell r="P78">
            <v>0</v>
          </cell>
          <cell r="Q78">
            <v>19</v>
          </cell>
          <cell r="R78">
            <v>0.95</v>
          </cell>
          <cell r="S78">
            <v>0</v>
          </cell>
          <cell r="T78">
            <v>0</v>
          </cell>
          <cell r="U78">
            <v>0</v>
          </cell>
          <cell r="V78">
            <v>710.45</v>
          </cell>
          <cell r="W78">
            <v>690.5</v>
          </cell>
        </row>
        <row r="79">
          <cell r="A79" t="str">
            <v>Uniseal, Inc.</v>
          </cell>
          <cell r="B79">
            <v>32</v>
          </cell>
          <cell r="C79">
            <v>37469</v>
          </cell>
          <cell r="D79">
            <v>37469</v>
          </cell>
          <cell r="E79">
            <v>0</v>
          </cell>
          <cell r="F79">
            <v>0</v>
          </cell>
          <cell r="G79">
            <v>0</v>
          </cell>
          <cell r="H79">
            <v>75</v>
          </cell>
          <cell r="I79">
            <v>0</v>
          </cell>
          <cell r="J79">
            <v>0</v>
          </cell>
          <cell r="K79">
            <v>0</v>
          </cell>
          <cell r="L79">
            <v>0</v>
          </cell>
          <cell r="M79">
            <v>0</v>
          </cell>
          <cell r="N79">
            <v>0</v>
          </cell>
          <cell r="O79">
            <v>0</v>
          </cell>
          <cell r="P79">
            <v>0</v>
          </cell>
          <cell r="Q79">
            <v>19</v>
          </cell>
          <cell r="R79">
            <v>0.95</v>
          </cell>
          <cell r="S79">
            <v>0</v>
          </cell>
          <cell r="T79">
            <v>0</v>
          </cell>
          <cell r="U79">
            <v>0</v>
          </cell>
          <cell r="V79">
            <v>94.95</v>
          </cell>
          <cell r="W79">
            <v>75</v>
          </cell>
        </row>
        <row r="80">
          <cell r="A80" t="str">
            <v>Uniseal, Inc.</v>
          </cell>
          <cell r="B80">
            <v>32</v>
          </cell>
          <cell r="C80">
            <v>37500</v>
          </cell>
          <cell r="D80">
            <v>37500</v>
          </cell>
          <cell r="E80">
            <v>0</v>
          </cell>
          <cell r="F80">
            <v>0</v>
          </cell>
          <cell r="G80">
            <v>0</v>
          </cell>
          <cell r="H80">
            <v>75</v>
          </cell>
          <cell r="I80">
            <v>0</v>
          </cell>
          <cell r="J80">
            <v>0</v>
          </cell>
          <cell r="K80">
            <v>0</v>
          </cell>
          <cell r="L80">
            <v>0</v>
          </cell>
          <cell r="M80">
            <v>0</v>
          </cell>
          <cell r="N80">
            <v>0</v>
          </cell>
          <cell r="O80">
            <v>0</v>
          </cell>
          <cell r="P80">
            <v>0</v>
          </cell>
          <cell r="Q80">
            <v>19</v>
          </cell>
          <cell r="R80">
            <v>0.95</v>
          </cell>
          <cell r="S80">
            <v>0</v>
          </cell>
          <cell r="T80">
            <v>0</v>
          </cell>
          <cell r="U80">
            <v>0</v>
          </cell>
          <cell r="V80">
            <v>94.95</v>
          </cell>
          <cell r="W80">
            <v>75</v>
          </cell>
        </row>
        <row r="81">
          <cell r="A81" t="str">
            <v>Uniseal, Inc.</v>
          </cell>
          <cell r="B81">
            <v>32</v>
          </cell>
          <cell r="C81">
            <v>37530</v>
          </cell>
          <cell r="D81">
            <v>37530</v>
          </cell>
          <cell r="E81">
            <v>1612</v>
          </cell>
          <cell r="F81">
            <v>984.54</v>
          </cell>
          <cell r="G81">
            <v>0</v>
          </cell>
          <cell r="H81">
            <v>75</v>
          </cell>
          <cell r="I81">
            <v>0</v>
          </cell>
          <cell r="J81">
            <v>0</v>
          </cell>
          <cell r="K81">
            <v>0</v>
          </cell>
          <cell r="L81">
            <v>0</v>
          </cell>
          <cell r="M81">
            <v>0</v>
          </cell>
          <cell r="N81">
            <v>0</v>
          </cell>
          <cell r="O81">
            <v>0</v>
          </cell>
          <cell r="P81">
            <v>0</v>
          </cell>
          <cell r="Q81">
            <v>19</v>
          </cell>
          <cell r="R81">
            <v>0.95</v>
          </cell>
          <cell r="S81">
            <v>0</v>
          </cell>
          <cell r="T81">
            <v>0</v>
          </cell>
          <cell r="U81">
            <v>0</v>
          </cell>
          <cell r="V81">
            <v>1079.49</v>
          </cell>
          <cell r="W81">
            <v>1059.54</v>
          </cell>
        </row>
        <row r="82">
          <cell r="A82" t="str">
            <v>Uniseal, Inc.</v>
          </cell>
          <cell r="B82">
            <v>32</v>
          </cell>
          <cell r="C82">
            <v>37561</v>
          </cell>
          <cell r="D82">
            <v>37561</v>
          </cell>
          <cell r="E82">
            <v>1500</v>
          </cell>
          <cell r="F82">
            <v>917</v>
          </cell>
          <cell r="G82">
            <v>0</v>
          </cell>
          <cell r="H82">
            <v>75</v>
          </cell>
          <cell r="I82">
            <v>0</v>
          </cell>
          <cell r="J82">
            <v>0</v>
          </cell>
          <cell r="K82">
            <v>0</v>
          </cell>
          <cell r="L82">
            <v>0</v>
          </cell>
          <cell r="M82">
            <v>0</v>
          </cell>
          <cell r="N82">
            <v>0</v>
          </cell>
          <cell r="O82">
            <v>0</v>
          </cell>
          <cell r="P82">
            <v>0</v>
          </cell>
          <cell r="Q82">
            <v>19</v>
          </cell>
          <cell r="R82">
            <v>0.95</v>
          </cell>
          <cell r="S82">
            <v>0</v>
          </cell>
          <cell r="T82">
            <v>0</v>
          </cell>
          <cell r="U82">
            <v>0</v>
          </cell>
          <cell r="V82">
            <v>1011.95</v>
          </cell>
          <cell r="W82">
            <v>992</v>
          </cell>
        </row>
        <row r="83">
          <cell r="A83" t="str">
            <v>Uniseal, Inc.</v>
          </cell>
          <cell r="B83">
            <v>32</v>
          </cell>
          <cell r="C83">
            <v>37591</v>
          </cell>
          <cell r="D83">
            <v>37591</v>
          </cell>
          <cell r="E83">
            <v>1612</v>
          </cell>
          <cell r="F83">
            <v>984.54</v>
          </cell>
          <cell r="G83">
            <v>0</v>
          </cell>
          <cell r="H83">
            <v>75</v>
          </cell>
          <cell r="I83">
            <v>0</v>
          </cell>
          <cell r="J83">
            <v>0</v>
          </cell>
          <cell r="K83">
            <v>0</v>
          </cell>
          <cell r="L83">
            <v>0</v>
          </cell>
          <cell r="M83">
            <v>0</v>
          </cell>
          <cell r="N83">
            <v>0</v>
          </cell>
          <cell r="O83">
            <v>0</v>
          </cell>
          <cell r="P83">
            <v>0</v>
          </cell>
          <cell r="Q83">
            <v>19</v>
          </cell>
          <cell r="R83">
            <v>1.1399999999999999</v>
          </cell>
          <cell r="S83">
            <v>0</v>
          </cell>
          <cell r="T83">
            <v>0</v>
          </cell>
          <cell r="U83">
            <v>0</v>
          </cell>
          <cell r="V83">
            <v>1079.68</v>
          </cell>
          <cell r="W83">
            <v>1059.54</v>
          </cell>
        </row>
        <row r="84">
          <cell r="A84" t="str">
            <v>Lewis Vincennes, Inc.</v>
          </cell>
          <cell r="B84">
            <v>33</v>
          </cell>
          <cell r="C84">
            <v>37257</v>
          </cell>
          <cell r="D84">
            <v>37257</v>
          </cell>
          <cell r="E84">
            <v>3300</v>
          </cell>
          <cell r="F84">
            <v>2002.4</v>
          </cell>
          <cell r="G84">
            <v>0</v>
          </cell>
          <cell r="H84">
            <v>75</v>
          </cell>
          <cell r="I84">
            <v>0</v>
          </cell>
          <cell r="J84">
            <v>0</v>
          </cell>
          <cell r="K84">
            <v>0</v>
          </cell>
          <cell r="L84">
            <v>0</v>
          </cell>
          <cell r="M84">
            <v>-85.8</v>
          </cell>
          <cell r="N84">
            <v>3300</v>
          </cell>
          <cell r="O84">
            <v>9.9</v>
          </cell>
          <cell r="P84">
            <v>0</v>
          </cell>
          <cell r="Q84">
            <v>19</v>
          </cell>
          <cell r="R84">
            <v>0</v>
          </cell>
          <cell r="S84">
            <v>0</v>
          </cell>
          <cell r="T84">
            <v>0</v>
          </cell>
          <cell r="U84">
            <v>0</v>
          </cell>
          <cell r="V84">
            <v>2020.5</v>
          </cell>
          <cell r="W84">
            <v>2001.5</v>
          </cell>
        </row>
        <row r="85">
          <cell r="A85" t="str">
            <v>Lewis Vincennes, Inc.</v>
          </cell>
          <cell r="B85">
            <v>33</v>
          </cell>
          <cell r="C85">
            <v>37288</v>
          </cell>
          <cell r="D85">
            <v>37288</v>
          </cell>
          <cell r="E85">
            <v>3332</v>
          </cell>
          <cell r="F85">
            <v>2021.7</v>
          </cell>
          <cell r="G85">
            <v>0</v>
          </cell>
          <cell r="H85">
            <v>75</v>
          </cell>
          <cell r="I85">
            <v>0</v>
          </cell>
          <cell r="J85">
            <v>0</v>
          </cell>
          <cell r="K85">
            <v>0</v>
          </cell>
          <cell r="L85">
            <v>0</v>
          </cell>
          <cell r="M85">
            <v>13.33</v>
          </cell>
          <cell r="N85">
            <v>3332</v>
          </cell>
          <cell r="O85">
            <v>-3.33</v>
          </cell>
          <cell r="P85">
            <v>0</v>
          </cell>
          <cell r="Q85">
            <v>19</v>
          </cell>
          <cell r="R85">
            <v>0</v>
          </cell>
          <cell r="S85">
            <v>0</v>
          </cell>
          <cell r="T85">
            <v>0</v>
          </cell>
          <cell r="U85">
            <v>0</v>
          </cell>
          <cell r="V85">
            <v>2125.6999999999998</v>
          </cell>
          <cell r="W85">
            <v>2106.6999999999998</v>
          </cell>
        </row>
        <row r="86">
          <cell r="A86" t="str">
            <v>Lewis Vincennes, Inc.</v>
          </cell>
          <cell r="B86">
            <v>33</v>
          </cell>
          <cell r="C86">
            <v>37316</v>
          </cell>
          <cell r="D86">
            <v>37316</v>
          </cell>
          <cell r="E86">
            <v>2573</v>
          </cell>
          <cell r="F86">
            <v>1564.02</v>
          </cell>
          <cell r="G86">
            <v>0</v>
          </cell>
          <cell r="H86">
            <v>75</v>
          </cell>
          <cell r="I86">
            <v>0</v>
          </cell>
          <cell r="J86">
            <v>0</v>
          </cell>
          <cell r="K86">
            <v>0</v>
          </cell>
          <cell r="L86">
            <v>0</v>
          </cell>
          <cell r="M86">
            <v>10.29</v>
          </cell>
          <cell r="N86">
            <v>2573</v>
          </cell>
          <cell r="O86">
            <v>-2.57</v>
          </cell>
          <cell r="P86">
            <v>0</v>
          </cell>
          <cell r="Q86">
            <v>19</v>
          </cell>
          <cell r="R86">
            <v>0</v>
          </cell>
          <cell r="S86">
            <v>0</v>
          </cell>
          <cell r="T86">
            <v>0</v>
          </cell>
          <cell r="U86">
            <v>0</v>
          </cell>
          <cell r="V86">
            <v>1665.74</v>
          </cell>
          <cell r="W86">
            <v>1646.74</v>
          </cell>
        </row>
        <row r="87">
          <cell r="A87" t="str">
            <v>Lewis Vincennes, Inc.</v>
          </cell>
          <cell r="B87">
            <v>33</v>
          </cell>
          <cell r="C87">
            <v>37347</v>
          </cell>
          <cell r="D87">
            <v>37347</v>
          </cell>
          <cell r="E87">
            <v>2400</v>
          </cell>
          <cell r="F87">
            <v>1459.7</v>
          </cell>
          <cell r="G87">
            <v>0</v>
          </cell>
          <cell r="H87">
            <v>75</v>
          </cell>
          <cell r="I87">
            <v>0</v>
          </cell>
          <cell r="J87">
            <v>0</v>
          </cell>
          <cell r="K87">
            <v>0</v>
          </cell>
          <cell r="L87">
            <v>0</v>
          </cell>
          <cell r="M87">
            <v>9.6</v>
          </cell>
          <cell r="N87">
            <v>2400</v>
          </cell>
          <cell r="O87">
            <v>-2.4</v>
          </cell>
          <cell r="P87">
            <v>0</v>
          </cell>
          <cell r="Q87">
            <v>19</v>
          </cell>
          <cell r="R87">
            <v>0</v>
          </cell>
          <cell r="S87">
            <v>0</v>
          </cell>
          <cell r="T87">
            <v>0</v>
          </cell>
          <cell r="U87">
            <v>0</v>
          </cell>
          <cell r="V87">
            <v>1560.9</v>
          </cell>
          <cell r="W87">
            <v>1541.9</v>
          </cell>
        </row>
        <row r="88">
          <cell r="A88" t="str">
            <v>Lewis Vincennes, Inc.</v>
          </cell>
          <cell r="B88">
            <v>33</v>
          </cell>
          <cell r="C88">
            <v>37377</v>
          </cell>
          <cell r="D88">
            <v>37377</v>
          </cell>
          <cell r="E88">
            <v>2800</v>
          </cell>
          <cell r="F88">
            <v>1700.9</v>
          </cell>
          <cell r="G88">
            <v>0</v>
          </cell>
          <cell r="H88">
            <v>75</v>
          </cell>
          <cell r="I88">
            <v>0</v>
          </cell>
          <cell r="J88">
            <v>0</v>
          </cell>
          <cell r="K88">
            <v>0</v>
          </cell>
          <cell r="L88">
            <v>0</v>
          </cell>
          <cell r="M88">
            <v>0</v>
          </cell>
          <cell r="N88">
            <v>0</v>
          </cell>
          <cell r="O88">
            <v>0</v>
          </cell>
          <cell r="P88">
            <v>0</v>
          </cell>
          <cell r="Q88">
            <v>19</v>
          </cell>
          <cell r="R88">
            <v>0</v>
          </cell>
          <cell r="S88">
            <v>0</v>
          </cell>
          <cell r="T88">
            <v>0</v>
          </cell>
          <cell r="U88">
            <v>0</v>
          </cell>
          <cell r="V88">
            <v>1794.9</v>
          </cell>
          <cell r="W88">
            <v>1775.9</v>
          </cell>
        </row>
        <row r="89">
          <cell r="A89" t="str">
            <v>Lewis Vincennes, Inc.</v>
          </cell>
          <cell r="B89">
            <v>33</v>
          </cell>
          <cell r="C89">
            <v>37408</v>
          </cell>
          <cell r="D89">
            <v>37408</v>
          </cell>
          <cell r="E89">
            <v>2330</v>
          </cell>
          <cell r="F89">
            <v>1417.49</v>
          </cell>
          <cell r="G89">
            <v>0</v>
          </cell>
          <cell r="H89">
            <v>75</v>
          </cell>
          <cell r="I89">
            <v>0</v>
          </cell>
          <cell r="J89">
            <v>0</v>
          </cell>
          <cell r="K89">
            <v>0</v>
          </cell>
          <cell r="L89">
            <v>0</v>
          </cell>
          <cell r="M89">
            <v>0</v>
          </cell>
          <cell r="N89">
            <v>0</v>
          </cell>
          <cell r="O89">
            <v>0</v>
          </cell>
          <cell r="P89">
            <v>0</v>
          </cell>
          <cell r="Q89">
            <v>19</v>
          </cell>
          <cell r="R89">
            <v>0</v>
          </cell>
          <cell r="S89">
            <v>0</v>
          </cell>
          <cell r="T89">
            <v>0</v>
          </cell>
          <cell r="U89">
            <v>0</v>
          </cell>
          <cell r="V89">
            <v>1511.49</v>
          </cell>
          <cell r="W89">
            <v>1492.49</v>
          </cell>
        </row>
        <row r="90">
          <cell r="A90" t="str">
            <v>Lewis Vincennes, Inc.</v>
          </cell>
          <cell r="B90">
            <v>33</v>
          </cell>
          <cell r="C90">
            <v>37438</v>
          </cell>
          <cell r="D90">
            <v>37438</v>
          </cell>
          <cell r="E90">
            <v>2300</v>
          </cell>
          <cell r="F90">
            <v>1399.4</v>
          </cell>
          <cell r="G90">
            <v>0</v>
          </cell>
          <cell r="H90">
            <v>75</v>
          </cell>
          <cell r="I90">
            <v>0</v>
          </cell>
          <cell r="J90">
            <v>0</v>
          </cell>
          <cell r="K90">
            <v>0</v>
          </cell>
          <cell r="L90">
            <v>0</v>
          </cell>
          <cell r="M90">
            <v>0</v>
          </cell>
          <cell r="N90">
            <v>0</v>
          </cell>
          <cell r="O90">
            <v>0</v>
          </cell>
          <cell r="P90">
            <v>0</v>
          </cell>
          <cell r="Q90">
            <v>19</v>
          </cell>
          <cell r="R90">
            <v>0</v>
          </cell>
          <cell r="S90">
            <v>0</v>
          </cell>
          <cell r="T90">
            <v>0</v>
          </cell>
          <cell r="U90">
            <v>0</v>
          </cell>
          <cell r="V90">
            <v>1493.4</v>
          </cell>
          <cell r="W90">
            <v>1474.4</v>
          </cell>
        </row>
        <row r="91">
          <cell r="A91" t="str">
            <v>Lewis Vincennes, Inc.</v>
          </cell>
          <cell r="B91">
            <v>33</v>
          </cell>
          <cell r="C91">
            <v>37469</v>
          </cell>
          <cell r="D91">
            <v>37469</v>
          </cell>
          <cell r="E91">
            <v>2495</v>
          </cell>
          <cell r="F91">
            <v>1516.99</v>
          </cell>
          <cell r="G91">
            <v>0</v>
          </cell>
          <cell r="H91">
            <v>75</v>
          </cell>
          <cell r="I91">
            <v>0</v>
          </cell>
          <cell r="J91">
            <v>0</v>
          </cell>
          <cell r="K91">
            <v>0</v>
          </cell>
          <cell r="L91">
            <v>0</v>
          </cell>
          <cell r="M91">
            <v>0</v>
          </cell>
          <cell r="N91">
            <v>0</v>
          </cell>
          <cell r="O91">
            <v>0</v>
          </cell>
          <cell r="P91">
            <v>0</v>
          </cell>
          <cell r="Q91">
            <v>19</v>
          </cell>
          <cell r="R91">
            <v>0</v>
          </cell>
          <cell r="S91">
            <v>0</v>
          </cell>
          <cell r="T91">
            <v>0</v>
          </cell>
          <cell r="U91">
            <v>0</v>
          </cell>
          <cell r="V91">
            <v>1610.99</v>
          </cell>
          <cell r="W91">
            <v>1591.99</v>
          </cell>
        </row>
        <row r="92">
          <cell r="A92" t="str">
            <v>Lewis Vincennes, Inc.</v>
          </cell>
          <cell r="B92">
            <v>33</v>
          </cell>
          <cell r="C92">
            <v>37500</v>
          </cell>
          <cell r="D92">
            <v>37500</v>
          </cell>
          <cell r="E92">
            <v>2900</v>
          </cell>
          <cell r="F92">
            <v>1761.2</v>
          </cell>
          <cell r="G92">
            <v>0</v>
          </cell>
          <cell r="H92">
            <v>75</v>
          </cell>
          <cell r="I92">
            <v>0</v>
          </cell>
          <cell r="J92">
            <v>0</v>
          </cell>
          <cell r="K92">
            <v>0</v>
          </cell>
          <cell r="L92">
            <v>0</v>
          </cell>
          <cell r="M92">
            <v>0</v>
          </cell>
          <cell r="N92">
            <v>0</v>
          </cell>
          <cell r="O92">
            <v>0</v>
          </cell>
          <cell r="P92">
            <v>0</v>
          </cell>
          <cell r="Q92">
            <v>19</v>
          </cell>
          <cell r="R92">
            <v>0</v>
          </cell>
          <cell r="S92">
            <v>0</v>
          </cell>
          <cell r="T92">
            <v>0</v>
          </cell>
          <cell r="U92">
            <v>0</v>
          </cell>
          <cell r="V92">
            <v>1855.2</v>
          </cell>
          <cell r="W92">
            <v>1836.2</v>
          </cell>
        </row>
        <row r="93">
          <cell r="A93" t="str">
            <v>Lewis Vincennes, Inc.</v>
          </cell>
          <cell r="B93">
            <v>33</v>
          </cell>
          <cell r="C93">
            <v>37530</v>
          </cell>
          <cell r="D93">
            <v>37530</v>
          </cell>
          <cell r="E93">
            <v>3280</v>
          </cell>
          <cell r="F93">
            <v>1990.34</v>
          </cell>
          <cell r="G93">
            <v>0</v>
          </cell>
          <cell r="H93">
            <v>75</v>
          </cell>
          <cell r="I93">
            <v>0</v>
          </cell>
          <cell r="J93">
            <v>0</v>
          </cell>
          <cell r="K93">
            <v>0</v>
          </cell>
          <cell r="L93">
            <v>0</v>
          </cell>
          <cell r="M93">
            <v>0</v>
          </cell>
          <cell r="N93">
            <v>0</v>
          </cell>
          <cell r="O93">
            <v>0</v>
          </cell>
          <cell r="P93">
            <v>0</v>
          </cell>
          <cell r="Q93">
            <v>19</v>
          </cell>
          <cell r="R93">
            <v>0</v>
          </cell>
          <cell r="S93">
            <v>0</v>
          </cell>
          <cell r="T93">
            <v>0</v>
          </cell>
          <cell r="U93">
            <v>0</v>
          </cell>
          <cell r="V93">
            <v>2084.34</v>
          </cell>
          <cell r="W93">
            <v>2065.34</v>
          </cell>
        </row>
        <row r="94">
          <cell r="A94" t="str">
            <v>Lewis Vincennes, Inc.</v>
          </cell>
          <cell r="B94">
            <v>33</v>
          </cell>
          <cell r="C94">
            <v>37561</v>
          </cell>
          <cell r="D94">
            <v>37561</v>
          </cell>
          <cell r="E94">
            <v>3230</v>
          </cell>
          <cell r="F94">
            <v>1960.19</v>
          </cell>
          <cell r="G94">
            <v>0</v>
          </cell>
          <cell r="H94">
            <v>75</v>
          </cell>
          <cell r="I94">
            <v>0</v>
          </cell>
          <cell r="J94">
            <v>0</v>
          </cell>
          <cell r="K94">
            <v>0</v>
          </cell>
          <cell r="L94">
            <v>0</v>
          </cell>
          <cell r="M94">
            <v>0</v>
          </cell>
          <cell r="N94">
            <v>0</v>
          </cell>
          <cell r="O94">
            <v>0</v>
          </cell>
          <cell r="P94">
            <v>0</v>
          </cell>
          <cell r="Q94">
            <v>19</v>
          </cell>
          <cell r="R94">
            <v>0</v>
          </cell>
          <cell r="S94">
            <v>0</v>
          </cell>
          <cell r="T94">
            <v>0</v>
          </cell>
          <cell r="U94">
            <v>0</v>
          </cell>
          <cell r="V94">
            <v>2054.19</v>
          </cell>
          <cell r="W94">
            <v>2035.19</v>
          </cell>
        </row>
        <row r="95">
          <cell r="A95" t="str">
            <v>Lewis Vincennes, Inc.</v>
          </cell>
          <cell r="B95">
            <v>33</v>
          </cell>
          <cell r="C95">
            <v>37591</v>
          </cell>
          <cell r="D95">
            <v>37591</v>
          </cell>
          <cell r="E95">
            <v>5208</v>
          </cell>
          <cell r="F95">
            <v>3152.92</v>
          </cell>
          <cell r="G95">
            <v>0</v>
          </cell>
          <cell r="H95">
            <v>75</v>
          </cell>
          <cell r="I95">
            <v>0</v>
          </cell>
          <cell r="J95">
            <v>0</v>
          </cell>
          <cell r="K95">
            <v>0</v>
          </cell>
          <cell r="L95">
            <v>0</v>
          </cell>
          <cell r="M95">
            <v>0</v>
          </cell>
          <cell r="N95">
            <v>0</v>
          </cell>
          <cell r="O95">
            <v>0</v>
          </cell>
          <cell r="P95">
            <v>0</v>
          </cell>
          <cell r="Q95">
            <v>19</v>
          </cell>
          <cell r="R95">
            <v>0</v>
          </cell>
          <cell r="S95">
            <v>0</v>
          </cell>
          <cell r="T95">
            <v>0</v>
          </cell>
          <cell r="U95">
            <v>0</v>
          </cell>
          <cell r="V95">
            <v>3246.92</v>
          </cell>
          <cell r="W95">
            <v>3227.92</v>
          </cell>
        </row>
        <row r="96">
          <cell r="A96" t="str">
            <v>Robur Corporation</v>
          </cell>
          <cell r="B96">
            <v>35</v>
          </cell>
          <cell r="C96">
            <v>37257</v>
          </cell>
          <cell r="D96">
            <v>37257</v>
          </cell>
          <cell r="E96">
            <v>1800</v>
          </cell>
          <cell r="F96">
            <v>1097.9000000000001</v>
          </cell>
          <cell r="G96">
            <v>0</v>
          </cell>
          <cell r="H96">
            <v>75</v>
          </cell>
          <cell r="I96">
            <v>0</v>
          </cell>
          <cell r="J96">
            <v>0</v>
          </cell>
          <cell r="K96">
            <v>0</v>
          </cell>
          <cell r="L96">
            <v>0</v>
          </cell>
          <cell r="M96">
            <v>0</v>
          </cell>
          <cell r="N96">
            <v>1800</v>
          </cell>
          <cell r="O96">
            <v>5.4</v>
          </cell>
          <cell r="P96">
            <v>0</v>
          </cell>
          <cell r="Q96">
            <v>19</v>
          </cell>
          <cell r="R96">
            <v>0.95</v>
          </cell>
          <cell r="S96">
            <v>0</v>
          </cell>
          <cell r="T96">
            <v>0</v>
          </cell>
          <cell r="U96">
            <v>0</v>
          </cell>
          <cell r="V96">
            <v>1198.25</v>
          </cell>
          <cell r="W96">
            <v>1178.3</v>
          </cell>
        </row>
        <row r="97">
          <cell r="A97" t="str">
            <v>Robur Corporation</v>
          </cell>
          <cell r="B97">
            <v>35</v>
          </cell>
          <cell r="C97">
            <v>37288</v>
          </cell>
          <cell r="D97">
            <v>37288</v>
          </cell>
          <cell r="E97">
            <v>1428</v>
          </cell>
          <cell r="F97">
            <v>873.58</v>
          </cell>
          <cell r="G97">
            <v>0</v>
          </cell>
          <cell r="H97">
            <v>75</v>
          </cell>
          <cell r="I97">
            <v>0</v>
          </cell>
          <cell r="J97">
            <v>0</v>
          </cell>
          <cell r="K97">
            <v>0</v>
          </cell>
          <cell r="L97">
            <v>0</v>
          </cell>
          <cell r="M97">
            <v>0</v>
          </cell>
          <cell r="N97">
            <v>1428</v>
          </cell>
          <cell r="O97">
            <v>-1.43</v>
          </cell>
          <cell r="P97">
            <v>0</v>
          </cell>
          <cell r="Q97">
            <v>19</v>
          </cell>
          <cell r="R97">
            <v>0.95</v>
          </cell>
          <cell r="S97">
            <v>0</v>
          </cell>
          <cell r="T97">
            <v>0</v>
          </cell>
          <cell r="U97">
            <v>0</v>
          </cell>
          <cell r="V97">
            <v>967.1</v>
          </cell>
          <cell r="W97">
            <v>947.15</v>
          </cell>
        </row>
        <row r="98">
          <cell r="A98" t="str">
            <v>Robur Corporation</v>
          </cell>
          <cell r="B98">
            <v>35</v>
          </cell>
          <cell r="C98">
            <v>37316</v>
          </cell>
          <cell r="D98">
            <v>37316</v>
          </cell>
          <cell r="E98">
            <v>1125</v>
          </cell>
          <cell r="F98">
            <v>690.88</v>
          </cell>
          <cell r="G98">
            <v>0</v>
          </cell>
          <cell r="H98">
            <v>75</v>
          </cell>
          <cell r="I98">
            <v>0</v>
          </cell>
          <cell r="J98">
            <v>0</v>
          </cell>
          <cell r="K98">
            <v>0</v>
          </cell>
          <cell r="L98">
            <v>0</v>
          </cell>
          <cell r="M98">
            <v>0</v>
          </cell>
          <cell r="N98">
            <v>1125</v>
          </cell>
          <cell r="O98">
            <v>-1.1200000000000001</v>
          </cell>
          <cell r="P98">
            <v>0</v>
          </cell>
          <cell r="Q98">
            <v>19</v>
          </cell>
          <cell r="R98">
            <v>0.95</v>
          </cell>
          <cell r="S98">
            <v>0</v>
          </cell>
          <cell r="T98">
            <v>0</v>
          </cell>
          <cell r="U98">
            <v>0</v>
          </cell>
          <cell r="V98">
            <v>784.71</v>
          </cell>
          <cell r="W98">
            <v>764.76</v>
          </cell>
        </row>
        <row r="99">
          <cell r="A99" t="str">
            <v>Robur Corporation</v>
          </cell>
          <cell r="B99">
            <v>35</v>
          </cell>
          <cell r="C99">
            <v>37347</v>
          </cell>
          <cell r="D99">
            <v>37347</v>
          </cell>
          <cell r="E99">
            <v>0</v>
          </cell>
          <cell r="F99">
            <v>0</v>
          </cell>
          <cell r="G99">
            <v>0</v>
          </cell>
          <cell r="H99">
            <v>75</v>
          </cell>
          <cell r="I99">
            <v>0</v>
          </cell>
          <cell r="J99">
            <v>0</v>
          </cell>
          <cell r="K99">
            <v>0</v>
          </cell>
          <cell r="L99">
            <v>0</v>
          </cell>
          <cell r="M99">
            <v>0</v>
          </cell>
          <cell r="N99">
            <v>0</v>
          </cell>
          <cell r="O99">
            <v>0</v>
          </cell>
          <cell r="P99">
            <v>0</v>
          </cell>
          <cell r="Q99">
            <v>19</v>
          </cell>
          <cell r="R99">
            <v>0.95</v>
          </cell>
          <cell r="S99">
            <v>0</v>
          </cell>
          <cell r="T99">
            <v>0</v>
          </cell>
          <cell r="U99">
            <v>0</v>
          </cell>
          <cell r="V99">
            <v>94.95</v>
          </cell>
          <cell r="W99">
            <v>75</v>
          </cell>
        </row>
        <row r="100">
          <cell r="A100" t="str">
            <v>Robur Corporation</v>
          </cell>
          <cell r="B100">
            <v>35</v>
          </cell>
          <cell r="C100">
            <v>37377</v>
          </cell>
          <cell r="D100">
            <v>37377</v>
          </cell>
          <cell r="E100">
            <v>0</v>
          </cell>
          <cell r="F100">
            <v>0</v>
          </cell>
          <cell r="G100">
            <v>0</v>
          </cell>
          <cell r="H100">
            <v>75</v>
          </cell>
          <cell r="I100">
            <v>0</v>
          </cell>
          <cell r="J100">
            <v>0</v>
          </cell>
          <cell r="K100">
            <v>0</v>
          </cell>
          <cell r="L100">
            <v>0</v>
          </cell>
          <cell r="M100">
            <v>0</v>
          </cell>
          <cell r="N100">
            <v>0</v>
          </cell>
          <cell r="O100">
            <v>0</v>
          </cell>
          <cell r="P100">
            <v>0</v>
          </cell>
          <cell r="Q100">
            <v>19</v>
          </cell>
          <cell r="R100">
            <v>0.95</v>
          </cell>
          <cell r="S100">
            <v>0</v>
          </cell>
          <cell r="T100">
            <v>0</v>
          </cell>
          <cell r="U100">
            <v>0</v>
          </cell>
          <cell r="V100">
            <v>94.95</v>
          </cell>
          <cell r="W100">
            <v>75</v>
          </cell>
        </row>
        <row r="101">
          <cell r="A101" t="str">
            <v>Robur Corporation</v>
          </cell>
          <cell r="B101">
            <v>35</v>
          </cell>
          <cell r="C101">
            <v>37408</v>
          </cell>
          <cell r="D101">
            <v>37408</v>
          </cell>
          <cell r="E101">
            <v>143</v>
          </cell>
          <cell r="F101">
            <v>98.73</v>
          </cell>
          <cell r="G101">
            <v>0</v>
          </cell>
          <cell r="H101">
            <v>75</v>
          </cell>
          <cell r="I101">
            <v>0</v>
          </cell>
          <cell r="J101">
            <v>0</v>
          </cell>
          <cell r="K101">
            <v>0</v>
          </cell>
          <cell r="L101">
            <v>0</v>
          </cell>
          <cell r="M101">
            <v>0</v>
          </cell>
          <cell r="N101">
            <v>0</v>
          </cell>
          <cell r="O101">
            <v>0</v>
          </cell>
          <cell r="P101">
            <v>0</v>
          </cell>
          <cell r="Q101">
            <v>19</v>
          </cell>
          <cell r="R101">
            <v>0.95</v>
          </cell>
          <cell r="S101">
            <v>0</v>
          </cell>
          <cell r="T101">
            <v>0</v>
          </cell>
          <cell r="U101">
            <v>0</v>
          </cell>
          <cell r="V101">
            <v>193.68</v>
          </cell>
          <cell r="W101">
            <v>173.73</v>
          </cell>
        </row>
        <row r="102">
          <cell r="A102" t="str">
            <v>Robur Corporation</v>
          </cell>
          <cell r="B102">
            <v>35</v>
          </cell>
          <cell r="C102">
            <v>37438</v>
          </cell>
          <cell r="D102">
            <v>37438</v>
          </cell>
          <cell r="E102">
            <v>350</v>
          </cell>
          <cell r="F102">
            <v>223.55</v>
          </cell>
          <cell r="G102">
            <v>0</v>
          </cell>
          <cell r="H102">
            <v>75</v>
          </cell>
          <cell r="I102">
            <v>0</v>
          </cell>
          <cell r="J102">
            <v>0</v>
          </cell>
          <cell r="K102">
            <v>0</v>
          </cell>
          <cell r="L102">
            <v>0</v>
          </cell>
          <cell r="M102">
            <v>0</v>
          </cell>
          <cell r="N102">
            <v>0</v>
          </cell>
          <cell r="O102">
            <v>0</v>
          </cell>
          <cell r="P102">
            <v>0</v>
          </cell>
          <cell r="Q102">
            <v>19</v>
          </cell>
          <cell r="R102">
            <v>0.95</v>
          </cell>
          <cell r="S102">
            <v>0</v>
          </cell>
          <cell r="T102">
            <v>0</v>
          </cell>
          <cell r="U102">
            <v>0</v>
          </cell>
          <cell r="V102">
            <v>318.5</v>
          </cell>
          <cell r="W102">
            <v>298.55</v>
          </cell>
        </row>
        <row r="103">
          <cell r="A103" t="str">
            <v>Robur Corporation</v>
          </cell>
          <cell r="B103">
            <v>35</v>
          </cell>
          <cell r="C103">
            <v>37469</v>
          </cell>
          <cell r="D103">
            <v>37469</v>
          </cell>
          <cell r="E103">
            <v>0</v>
          </cell>
          <cell r="F103">
            <v>0</v>
          </cell>
          <cell r="G103">
            <v>0</v>
          </cell>
          <cell r="H103">
            <v>75</v>
          </cell>
          <cell r="I103">
            <v>0</v>
          </cell>
          <cell r="J103">
            <v>0</v>
          </cell>
          <cell r="K103">
            <v>0</v>
          </cell>
          <cell r="L103">
            <v>0</v>
          </cell>
          <cell r="M103">
            <v>0</v>
          </cell>
          <cell r="N103">
            <v>0</v>
          </cell>
          <cell r="O103">
            <v>0</v>
          </cell>
          <cell r="P103">
            <v>0</v>
          </cell>
          <cell r="Q103">
            <v>19</v>
          </cell>
          <cell r="R103">
            <v>0.95</v>
          </cell>
          <cell r="S103">
            <v>0</v>
          </cell>
          <cell r="T103">
            <v>0</v>
          </cell>
          <cell r="U103">
            <v>0</v>
          </cell>
          <cell r="V103">
            <v>94.95</v>
          </cell>
          <cell r="W103">
            <v>75</v>
          </cell>
        </row>
        <row r="104">
          <cell r="A104" t="str">
            <v>Robur Corporation</v>
          </cell>
          <cell r="B104">
            <v>35</v>
          </cell>
          <cell r="C104">
            <v>37500</v>
          </cell>
          <cell r="D104">
            <v>37500</v>
          </cell>
          <cell r="E104">
            <v>0</v>
          </cell>
          <cell r="F104">
            <v>0</v>
          </cell>
          <cell r="G104">
            <v>0</v>
          </cell>
          <cell r="H104">
            <v>75</v>
          </cell>
          <cell r="I104">
            <v>0</v>
          </cell>
          <cell r="J104">
            <v>0</v>
          </cell>
          <cell r="K104">
            <v>0</v>
          </cell>
          <cell r="L104">
            <v>0</v>
          </cell>
          <cell r="M104">
            <v>0</v>
          </cell>
          <cell r="N104">
            <v>0</v>
          </cell>
          <cell r="O104">
            <v>0</v>
          </cell>
          <cell r="P104">
            <v>0</v>
          </cell>
          <cell r="Q104">
            <v>19</v>
          </cell>
          <cell r="R104">
            <v>0.95</v>
          </cell>
          <cell r="S104">
            <v>0</v>
          </cell>
          <cell r="T104">
            <v>0</v>
          </cell>
          <cell r="U104">
            <v>0</v>
          </cell>
          <cell r="V104">
            <v>94.95</v>
          </cell>
          <cell r="W104">
            <v>75</v>
          </cell>
        </row>
        <row r="105">
          <cell r="A105" t="str">
            <v>Robur Corporation</v>
          </cell>
          <cell r="B105">
            <v>35</v>
          </cell>
          <cell r="C105">
            <v>37530</v>
          </cell>
          <cell r="D105">
            <v>37530</v>
          </cell>
          <cell r="E105">
            <v>0</v>
          </cell>
          <cell r="F105">
            <v>0</v>
          </cell>
          <cell r="G105">
            <v>0</v>
          </cell>
          <cell r="H105">
            <v>75</v>
          </cell>
          <cell r="I105">
            <v>0</v>
          </cell>
          <cell r="J105">
            <v>0</v>
          </cell>
          <cell r="K105">
            <v>0</v>
          </cell>
          <cell r="L105">
            <v>0</v>
          </cell>
          <cell r="M105">
            <v>0</v>
          </cell>
          <cell r="N105">
            <v>0</v>
          </cell>
          <cell r="O105">
            <v>0</v>
          </cell>
          <cell r="P105">
            <v>0</v>
          </cell>
          <cell r="Q105">
            <v>19</v>
          </cell>
          <cell r="R105">
            <v>0.95</v>
          </cell>
          <cell r="S105">
            <v>0</v>
          </cell>
          <cell r="T105">
            <v>0</v>
          </cell>
          <cell r="U105">
            <v>0</v>
          </cell>
          <cell r="V105">
            <v>94.95</v>
          </cell>
          <cell r="W105">
            <v>75</v>
          </cell>
        </row>
        <row r="106">
          <cell r="A106" t="str">
            <v>Robur Corporation</v>
          </cell>
          <cell r="B106">
            <v>35</v>
          </cell>
          <cell r="C106">
            <v>37561</v>
          </cell>
          <cell r="D106">
            <v>37561</v>
          </cell>
          <cell r="E106">
            <v>0</v>
          </cell>
          <cell r="F106">
            <v>0</v>
          </cell>
          <cell r="G106">
            <v>0</v>
          </cell>
          <cell r="H106">
            <v>75</v>
          </cell>
          <cell r="I106">
            <v>0</v>
          </cell>
          <cell r="J106">
            <v>0</v>
          </cell>
          <cell r="K106">
            <v>0</v>
          </cell>
          <cell r="L106">
            <v>0</v>
          </cell>
          <cell r="M106">
            <v>0</v>
          </cell>
          <cell r="N106">
            <v>0</v>
          </cell>
          <cell r="O106">
            <v>0</v>
          </cell>
          <cell r="P106">
            <v>0</v>
          </cell>
          <cell r="Q106">
            <v>19</v>
          </cell>
          <cell r="R106">
            <v>0.95</v>
          </cell>
          <cell r="S106">
            <v>0</v>
          </cell>
          <cell r="T106">
            <v>0</v>
          </cell>
          <cell r="U106">
            <v>0</v>
          </cell>
          <cell r="V106">
            <v>94.95</v>
          </cell>
          <cell r="W106">
            <v>75</v>
          </cell>
        </row>
        <row r="107">
          <cell r="A107" t="str">
            <v>Collis, Inc.</v>
          </cell>
          <cell r="B107">
            <v>45</v>
          </cell>
          <cell r="C107">
            <v>37257</v>
          </cell>
          <cell r="D107">
            <v>37257</v>
          </cell>
          <cell r="E107">
            <v>5600</v>
          </cell>
          <cell r="F107">
            <v>3389.3</v>
          </cell>
          <cell r="G107">
            <v>0</v>
          </cell>
          <cell r="H107">
            <v>75</v>
          </cell>
          <cell r="I107">
            <v>0</v>
          </cell>
          <cell r="J107">
            <v>0</v>
          </cell>
          <cell r="K107">
            <v>0</v>
          </cell>
          <cell r="L107">
            <v>0</v>
          </cell>
          <cell r="M107">
            <v>0</v>
          </cell>
          <cell r="N107">
            <v>5600</v>
          </cell>
          <cell r="O107">
            <v>16.8</v>
          </cell>
          <cell r="P107">
            <v>0</v>
          </cell>
          <cell r="Q107">
            <v>19</v>
          </cell>
          <cell r="R107">
            <v>0</v>
          </cell>
          <cell r="S107">
            <v>0</v>
          </cell>
          <cell r="T107">
            <v>0</v>
          </cell>
          <cell r="U107">
            <v>0</v>
          </cell>
          <cell r="V107">
            <v>3500.1</v>
          </cell>
          <cell r="W107">
            <v>3481.1</v>
          </cell>
        </row>
        <row r="108">
          <cell r="A108" t="str">
            <v>Collis, Inc.</v>
          </cell>
          <cell r="B108">
            <v>45</v>
          </cell>
          <cell r="C108">
            <v>37288</v>
          </cell>
          <cell r="D108">
            <v>37288</v>
          </cell>
          <cell r="E108">
            <v>4200</v>
          </cell>
          <cell r="F108">
            <v>2545.1</v>
          </cell>
          <cell r="G108">
            <v>0</v>
          </cell>
          <cell r="H108">
            <v>75</v>
          </cell>
          <cell r="I108">
            <v>0</v>
          </cell>
          <cell r="J108">
            <v>0</v>
          </cell>
          <cell r="K108">
            <v>0</v>
          </cell>
          <cell r="L108">
            <v>0</v>
          </cell>
          <cell r="M108">
            <v>0</v>
          </cell>
          <cell r="N108">
            <v>4200</v>
          </cell>
          <cell r="O108">
            <v>-4.2</v>
          </cell>
          <cell r="P108">
            <v>0</v>
          </cell>
          <cell r="Q108">
            <v>19</v>
          </cell>
          <cell r="R108">
            <v>0</v>
          </cell>
          <cell r="S108">
            <v>0</v>
          </cell>
          <cell r="T108">
            <v>0</v>
          </cell>
          <cell r="U108">
            <v>0</v>
          </cell>
          <cell r="V108">
            <v>2634.9</v>
          </cell>
          <cell r="W108">
            <v>2615.9</v>
          </cell>
        </row>
        <row r="109">
          <cell r="A109" t="str">
            <v>Collis, Inc.</v>
          </cell>
          <cell r="B109">
            <v>45</v>
          </cell>
          <cell r="C109">
            <v>37316</v>
          </cell>
          <cell r="D109">
            <v>37316</v>
          </cell>
          <cell r="E109">
            <v>4712</v>
          </cell>
          <cell r="F109">
            <v>2853.84</v>
          </cell>
          <cell r="G109">
            <v>0</v>
          </cell>
          <cell r="H109">
            <v>75</v>
          </cell>
          <cell r="I109">
            <v>0</v>
          </cell>
          <cell r="J109">
            <v>0</v>
          </cell>
          <cell r="K109">
            <v>0</v>
          </cell>
          <cell r="L109">
            <v>0</v>
          </cell>
          <cell r="M109">
            <v>0</v>
          </cell>
          <cell r="N109">
            <v>4712</v>
          </cell>
          <cell r="O109">
            <v>-4.71</v>
          </cell>
          <cell r="P109">
            <v>0</v>
          </cell>
          <cell r="Q109">
            <v>19</v>
          </cell>
          <cell r="R109">
            <v>0</v>
          </cell>
          <cell r="S109">
            <v>0</v>
          </cell>
          <cell r="T109">
            <v>0</v>
          </cell>
          <cell r="U109">
            <v>0</v>
          </cell>
          <cell r="V109">
            <v>2943.13</v>
          </cell>
          <cell r="W109">
            <v>2924.13</v>
          </cell>
        </row>
        <row r="110">
          <cell r="A110" t="str">
            <v>Collis, Inc.</v>
          </cell>
          <cell r="B110">
            <v>45</v>
          </cell>
          <cell r="C110">
            <v>37347</v>
          </cell>
          <cell r="D110">
            <v>37347</v>
          </cell>
          <cell r="E110">
            <v>3600</v>
          </cell>
          <cell r="F110">
            <v>2183.3000000000002</v>
          </cell>
          <cell r="G110">
            <v>0</v>
          </cell>
          <cell r="H110">
            <v>75</v>
          </cell>
          <cell r="I110">
            <v>0</v>
          </cell>
          <cell r="J110">
            <v>0</v>
          </cell>
          <cell r="K110">
            <v>0</v>
          </cell>
          <cell r="L110">
            <v>0</v>
          </cell>
          <cell r="M110">
            <v>0</v>
          </cell>
          <cell r="N110">
            <v>3600</v>
          </cell>
          <cell r="O110">
            <v>-3.6</v>
          </cell>
          <cell r="P110">
            <v>0</v>
          </cell>
          <cell r="Q110">
            <v>19</v>
          </cell>
          <cell r="R110">
            <v>0</v>
          </cell>
          <cell r="S110">
            <v>0</v>
          </cell>
          <cell r="T110">
            <v>0</v>
          </cell>
          <cell r="U110">
            <v>0</v>
          </cell>
          <cell r="V110">
            <v>2273.6999999999998</v>
          </cell>
          <cell r="W110">
            <v>2254.6999999999998</v>
          </cell>
        </row>
        <row r="111">
          <cell r="A111" t="str">
            <v>Collis, Inc.</v>
          </cell>
          <cell r="B111">
            <v>45</v>
          </cell>
          <cell r="C111">
            <v>37377</v>
          </cell>
          <cell r="D111">
            <v>37377</v>
          </cell>
          <cell r="E111">
            <v>3500</v>
          </cell>
          <cell r="F111">
            <v>2123</v>
          </cell>
          <cell r="G111">
            <v>0</v>
          </cell>
          <cell r="H111">
            <v>75</v>
          </cell>
          <cell r="I111">
            <v>0</v>
          </cell>
          <cell r="J111">
            <v>0</v>
          </cell>
          <cell r="K111">
            <v>0</v>
          </cell>
          <cell r="L111">
            <v>0</v>
          </cell>
          <cell r="M111">
            <v>0</v>
          </cell>
          <cell r="N111">
            <v>0</v>
          </cell>
          <cell r="O111">
            <v>0</v>
          </cell>
          <cell r="P111">
            <v>0</v>
          </cell>
          <cell r="Q111">
            <v>19</v>
          </cell>
          <cell r="R111">
            <v>0</v>
          </cell>
          <cell r="S111">
            <v>0</v>
          </cell>
          <cell r="T111">
            <v>0</v>
          </cell>
          <cell r="U111">
            <v>0</v>
          </cell>
          <cell r="V111">
            <v>2217</v>
          </cell>
          <cell r="W111">
            <v>2198</v>
          </cell>
        </row>
        <row r="112">
          <cell r="A112" t="str">
            <v>Collis, Inc.</v>
          </cell>
          <cell r="B112">
            <v>45</v>
          </cell>
          <cell r="C112">
            <v>37408</v>
          </cell>
          <cell r="D112">
            <v>37408</v>
          </cell>
          <cell r="E112">
            <v>3000</v>
          </cell>
          <cell r="F112">
            <v>1821.5</v>
          </cell>
          <cell r="G112">
            <v>0</v>
          </cell>
          <cell r="H112">
            <v>75</v>
          </cell>
          <cell r="I112">
            <v>0</v>
          </cell>
          <cell r="J112">
            <v>0</v>
          </cell>
          <cell r="K112">
            <v>0</v>
          </cell>
          <cell r="L112">
            <v>0</v>
          </cell>
          <cell r="M112">
            <v>0</v>
          </cell>
          <cell r="N112">
            <v>0</v>
          </cell>
          <cell r="O112">
            <v>0</v>
          </cell>
          <cell r="P112">
            <v>0</v>
          </cell>
          <cell r="Q112">
            <v>19</v>
          </cell>
          <cell r="R112">
            <v>0</v>
          </cell>
          <cell r="S112">
            <v>0</v>
          </cell>
          <cell r="T112">
            <v>0</v>
          </cell>
          <cell r="U112">
            <v>0</v>
          </cell>
          <cell r="V112">
            <v>1915.5</v>
          </cell>
          <cell r="W112">
            <v>1896.5</v>
          </cell>
        </row>
        <row r="113">
          <cell r="A113" t="str">
            <v>Collis, Inc.</v>
          </cell>
          <cell r="B113">
            <v>45</v>
          </cell>
          <cell r="C113">
            <v>37438</v>
          </cell>
          <cell r="D113">
            <v>37438</v>
          </cell>
          <cell r="E113">
            <v>3200</v>
          </cell>
          <cell r="F113">
            <v>1942.1</v>
          </cell>
          <cell r="G113">
            <v>0</v>
          </cell>
          <cell r="H113">
            <v>75</v>
          </cell>
          <cell r="I113">
            <v>0</v>
          </cell>
          <cell r="J113">
            <v>0</v>
          </cell>
          <cell r="K113">
            <v>0</v>
          </cell>
          <cell r="L113">
            <v>0</v>
          </cell>
          <cell r="M113">
            <v>0</v>
          </cell>
          <cell r="N113">
            <v>0</v>
          </cell>
          <cell r="O113">
            <v>0</v>
          </cell>
          <cell r="P113">
            <v>0</v>
          </cell>
          <cell r="Q113">
            <v>19</v>
          </cell>
          <cell r="R113">
            <v>0</v>
          </cell>
          <cell r="S113">
            <v>0</v>
          </cell>
          <cell r="T113">
            <v>0</v>
          </cell>
          <cell r="U113">
            <v>0</v>
          </cell>
          <cell r="V113">
            <v>2036.1</v>
          </cell>
          <cell r="W113">
            <v>2017.1</v>
          </cell>
        </row>
        <row r="114">
          <cell r="A114" t="str">
            <v>Collis, Inc.</v>
          </cell>
          <cell r="B114">
            <v>45</v>
          </cell>
          <cell r="C114">
            <v>37469</v>
          </cell>
          <cell r="D114">
            <v>37469</v>
          </cell>
          <cell r="E114">
            <v>2700</v>
          </cell>
          <cell r="F114">
            <v>1640.6</v>
          </cell>
          <cell r="G114">
            <v>0</v>
          </cell>
          <cell r="H114">
            <v>75</v>
          </cell>
          <cell r="I114">
            <v>0</v>
          </cell>
          <cell r="J114">
            <v>0</v>
          </cell>
          <cell r="K114">
            <v>0</v>
          </cell>
          <cell r="L114">
            <v>0</v>
          </cell>
          <cell r="M114">
            <v>0</v>
          </cell>
          <cell r="N114">
            <v>0</v>
          </cell>
          <cell r="O114">
            <v>0</v>
          </cell>
          <cell r="P114">
            <v>0</v>
          </cell>
          <cell r="Q114">
            <v>19</v>
          </cell>
          <cell r="R114">
            <v>0</v>
          </cell>
          <cell r="S114">
            <v>0</v>
          </cell>
          <cell r="T114">
            <v>0</v>
          </cell>
          <cell r="U114">
            <v>0</v>
          </cell>
          <cell r="V114">
            <v>1734.6</v>
          </cell>
          <cell r="W114">
            <v>1715.6</v>
          </cell>
        </row>
        <row r="115">
          <cell r="A115" t="str">
            <v>Collis, Inc.</v>
          </cell>
          <cell r="B115">
            <v>45</v>
          </cell>
          <cell r="C115">
            <v>37500</v>
          </cell>
          <cell r="D115">
            <v>37500</v>
          </cell>
          <cell r="E115">
            <v>2610</v>
          </cell>
          <cell r="F115">
            <v>1586.33</v>
          </cell>
          <cell r="G115">
            <v>0</v>
          </cell>
          <cell r="H115">
            <v>75</v>
          </cell>
          <cell r="I115">
            <v>0</v>
          </cell>
          <cell r="J115">
            <v>0</v>
          </cell>
          <cell r="K115">
            <v>0</v>
          </cell>
          <cell r="L115">
            <v>0</v>
          </cell>
          <cell r="M115">
            <v>0</v>
          </cell>
          <cell r="N115">
            <v>0</v>
          </cell>
          <cell r="O115">
            <v>0</v>
          </cell>
          <cell r="P115">
            <v>0</v>
          </cell>
          <cell r="Q115">
            <v>19</v>
          </cell>
          <cell r="R115">
            <v>0</v>
          </cell>
          <cell r="S115">
            <v>0</v>
          </cell>
          <cell r="T115">
            <v>0</v>
          </cell>
          <cell r="U115">
            <v>0</v>
          </cell>
          <cell r="V115">
            <v>1680.33</v>
          </cell>
          <cell r="W115">
            <v>1661.33</v>
          </cell>
        </row>
        <row r="116">
          <cell r="A116" t="str">
            <v>Collis, Inc.</v>
          </cell>
          <cell r="B116">
            <v>45</v>
          </cell>
          <cell r="C116">
            <v>37530</v>
          </cell>
          <cell r="D116">
            <v>37530</v>
          </cell>
          <cell r="E116">
            <v>3800</v>
          </cell>
          <cell r="F116">
            <v>2303.9</v>
          </cell>
          <cell r="G116">
            <v>0</v>
          </cell>
          <cell r="H116">
            <v>75</v>
          </cell>
          <cell r="I116">
            <v>0</v>
          </cell>
          <cell r="J116">
            <v>0</v>
          </cell>
          <cell r="K116">
            <v>0</v>
          </cell>
          <cell r="L116">
            <v>0</v>
          </cell>
          <cell r="M116">
            <v>0</v>
          </cell>
          <cell r="N116">
            <v>0</v>
          </cell>
          <cell r="O116">
            <v>0</v>
          </cell>
          <cell r="P116">
            <v>0</v>
          </cell>
          <cell r="Q116">
            <v>19</v>
          </cell>
          <cell r="R116">
            <v>0</v>
          </cell>
          <cell r="S116">
            <v>0</v>
          </cell>
          <cell r="T116">
            <v>0</v>
          </cell>
          <cell r="U116">
            <v>0</v>
          </cell>
          <cell r="V116">
            <v>2397.9</v>
          </cell>
          <cell r="W116">
            <v>2378.9</v>
          </cell>
        </row>
        <row r="117">
          <cell r="A117" t="str">
            <v>Collis, Inc.</v>
          </cell>
          <cell r="B117">
            <v>45</v>
          </cell>
          <cell r="C117">
            <v>37561</v>
          </cell>
          <cell r="D117">
            <v>37561</v>
          </cell>
          <cell r="E117">
            <v>4300</v>
          </cell>
          <cell r="F117">
            <v>2605.4</v>
          </cell>
          <cell r="G117">
            <v>0</v>
          </cell>
          <cell r="H117">
            <v>75</v>
          </cell>
          <cell r="I117">
            <v>0</v>
          </cell>
          <cell r="J117">
            <v>0</v>
          </cell>
          <cell r="K117">
            <v>0</v>
          </cell>
          <cell r="L117">
            <v>0</v>
          </cell>
          <cell r="M117">
            <v>0</v>
          </cell>
          <cell r="N117">
            <v>0</v>
          </cell>
          <cell r="O117">
            <v>0</v>
          </cell>
          <cell r="P117">
            <v>0</v>
          </cell>
          <cell r="Q117">
            <v>19</v>
          </cell>
          <cell r="R117">
            <v>0</v>
          </cell>
          <cell r="S117">
            <v>0</v>
          </cell>
          <cell r="T117">
            <v>0</v>
          </cell>
          <cell r="U117">
            <v>0</v>
          </cell>
          <cell r="V117">
            <v>2699.4</v>
          </cell>
          <cell r="W117">
            <v>2680.4</v>
          </cell>
        </row>
        <row r="118">
          <cell r="A118" t="str">
            <v>Collis, Inc.</v>
          </cell>
          <cell r="B118">
            <v>45</v>
          </cell>
          <cell r="C118">
            <v>37591</v>
          </cell>
          <cell r="D118">
            <v>37591</v>
          </cell>
          <cell r="E118">
            <v>4700</v>
          </cell>
          <cell r="F118">
            <v>2846.6</v>
          </cell>
          <cell r="G118">
            <v>0</v>
          </cell>
          <cell r="H118">
            <v>75</v>
          </cell>
          <cell r="I118">
            <v>0</v>
          </cell>
          <cell r="J118">
            <v>0</v>
          </cell>
          <cell r="K118">
            <v>0</v>
          </cell>
          <cell r="L118">
            <v>0</v>
          </cell>
          <cell r="M118">
            <v>0</v>
          </cell>
          <cell r="N118">
            <v>0</v>
          </cell>
          <cell r="O118">
            <v>0</v>
          </cell>
          <cell r="P118">
            <v>0</v>
          </cell>
          <cell r="Q118">
            <v>19</v>
          </cell>
          <cell r="R118">
            <v>0</v>
          </cell>
          <cell r="S118">
            <v>0</v>
          </cell>
          <cell r="T118">
            <v>0</v>
          </cell>
          <cell r="U118">
            <v>0</v>
          </cell>
          <cell r="V118">
            <v>2940.6</v>
          </cell>
          <cell r="W118">
            <v>2921.6</v>
          </cell>
        </row>
        <row r="119">
          <cell r="A119" t="str">
            <v>Polar Minerals</v>
          </cell>
          <cell r="B119">
            <v>46</v>
          </cell>
          <cell r="C119">
            <v>37257</v>
          </cell>
          <cell r="D119">
            <v>37257</v>
          </cell>
          <cell r="E119">
            <v>2800</v>
          </cell>
          <cell r="F119">
            <v>1700.9</v>
          </cell>
          <cell r="G119">
            <v>0</v>
          </cell>
          <cell r="H119">
            <v>75</v>
          </cell>
          <cell r="I119">
            <v>0</v>
          </cell>
          <cell r="J119">
            <v>0</v>
          </cell>
          <cell r="K119">
            <v>0</v>
          </cell>
          <cell r="L119">
            <v>0</v>
          </cell>
          <cell r="M119">
            <v>0</v>
          </cell>
          <cell r="N119">
            <v>2800</v>
          </cell>
          <cell r="O119">
            <v>8.4</v>
          </cell>
          <cell r="P119">
            <v>0</v>
          </cell>
          <cell r="Q119">
            <v>19</v>
          </cell>
          <cell r="R119">
            <v>0.95</v>
          </cell>
          <cell r="S119">
            <v>0</v>
          </cell>
          <cell r="T119">
            <v>0</v>
          </cell>
          <cell r="U119">
            <v>0</v>
          </cell>
          <cell r="V119">
            <v>1804.25</v>
          </cell>
          <cell r="W119">
            <v>1784.3</v>
          </cell>
        </row>
        <row r="120">
          <cell r="A120" t="str">
            <v>Polar Minerals</v>
          </cell>
          <cell r="B120">
            <v>46</v>
          </cell>
          <cell r="C120">
            <v>37288</v>
          </cell>
          <cell r="D120">
            <v>37288</v>
          </cell>
          <cell r="E120">
            <v>1500</v>
          </cell>
          <cell r="F120">
            <v>917</v>
          </cell>
          <cell r="G120">
            <v>0</v>
          </cell>
          <cell r="H120">
            <v>75</v>
          </cell>
          <cell r="I120">
            <v>0</v>
          </cell>
          <cell r="J120">
            <v>0</v>
          </cell>
          <cell r="K120">
            <v>0</v>
          </cell>
          <cell r="L120">
            <v>0</v>
          </cell>
          <cell r="M120">
            <v>0</v>
          </cell>
          <cell r="N120">
            <v>1500</v>
          </cell>
          <cell r="O120">
            <v>-1.5</v>
          </cell>
          <cell r="P120">
            <v>0</v>
          </cell>
          <cell r="Q120">
            <v>19</v>
          </cell>
          <cell r="R120">
            <v>0.95</v>
          </cell>
          <cell r="S120">
            <v>0</v>
          </cell>
          <cell r="T120">
            <v>0</v>
          </cell>
          <cell r="U120">
            <v>0</v>
          </cell>
          <cell r="V120">
            <v>1010.45</v>
          </cell>
          <cell r="W120">
            <v>990.5</v>
          </cell>
        </row>
        <row r="121">
          <cell r="A121" t="str">
            <v>Polar Minerals</v>
          </cell>
          <cell r="B121">
            <v>46</v>
          </cell>
          <cell r="C121">
            <v>37316</v>
          </cell>
          <cell r="D121">
            <v>37316</v>
          </cell>
          <cell r="E121">
            <v>1612</v>
          </cell>
          <cell r="F121">
            <v>984.54</v>
          </cell>
          <cell r="G121">
            <v>0</v>
          </cell>
          <cell r="H121">
            <v>75</v>
          </cell>
          <cell r="I121">
            <v>0</v>
          </cell>
          <cell r="J121">
            <v>0</v>
          </cell>
          <cell r="K121">
            <v>0</v>
          </cell>
          <cell r="L121">
            <v>0</v>
          </cell>
          <cell r="M121">
            <v>0</v>
          </cell>
          <cell r="N121">
            <v>1612</v>
          </cell>
          <cell r="O121">
            <v>-1.61</v>
          </cell>
          <cell r="P121">
            <v>0</v>
          </cell>
          <cell r="Q121">
            <v>19</v>
          </cell>
          <cell r="R121">
            <v>0.95</v>
          </cell>
          <cell r="S121">
            <v>0</v>
          </cell>
          <cell r="T121">
            <v>0</v>
          </cell>
          <cell r="U121">
            <v>0</v>
          </cell>
          <cell r="V121">
            <v>1077.8800000000001</v>
          </cell>
          <cell r="W121">
            <v>1057.93</v>
          </cell>
        </row>
        <row r="122">
          <cell r="A122" t="str">
            <v>Polar Minerals</v>
          </cell>
          <cell r="B122">
            <v>46</v>
          </cell>
          <cell r="C122">
            <v>37347</v>
          </cell>
          <cell r="D122">
            <v>37347</v>
          </cell>
          <cell r="E122">
            <v>1000</v>
          </cell>
          <cell r="F122">
            <v>615.5</v>
          </cell>
          <cell r="G122">
            <v>0</v>
          </cell>
          <cell r="H122">
            <v>75</v>
          </cell>
          <cell r="I122">
            <v>0</v>
          </cell>
          <cell r="J122">
            <v>0</v>
          </cell>
          <cell r="K122">
            <v>0</v>
          </cell>
          <cell r="L122">
            <v>0</v>
          </cell>
          <cell r="M122">
            <v>0</v>
          </cell>
          <cell r="N122">
            <v>1000</v>
          </cell>
          <cell r="O122">
            <v>-1</v>
          </cell>
          <cell r="P122">
            <v>0</v>
          </cell>
          <cell r="Q122">
            <v>19</v>
          </cell>
          <cell r="R122">
            <v>0.95</v>
          </cell>
          <cell r="S122">
            <v>0</v>
          </cell>
          <cell r="T122">
            <v>0</v>
          </cell>
          <cell r="U122">
            <v>0</v>
          </cell>
          <cell r="V122">
            <v>709.45</v>
          </cell>
          <cell r="W122">
            <v>689.5</v>
          </cell>
        </row>
        <row r="123">
          <cell r="A123" t="str">
            <v>Polar Minerals</v>
          </cell>
          <cell r="B123">
            <v>46</v>
          </cell>
          <cell r="C123">
            <v>37377</v>
          </cell>
          <cell r="D123">
            <v>37377</v>
          </cell>
          <cell r="E123">
            <v>800</v>
          </cell>
          <cell r="F123">
            <v>494.9</v>
          </cell>
          <cell r="G123">
            <v>0</v>
          </cell>
          <cell r="H123">
            <v>75</v>
          </cell>
          <cell r="I123">
            <v>0</v>
          </cell>
          <cell r="J123">
            <v>0</v>
          </cell>
          <cell r="K123">
            <v>0</v>
          </cell>
          <cell r="L123">
            <v>0</v>
          </cell>
          <cell r="M123">
            <v>0</v>
          </cell>
          <cell r="N123">
            <v>0</v>
          </cell>
          <cell r="O123">
            <v>0</v>
          </cell>
          <cell r="P123">
            <v>0</v>
          </cell>
          <cell r="Q123">
            <v>19</v>
          </cell>
          <cell r="R123">
            <v>0.95</v>
          </cell>
          <cell r="S123">
            <v>0</v>
          </cell>
          <cell r="T123">
            <v>0</v>
          </cell>
          <cell r="U123">
            <v>0</v>
          </cell>
          <cell r="V123">
            <v>589.85</v>
          </cell>
          <cell r="W123">
            <v>569.9</v>
          </cell>
        </row>
        <row r="124">
          <cell r="A124" t="str">
            <v>Polar Minerals</v>
          </cell>
          <cell r="B124">
            <v>46</v>
          </cell>
          <cell r="C124">
            <v>37408</v>
          </cell>
          <cell r="D124">
            <v>37408</v>
          </cell>
          <cell r="E124">
            <v>1000</v>
          </cell>
          <cell r="F124">
            <v>615.5</v>
          </cell>
          <cell r="G124">
            <v>0</v>
          </cell>
          <cell r="H124">
            <v>75</v>
          </cell>
          <cell r="I124">
            <v>0</v>
          </cell>
          <cell r="J124">
            <v>0</v>
          </cell>
          <cell r="K124">
            <v>0</v>
          </cell>
          <cell r="L124">
            <v>0</v>
          </cell>
          <cell r="M124">
            <v>0</v>
          </cell>
          <cell r="N124">
            <v>0</v>
          </cell>
          <cell r="O124">
            <v>0</v>
          </cell>
          <cell r="P124">
            <v>0</v>
          </cell>
          <cell r="Q124">
            <v>19</v>
          </cell>
          <cell r="R124">
            <v>0.95</v>
          </cell>
          <cell r="S124">
            <v>0</v>
          </cell>
          <cell r="T124">
            <v>0</v>
          </cell>
          <cell r="U124">
            <v>0</v>
          </cell>
          <cell r="V124">
            <v>710.45</v>
          </cell>
          <cell r="W124">
            <v>690.5</v>
          </cell>
        </row>
        <row r="125">
          <cell r="A125" t="str">
            <v>Polar Minerals</v>
          </cell>
          <cell r="B125">
            <v>46</v>
          </cell>
          <cell r="C125">
            <v>37438</v>
          </cell>
          <cell r="D125">
            <v>37438</v>
          </cell>
          <cell r="E125">
            <v>800</v>
          </cell>
          <cell r="F125">
            <v>494.9</v>
          </cell>
          <cell r="G125">
            <v>0</v>
          </cell>
          <cell r="H125">
            <v>75</v>
          </cell>
          <cell r="I125">
            <v>0</v>
          </cell>
          <cell r="J125">
            <v>0</v>
          </cell>
          <cell r="K125">
            <v>0</v>
          </cell>
          <cell r="L125">
            <v>0</v>
          </cell>
          <cell r="M125">
            <v>0</v>
          </cell>
          <cell r="N125">
            <v>0</v>
          </cell>
          <cell r="O125">
            <v>0</v>
          </cell>
          <cell r="P125">
            <v>0</v>
          </cell>
          <cell r="Q125">
            <v>19</v>
          </cell>
          <cell r="R125">
            <v>0.95</v>
          </cell>
          <cell r="S125">
            <v>0</v>
          </cell>
          <cell r="T125">
            <v>0</v>
          </cell>
          <cell r="U125">
            <v>0</v>
          </cell>
          <cell r="V125">
            <v>589.85</v>
          </cell>
          <cell r="W125">
            <v>569.9</v>
          </cell>
        </row>
        <row r="126">
          <cell r="A126" t="str">
            <v>Polar Minerals</v>
          </cell>
          <cell r="B126">
            <v>46</v>
          </cell>
          <cell r="C126">
            <v>37469</v>
          </cell>
          <cell r="D126">
            <v>37469</v>
          </cell>
          <cell r="E126">
            <v>0</v>
          </cell>
          <cell r="F126">
            <v>0</v>
          </cell>
          <cell r="G126">
            <v>0</v>
          </cell>
          <cell r="H126">
            <v>75</v>
          </cell>
          <cell r="I126">
            <v>0</v>
          </cell>
          <cell r="J126">
            <v>0</v>
          </cell>
          <cell r="K126">
            <v>0</v>
          </cell>
          <cell r="L126">
            <v>0</v>
          </cell>
          <cell r="M126">
            <v>0</v>
          </cell>
          <cell r="N126">
            <v>0</v>
          </cell>
          <cell r="O126">
            <v>0</v>
          </cell>
          <cell r="P126">
            <v>0</v>
          </cell>
          <cell r="Q126">
            <v>19</v>
          </cell>
          <cell r="R126">
            <v>0.95</v>
          </cell>
          <cell r="S126">
            <v>0</v>
          </cell>
          <cell r="T126">
            <v>0</v>
          </cell>
          <cell r="U126">
            <v>0</v>
          </cell>
          <cell r="V126">
            <v>94.95</v>
          </cell>
          <cell r="W126">
            <v>75</v>
          </cell>
        </row>
        <row r="127">
          <cell r="A127" t="str">
            <v>Polar Minerals</v>
          </cell>
          <cell r="B127">
            <v>46</v>
          </cell>
          <cell r="C127">
            <v>37500</v>
          </cell>
          <cell r="D127">
            <v>37500</v>
          </cell>
          <cell r="E127">
            <v>0</v>
          </cell>
          <cell r="F127">
            <v>0</v>
          </cell>
          <cell r="G127">
            <v>0</v>
          </cell>
          <cell r="H127">
            <v>75</v>
          </cell>
          <cell r="I127">
            <v>0</v>
          </cell>
          <cell r="J127">
            <v>0</v>
          </cell>
          <cell r="K127">
            <v>0</v>
          </cell>
          <cell r="L127">
            <v>0</v>
          </cell>
          <cell r="M127">
            <v>0</v>
          </cell>
          <cell r="N127">
            <v>0</v>
          </cell>
          <cell r="O127">
            <v>0</v>
          </cell>
          <cell r="P127">
            <v>0</v>
          </cell>
          <cell r="Q127">
            <v>19</v>
          </cell>
          <cell r="R127">
            <v>0.95</v>
          </cell>
          <cell r="S127">
            <v>0</v>
          </cell>
          <cell r="T127">
            <v>0</v>
          </cell>
          <cell r="U127">
            <v>0</v>
          </cell>
          <cell r="V127">
            <v>94.95</v>
          </cell>
          <cell r="W127">
            <v>75</v>
          </cell>
        </row>
        <row r="128">
          <cell r="A128" t="str">
            <v>Polar Minerals</v>
          </cell>
          <cell r="B128">
            <v>46</v>
          </cell>
          <cell r="C128">
            <v>37530</v>
          </cell>
          <cell r="D128">
            <v>37530</v>
          </cell>
          <cell r="E128">
            <v>6774</v>
          </cell>
          <cell r="F128">
            <v>4097.22</v>
          </cell>
          <cell r="G128">
            <v>0</v>
          </cell>
          <cell r="H128">
            <v>75</v>
          </cell>
          <cell r="I128">
            <v>0</v>
          </cell>
          <cell r="J128">
            <v>0</v>
          </cell>
          <cell r="K128">
            <v>0</v>
          </cell>
          <cell r="L128">
            <v>0</v>
          </cell>
          <cell r="M128">
            <v>0</v>
          </cell>
          <cell r="N128">
            <v>0</v>
          </cell>
          <cell r="O128">
            <v>0</v>
          </cell>
          <cell r="P128">
            <v>0</v>
          </cell>
          <cell r="Q128">
            <v>19</v>
          </cell>
          <cell r="R128">
            <v>0.95</v>
          </cell>
          <cell r="S128">
            <v>0</v>
          </cell>
          <cell r="T128">
            <v>0</v>
          </cell>
          <cell r="U128">
            <v>0</v>
          </cell>
          <cell r="V128">
            <v>4192.17</v>
          </cell>
          <cell r="W128">
            <v>4172.22</v>
          </cell>
        </row>
        <row r="129">
          <cell r="A129" t="str">
            <v>Polar Minerals</v>
          </cell>
          <cell r="B129">
            <v>46</v>
          </cell>
          <cell r="C129">
            <v>37561</v>
          </cell>
          <cell r="D129">
            <v>37561</v>
          </cell>
          <cell r="E129">
            <v>1560</v>
          </cell>
          <cell r="F129">
            <v>953.18</v>
          </cell>
          <cell r="G129">
            <v>0</v>
          </cell>
          <cell r="H129">
            <v>75</v>
          </cell>
          <cell r="I129">
            <v>0</v>
          </cell>
          <cell r="J129">
            <v>0</v>
          </cell>
          <cell r="K129">
            <v>0</v>
          </cell>
          <cell r="L129">
            <v>0</v>
          </cell>
          <cell r="M129">
            <v>0</v>
          </cell>
          <cell r="N129">
            <v>0</v>
          </cell>
          <cell r="O129">
            <v>0</v>
          </cell>
          <cell r="P129">
            <v>0</v>
          </cell>
          <cell r="Q129">
            <v>19</v>
          </cell>
          <cell r="R129">
            <v>0.95</v>
          </cell>
          <cell r="S129">
            <v>4098.17</v>
          </cell>
          <cell r="T129">
            <v>0</v>
          </cell>
          <cell r="U129">
            <v>0</v>
          </cell>
          <cell r="V129">
            <v>5146.3</v>
          </cell>
          <cell r="W129">
            <v>1028.18</v>
          </cell>
        </row>
        <row r="130">
          <cell r="A130" t="str">
            <v>Polar Minerals</v>
          </cell>
          <cell r="B130">
            <v>46</v>
          </cell>
          <cell r="C130">
            <v>37591</v>
          </cell>
          <cell r="D130">
            <v>37591</v>
          </cell>
          <cell r="E130">
            <v>1612</v>
          </cell>
          <cell r="F130">
            <v>984.54</v>
          </cell>
          <cell r="G130">
            <v>0</v>
          </cell>
          <cell r="H130">
            <v>75</v>
          </cell>
          <cell r="I130">
            <v>0</v>
          </cell>
          <cell r="J130">
            <v>0</v>
          </cell>
          <cell r="K130">
            <v>0</v>
          </cell>
          <cell r="L130">
            <v>0</v>
          </cell>
          <cell r="M130">
            <v>0</v>
          </cell>
          <cell r="N130">
            <v>0</v>
          </cell>
          <cell r="O130">
            <v>0</v>
          </cell>
          <cell r="P130">
            <v>0</v>
          </cell>
          <cell r="Q130">
            <v>19</v>
          </cell>
          <cell r="R130">
            <v>1.1399999999999999</v>
          </cell>
          <cell r="S130">
            <v>0</v>
          </cell>
          <cell r="T130">
            <v>0</v>
          </cell>
          <cell r="U130">
            <v>0</v>
          </cell>
          <cell r="V130">
            <v>1079.68</v>
          </cell>
          <cell r="W130">
            <v>1059.54</v>
          </cell>
        </row>
        <row r="131">
          <cell r="A131" t="str">
            <v>Evansville-Vanderburgh Building Authority</v>
          </cell>
          <cell r="B131">
            <v>49</v>
          </cell>
          <cell r="C131">
            <v>37257</v>
          </cell>
          <cell r="D131">
            <v>37257</v>
          </cell>
          <cell r="E131">
            <v>4300</v>
          </cell>
          <cell r="F131">
            <v>2605.4</v>
          </cell>
          <cell r="G131">
            <v>0</v>
          </cell>
          <cell r="H131">
            <v>75</v>
          </cell>
          <cell r="I131">
            <v>0</v>
          </cell>
          <cell r="J131">
            <v>0</v>
          </cell>
          <cell r="K131">
            <v>0</v>
          </cell>
          <cell r="L131">
            <v>0</v>
          </cell>
          <cell r="M131">
            <v>0</v>
          </cell>
          <cell r="N131">
            <v>4300</v>
          </cell>
          <cell r="O131">
            <v>12.9</v>
          </cell>
          <cell r="P131">
            <v>0</v>
          </cell>
          <cell r="Q131">
            <v>19</v>
          </cell>
          <cell r="R131">
            <v>0</v>
          </cell>
          <cell r="S131">
            <v>0</v>
          </cell>
          <cell r="T131">
            <v>0</v>
          </cell>
          <cell r="U131">
            <v>0</v>
          </cell>
          <cell r="V131">
            <v>2712.3</v>
          </cell>
          <cell r="W131">
            <v>2693.3</v>
          </cell>
        </row>
        <row r="132">
          <cell r="A132" t="str">
            <v>Evansville-Vanderburgh Building Authority</v>
          </cell>
          <cell r="B132">
            <v>49</v>
          </cell>
          <cell r="C132">
            <v>37288</v>
          </cell>
          <cell r="D132">
            <v>37288</v>
          </cell>
          <cell r="E132">
            <v>3400</v>
          </cell>
          <cell r="F132">
            <v>2062.6999999999998</v>
          </cell>
          <cell r="G132">
            <v>0</v>
          </cell>
          <cell r="H132">
            <v>75</v>
          </cell>
          <cell r="I132">
            <v>0</v>
          </cell>
          <cell r="J132">
            <v>0</v>
          </cell>
          <cell r="K132">
            <v>0</v>
          </cell>
          <cell r="L132">
            <v>0</v>
          </cell>
          <cell r="M132">
            <v>0</v>
          </cell>
          <cell r="N132">
            <v>3400</v>
          </cell>
          <cell r="O132">
            <v>-3.4</v>
          </cell>
          <cell r="P132">
            <v>0</v>
          </cell>
          <cell r="Q132">
            <v>19</v>
          </cell>
          <cell r="R132">
            <v>0</v>
          </cell>
          <cell r="S132">
            <v>0</v>
          </cell>
          <cell r="T132">
            <v>0</v>
          </cell>
          <cell r="U132">
            <v>0</v>
          </cell>
          <cell r="V132">
            <v>2153.3000000000002</v>
          </cell>
          <cell r="W132">
            <v>2134.3000000000002</v>
          </cell>
        </row>
        <row r="133">
          <cell r="A133" t="str">
            <v>Evansville-Vanderburgh Building Authority</v>
          </cell>
          <cell r="B133">
            <v>49</v>
          </cell>
          <cell r="C133">
            <v>37316</v>
          </cell>
          <cell r="D133">
            <v>37316</v>
          </cell>
          <cell r="E133">
            <v>3286</v>
          </cell>
          <cell r="F133">
            <v>1993.96</v>
          </cell>
          <cell r="G133">
            <v>0</v>
          </cell>
          <cell r="H133">
            <v>75</v>
          </cell>
          <cell r="I133">
            <v>0</v>
          </cell>
          <cell r="J133">
            <v>0</v>
          </cell>
          <cell r="K133">
            <v>0</v>
          </cell>
          <cell r="L133">
            <v>0</v>
          </cell>
          <cell r="M133">
            <v>0</v>
          </cell>
          <cell r="N133">
            <v>3286</v>
          </cell>
          <cell r="O133">
            <v>-3.29</v>
          </cell>
          <cell r="P133">
            <v>0</v>
          </cell>
          <cell r="Q133">
            <v>19</v>
          </cell>
          <cell r="R133">
            <v>0</v>
          </cell>
          <cell r="S133">
            <v>0</v>
          </cell>
          <cell r="T133">
            <v>0</v>
          </cell>
          <cell r="U133">
            <v>0</v>
          </cell>
          <cell r="V133">
            <v>2084.67</v>
          </cell>
          <cell r="W133">
            <v>2065.67</v>
          </cell>
        </row>
        <row r="134">
          <cell r="A134" t="str">
            <v>Evansville-Vanderburgh Building Authority</v>
          </cell>
          <cell r="B134">
            <v>49</v>
          </cell>
          <cell r="C134">
            <v>37347</v>
          </cell>
          <cell r="D134">
            <v>37347</v>
          </cell>
          <cell r="E134">
            <v>2600</v>
          </cell>
          <cell r="F134">
            <v>1580.3</v>
          </cell>
          <cell r="G134">
            <v>0</v>
          </cell>
          <cell r="H134">
            <v>75</v>
          </cell>
          <cell r="I134">
            <v>0</v>
          </cell>
          <cell r="J134">
            <v>0</v>
          </cell>
          <cell r="K134">
            <v>0</v>
          </cell>
          <cell r="L134">
            <v>0</v>
          </cell>
          <cell r="M134">
            <v>0</v>
          </cell>
          <cell r="N134">
            <v>2600</v>
          </cell>
          <cell r="O134">
            <v>-2.6</v>
          </cell>
          <cell r="P134">
            <v>0</v>
          </cell>
          <cell r="Q134">
            <v>19</v>
          </cell>
          <cell r="R134">
            <v>0</v>
          </cell>
          <cell r="S134">
            <v>0</v>
          </cell>
          <cell r="T134">
            <v>0</v>
          </cell>
          <cell r="U134">
            <v>0</v>
          </cell>
          <cell r="V134">
            <v>1671.7</v>
          </cell>
          <cell r="W134">
            <v>1652.7</v>
          </cell>
        </row>
        <row r="135">
          <cell r="A135" t="str">
            <v>Evansville-Vanderburgh Building Authority</v>
          </cell>
          <cell r="B135">
            <v>49</v>
          </cell>
          <cell r="C135">
            <v>37377</v>
          </cell>
          <cell r="D135">
            <v>37377</v>
          </cell>
          <cell r="E135">
            <v>2000</v>
          </cell>
          <cell r="F135">
            <v>1218.5</v>
          </cell>
          <cell r="G135">
            <v>0</v>
          </cell>
          <cell r="H135">
            <v>75</v>
          </cell>
          <cell r="I135">
            <v>0</v>
          </cell>
          <cell r="J135">
            <v>0</v>
          </cell>
          <cell r="K135">
            <v>0</v>
          </cell>
          <cell r="L135">
            <v>0</v>
          </cell>
          <cell r="M135">
            <v>0</v>
          </cell>
          <cell r="N135">
            <v>0</v>
          </cell>
          <cell r="O135">
            <v>0</v>
          </cell>
          <cell r="P135">
            <v>0</v>
          </cell>
          <cell r="Q135">
            <v>19</v>
          </cell>
          <cell r="R135">
            <v>0</v>
          </cell>
          <cell r="S135">
            <v>0</v>
          </cell>
          <cell r="T135">
            <v>0</v>
          </cell>
          <cell r="U135">
            <v>0</v>
          </cell>
          <cell r="V135">
            <v>1312.5</v>
          </cell>
          <cell r="W135">
            <v>1293.5</v>
          </cell>
        </row>
        <row r="136">
          <cell r="A136" t="str">
            <v>Evansville-Vanderburgh Building Authority</v>
          </cell>
          <cell r="B136">
            <v>49</v>
          </cell>
          <cell r="C136">
            <v>37408</v>
          </cell>
          <cell r="D136">
            <v>37408</v>
          </cell>
          <cell r="E136">
            <v>1800</v>
          </cell>
          <cell r="F136">
            <v>1097.9000000000001</v>
          </cell>
          <cell r="G136">
            <v>0</v>
          </cell>
          <cell r="H136">
            <v>75</v>
          </cell>
          <cell r="I136">
            <v>0</v>
          </cell>
          <cell r="J136">
            <v>0</v>
          </cell>
          <cell r="K136">
            <v>0</v>
          </cell>
          <cell r="L136">
            <v>0</v>
          </cell>
          <cell r="M136">
            <v>0</v>
          </cell>
          <cell r="N136">
            <v>0</v>
          </cell>
          <cell r="O136">
            <v>0</v>
          </cell>
          <cell r="P136">
            <v>0</v>
          </cell>
          <cell r="Q136">
            <v>19</v>
          </cell>
          <cell r="R136">
            <v>0</v>
          </cell>
          <cell r="S136">
            <v>0</v>
          </cell>
          <cell r="T136">
            <v>0</v>
          </cell>
          <cell r="U136">
            <v>0</v>
          </cell>
          <cell r="V136">
            <v>1191.9000000000001</v>
          </cell>
          <cell r="W136">
            <v>1172.9000000000001</v>
          </cell>
        </row>
        <row r="137">
          <cell r="A137" t="str">
            <v>Evansville-Vanderburgh Building Authority</v>
          </cell>
          <cell r="B137">
            <v>49</v>
          </cell>
          <cell r="C137">
            <v>37438</v>
          </cell>
          <cell r="D137">
            <v>37438</v>
          </cell>
          <cell r="E137">
            <v>1700</v>
          </cell>
          <cell r="F137">
            <v>1037.5999999999999</v>
          </cell>
          <cell r="G137">
            <v>0</v>
          </cell>
          <cell r="H137">
            <v>75</v>
          </cell>
          <cell r="I137">
            <v>0</v>
          </cell>
          <cell r="J137">
            <v>0</v>
          </cell>
          <cell r="K137">
            <v>0</v>
          </cell>
          <cell r="L137">
            <v>0</v>
          </cell>
          <cell r="M137">
            <v>0</v>
          </cell>
          <cell r="N137">
            <v>0</v>
          </cell>
          <cell r="O137">
            <v>0</v>
          </cell>
          <cell r="P137">
            <v>0</v>
          </cell>
          <cell r="Q137">
            <v>19</v>
          </cell>
          <cell r="R137">
            <v>0</v>
          </cell>
          <cell r="S137">
            <v>0</v>
          </cell>
          <cell r="T137">
            <v>0</v>
          </cell>
          <cell r="U137">
            <v>0</v>
          </cell>
          <cell r="V137">
            <v>1131.5999999999999</v>
          </cell>
          <cell r="W137">
            <v>1112.5999999999999</v>
          </cell>
        </row>
        <row r="138">
          <cell r="A138" t="str">
            <v>Evansville-Vanderburgh Building Authority</v>
          </cell>
          <cell r="B138">
            <v>49</v>
          </cell>
          <cell r="C138">
            <v>37469</v>
          </cell>
          <cell r="D138">
            <v>37469</v>
          </cell>
          <cell r="E138">
            <v>0</v>
          </cell>
          <cell r="F138">
            <v>0</v>
          </cell>
          <cell r="G138">
            <v>0</v>
          </cell>
          <cell r="H138">
            <v>75</v>
          </cell>
          <cell r="I138">
            <v>0</v>
          </cell>
          <cell r="J138">
            <v>0</v>
          </cell>
          <cell r="K138">
            <v>0</v>
          </cell>
          <cell r="L138">
            <v>0</v>
          </cell>
          <cell r="M138">
            <v>0</v>
          </cell>
          <cell r="N138">
            <v>0</v>
          </cell>
          <cell r="O138">
            <v>0</v>
          </cell>
          <cell r="P138">
            <v>0</v>
          </cell>
          <cell r="Q138">
            <v>19</v>
          </cell>
          <cell r="R138">
            <v>0</v>
          </cell>
          <cell r="S138">
            <v>0</v>
          </cell>
          <cell r="T138">
            <v>0</v>
          </cell>
          <cell r="U138">
            <v>0</v>
          </cell>
          <cell r="V138">
            <v>94</v>
          </cell>
          <cell r="W138">
            <v>75</v>
          </cell>
        </row>
        <row r="139">
          <cell r="A139" t="str">
            <v>Evansville-Vanderburgh Building Authority</v>
          </cell>
          <cell r="B139">
            <v>49</v>
          </cell>
          <cell r="C139">
            <v>37500</v>
          </cell>
          <cell r="D139">
            <v>37500</v>
          </cell>
          <cell r="E139">
            <v>0</v>
          </cell>
          <cell r="F139">
            <v>0</v>
          </cell>
          <cell r="G139">
            <v>0</v>
          </cell>
          <cell r="H139">
            <v>75</v>
          </cell>
          <cell r="I139">
            <v>0</v>
          </cell>
          <cell r="J139">
            <v>0</v>
          </cell>
          <cell r="K139">
            <v>0</v>
          </cell>
          <cell r="L139">
            <v>0</v>
          </cell>
          <cell r="M139">
            <v>0</v>
          </cell>
          <cell r="N139">
            <v>0</v>
          </cell>
          <cell r="O139">
            <v>0</v>
          </cell>
          <cell r="P139">
            <v>0</v>
          </cell>
          <cell r="Q139">
            <v>19</v>
          </cell>
          <cell r="R139">
            <v>0</v>
          </cell>
          <cell r="S139">
            <v>0</v>
          </cell>
          <cell r="T139">
            <v>0</v>
          </cell>
          <cell r="U139">
            <v>0</v>
          </cell>
          <cell r="V139">
            <v>94</v>
          </cell>
          <cell r="W139">
            <v>75</v>
          </cell>
        </row>
        <row r="140">
          <cell r="A140" t="str">
            <v>Evansville-Vanderburgh Building Authority</v>
          </cell>
          <cell r="B140">
            <v>49</v>
          </cell>
          <cell r="C140">
            <v>37530</v>
          </cell>
          <cell r="D140">
            <v>37530</v>
          </cell>
          <cell r="E140">
            <v>0</v>
          </cell>
          <cell r="F140">
            <v>0</v>
          </cell>
          <cell r="G140">
            <v>0</v>
          </cell>
          <cell r="H140">
            <v>75</v>
          </cell>
          <cell r="I140">
            <v>0</v>
          </cell>
          <cell r="J140">
            <v>0</v>
          </cell>
          <cell r="K140">
            <v>0</v>
          </cell>
          <cell r="L140">
            <v>0</v>
          </cell>
          <cell r="M140">
            <v>0</v>
          </cell>
          <cell r="N140">
            <v>0</v>
          </cell>
          <cell r="O140">
            <v>0</v>
          </cell>
          <cell r="P140">
            <v>0</v>
          </cell>
          <cell r="Q140">
            <v>19</v>
          </cell>
          <cell r="R140">
            <v>0</v>
          </cell>
          <cell r="S140">
            <v>0</v>
          </cell>
          <cell r="T140">
            <v>0</v>
          </cell>
          <cell r="U140">
            <v>0</v>
          </cell>
          <cell r="V140">
            <v>94</v>
          </cell>
          <cell r="W140">
            <v>75</v>
          </cell>
        </row>
        <row r="141">
          <cell r="A141" t="str">
            <v>Evansville-Vanderburgh Building Authority</v>
          </cell>
          <cell r="B141">
            <v>49</v>
          </cell>
          <cell r="C141">
            <v>37561</v>
          </cell>
          <cell r="D141">
            <v>37561</v>
          </cell>
          <cell r="E141">
            <v>0</v>
          </cell>
          <cell r="F141">
            <v>0</v>
          </cell>
          <cell r="G141">
            <v>0</v>
          </cell>
          <cell r="H141">
            <v>75</v>
          </cell>
          <cell r="I141">
            <v>0</v>
          </cell>
          <cell r="J141">
            <v>0</v>
          </cell>
          <cell r="K141">
            <v>0</v>
          </cell>
          <cell r="L141">
            <v>0</v>
          </cell>
          <cell r="M141">
            <v>0</v>
          </cell>
          <cell r="N141">
            <v>0</v>
          </cell>
          <cell r="O141">
            <v>0</v>
          </cell>
          <cell r="P141">
            <v>0</v>
          </cell>
          <cell r="Q141">
            <v>19</v>
          </cell>
          <cell r="R141">
            <v>0</v>
          </cell>
          <cell r="S141">
            <v>0</v>
          </cell>
          <cell r="T141">
            <v>0</v>
          </cell>
          <cell r="U141">
            <v>0</v>
          </cell>
          <cell r="V141">
            <v>94</v>
          </cell>
          <cell r="W141">
            <v>75</v>
          </cell>
        </row>
        <row r="142">
          <cell r="A142" t="str">
            <v>Evansville-Vanderburgh Building Authority</v>
          </cell>
          <cell r="B142">
            <v>49</v>
          </cell>
          <cell r="C142">
            <v>37591</v>
          </cell>
          <cell r="D142">
            <v>37591</v>
          </cell>
          <cell r="E142">
            <v>3950</v>
          </cell>
          <cell r="F142">
            <v>2394.35</v>
          </cell>
          <cell r="G142">
            <v>0</v>
          </cell>
          <cell r="H142">
            <v>75</v>
          </cell>
          <cell r="I142">
            <v>0</v>
          </cell>
          <cell r="J142">
            <v>0</v>
          </cell>
          <cell r="K142">
            <v>0</v>
          </cell>
          <cell r="L142">
            <v>0</v>
          </cell>
          <cell r="M142">
            <v>0</v>
          </cell>
          <cell r="N142">
            <v>0</v>
          </cell>
          <cell r="O142">
            <v>0</v>
          </cell>
          <cell r="P142">
            <v>0</v>
          </cell>
          <cell r="Q142">
            <v>19</v>
          </cell>
          <cell r="R142">
            <v>0</v>
          </cell>
          <cell r="S142">
            <v>0</v>
          </cell>
          <cell r="T142">
            <v>0</v>
          </cell>
          <cell r="U142">
            <v>0</v>
          </cell>
          <cell r="V142">
            <v>2488.35</v>
          </cell>
          <cell r="W142">
            <v>2469.35</v>
          </cell>
        </row>
        <row r="143">
          <cell r="A143" t="str">
            <v>Evansville-Vanderburgh School Corp., Bus CNG</v>
          </cell>
          <cell r="B143">
            <v>51</v>
          </cell>
          <cell r="C143">
            <v>37257</v>
          </cell>
          <cell r="D143">
            <v>37257</v>
          </cell>
          <cell r="E143">
            <v>1200</v>
          </cell>
          <cell r="F143">
            <v>736.1</v>
          </cell>
          <cell r="G143">
            <v>0</v>
          </cell>
          <cell r="H143">
            <v>75</v>
          </cell>
          <cell r="I143">
            <v>0</v>
          </cell>
          <cell r="J143">
            <v>0</v>
          </cell>
          <cell r="K143">
            <v>0</v>
          </cell>
          <cell r="L143">
            <v>0</v>
          </cell>
          <cell r="M143">
            <v>0</v>
          </cell>
          <cell r="N143">
            <v>1200</v>
          </cell>
          <cell r="O143">
            <v>3.6</v>
          </cell>
          <cell r="P143">
            <v>0</v>
          </cell>
          <cell r="Q143">
            <v>19</v>
          </cell>
          <cell r="R143">
            <v>0</v>
          </cell>
          <cell r="S143">
            <v>0</v>
          </cell>
          <cell r="T143">
            <v>0</v>
          </cell>
          <cell r="U143">
            <v>0</v>
          </cell>
          <cell r="V143">
            <v>833.7</v>
          </cell>
          <cell r="W143">
            <v>814.7</v>
          </cell>
        </row>
        <row r="144">
          <cell r="A144" t="str">
            <v>Evansville-Vanderburgh School Corp., Bus CNG</v>
          </cell>
          <cell r="B144">
            <v>51</v>
          </cell>
          <cell r="C144">
            <v>37288</v>
          </cell>
          <cell r="D144">
            <v>37288</v>
          </cell>
          <cell r="E144">
            <v>1350</v>
          </cell>
          <cell r="F144">
            <v>826.55</v>
          </cell>
          <cell r="G144">
            <v>0</v>
          </cell>
          <cell r="H144">
            <v>75</v>
          </cell>
          <cell r="I144">
            <v>0</v>
          </cell>
          <cell r="J144">
            <v>0</v>
          </cell>
          <cell r="K144">
            <v>0</v>
          </cell>
          <cell r="L144">
            <v>0</v>
          </cell>
          <cell r="M144">
            <v>0</v>
          </cell>
          <cell r="N144">
            <v>1350</v>
          </cell>
          <cell r="O144">
            <v>-1.35</v>
          </cell>
          <cell r="P144">
            <v>0</v>
          </cell>
          <cell r="Q144">
            <v>19</v>
          </cell>
          <cell r="R144">
            <v>0</v>
          </cell>
          <cell r="S144">
            <v>-2441.9499999999998</v>
          </cell>
          <cell r="T144">
            <v>0</v>
          </cell>
          <cell r="U144">
            <v>0</v>
          </cell>
          <cell r="V144">
            <v>-1522.7499999999998</v>
          </cell>
          <cell r="W144">
            <v>900.2</v>
          </cell>
        </row>
        <row r="145">
          <cell r="A145" t="str">
            <v>Evansville-Vanderburgh School Corp., Bus CNG</v>
          </cell>
          <cell r="B145">
            <v>51</v>
          </cell>
          <cell r="C145">
            <v>37316</v>
          </cell>
          <cell r="D145">
            <v>37316</v>
          </cell>
          <cell r="E145">
            <v>1240</v>
          </cell>
          <cell r="F145">
            <v>760.22</v>
          </cell>
          <cell r="G145">
            <v>0</v>
          </cell>
          <cell r="H145">
            <v>75</v>
          </cell>
          <cell r="I145">
            <v>0</v>
          </cell>
          <cell r="J145">
            <v>0</v>
          </cell>
          <cell r="K145">
            <v>0</v>
          </cell>
          <cell r="L145">
            <v>0</v>
          </cell>
          <cell r="M145">
            <v>0</v>
          </cell>
          <cell r="N145">
            <v>1240</v>
          </cell>
          <cell r="O145">
            <v>-1.24</v>
          </cell>
          <cell r="P145">
            <v>0</v>
          </cell>
          <cell r="Q145">
            <v>19</v>
          </cell>
          <cell r="R145">
            <v>0</v>
          </cell>
          <cell r="S145">
            <v>0</v>
          </cell>
          <cell r="T145">
            <v>0</v>
          </cell>
          <cell r="U145">
            <v>0</v>
          </cell>
          <cell r="V145">
            <v>852.98</v>
          </cell>
          <cell r="W145">
            <v>833.98</v>
          </cell>
        </row>
        <row r="146">
          <cell r="A146" t="str">
            <v>Evansville-Vanderburgh School Corp., Bus CNG</v>
          </cell>
          <cell r="B146">
            <v>51</v>
          </cell>
          <cell r="C146">
            <v>37347</v>
          </cell>
          <cell r="D146">
            <v>37347</v>
          </cell>
          <cell r="E146">
            <v>1300</v>
          </cell>
          <cell r="F146">
            <v>796.4</v>
          </cell>
          <cell r="G146">
            <v>0</v>
          </cell>
          <cell r="H146">
            <v>75</v>
          </cell>
          <cell r="I146">
            <v>0</v>
          </cell>
          <cell r="J146">
            <v>0</v>
          </cell>
          <cell r="K146">
            <v>0</v>
          </cell>
          <cell r="L146">
            <v>0</v>
          </cell>
          <cell r="M146">
            <v>0</v>
          </cell>
          <cell r="N146">
            <v>1300</v>
          </cell>
          <cell r="O146">
            <v>-1.3</v>
          </cell>
          <cell r="P146">
            <v>0</v>
          </cell>
          <cell r="Q146">
            <v>19</v>
          </cell>
          <cell r="R146">
            <v>0</v>
          </cell>
          <cell r="S146">
            <v>0</v>
          </cell>
          <cell r="T146">
            <v>0</v>
          </cell>
          <cell r="U146">
            <v>0</v>
          </cell>
          <cell r="V146">
            <v>889.1</v>
          </cell>
          <cell r="W146">
            <v>870.1</v>
          </cell>
        </row>
        <row r="147">
          <cell r="A147" t="str">
            <v>Evansville-Vanderburgh School Corp., Bus CNG</v>
          </cell>
          <cell r="B147">
            <v>51</v>
          </cell>
          <cell r="C147">
            <v>37377</v>
          </cell>
          <cell r="D147">
            <v>37377</v>
          </cell>
          <cell r="E147">
            <v>1100</v>
          </cell>
          <cell r="F147">
            <v>675.8</v>
          </cell>
          <cell r="G147">
            <v>0</v>
          </cell>
          <cell r="H147">
            <v>75</v>
          </cell>
          <cell r="I147">
            <v>0</v>
          </cell>
          <cell r="J147">
            <v>0</v>
          </cell>
          <cell r="K147">
            <v>0</v>
          </cell>
          <cell r="L147">
            <v>0</v>
          </cell>
          <cell r="M147">
            <v>0</v>
          </cell>
          <cell r="N147">
            <v>0</v>
          </cell>
          <cell r="O147">
            <v>0</v>
          </cell>
          <cell r="P147">
            <v>0</v>
          </cell>
          <cell r="Q147">
            <v>19</v>
          </cell>
          <cell r="R147">
            <v>0</v>
          </cell>
          <cell r="S147">
            <v>0</v>
          </cell>
          <cell r="T147">
            <v>0</v>
          </cell>
          <cell r="U147">
            <v>0</v>
          </cell>
          <cell r="V147">
            <v>769.8</v>
          </cell>
          <cell r="W147">
            <v>750.8</v>
          </cell>
        </row>
        <row r="148">
          <cell r="A148" t="str">
            <v>Evansville-Vanderburgh School Corp., Bus CNG</v>
          </cell>
          <cell r="B148">
            <v>51</v>
          </cell>
          <cell r="C148">
            <v>37408</v>
          </cell>
          <cell r="D148">
            <v>37408</v>
          </cell>
          <cell r="E148">
            <v>300</v>
          </cell>
          <cell r="F148">
            <v>193.4</v>
          </cell>
          <cell r="G148">
            <v>0</v>
          </cell>
          <cell r="H148">
            <v>75</v>
          </cell>
          <cell r="I148">
            <v>0</v>
          </cell>
          <cell r="J148">
            <v>0</v>
          </cell>
          <cell r="K148">
            <v>0</v>
          </cell>
          <cell r="L148">
            <v>0</v>
          </cell>
          <cell r="M148">
            <v>0</v>
          </cell>
          <cell r="N148">
            <v>0</v>
          </cell>
          <cell r="O148">
            <v>0</v>
          </cell>
          <cell r="P148">
            <v>0</v>
          </cell>
          <cell r="Q148">
            <v>19</v>
          </cell>
          <cell r="R148">
            <v>0</v>
          </cell>
          <cell r="S148">
            <v>0</v>
          </cell>
          <cell r="T148">
            <v>0</v>
          </cell>
          <cell r="U148">
            <v>0</v>
          </cell>
          <cell r="V148">
            <v>287.39999999999998</v>
          </cell>
          <cell r="W148">
            <v>268.39999999999998</v>
          </cell>
        </row>
        <row r="149">
          <cell r="A149" t="str">
            <v>Evansville-Vanderburgh School Corp., Bus CNG</v>
          </cell>
          <cell r="B149">
            <v>51</v>
          </cell>
          <cell r="C149">
            <v>37438</v>
          </cell>
          <cell r="D149">
            <v>37438</v>
          </cell>
          <cell r="E149">
            <v>100</v>
          </cell>
          <cell r="F149">
            <v>72.8</v>
          </cell>
          <cell r="G149">
            <v>0</v>
          </cell>
          <cell r="H149">
            <v>75</v>
          </cell>
          <cell r="I149">
            <v>0</v>
          </cell>
          <cell r="J149">
            <v>0</v>
          </cell>
          <cell r="K149">
            <v>0</v>
          </cell>
          <cell r="L149">
            <v>0</v>
          </cell>
          <cell r="M149">
            <v>0</v>
          </cell>
          <cell r="N149">
            <v>0</v>
          </cell>
          <cell r="O149">
            <v>0</v>
          </cell>
          <cell r="P149">
            <v>0</v>
          </cell>
          <cell r="Q149">
            <v>19</v>
          </cell>
          <cell r="R149">
            <v>0</v>
          </cell>
          <cell r="S149">
            <v>0</v>
          </cell>
          <cell r="T149">
            <v>0</v>
          </cell>
          <cell r="U149">
            <v>0</v>
          </cell>
          <cell r="V149">
            <v>166.8</v>
          </cell>
          <cell r="W149">
            <v>147.80000000000001</v>
          </cell>
        </row>
        <row r="150">
          <cell r="A150" t="str">
            <v>Evansville-Vanderburgh School Corp., Bus CNG</v>
          </cell>
          <cell r="B150">
            <v>51</v>
          </cell>
          <cell r="C150">
            <v>37469</v>
          </cell>
          <cell r="D150">
            <v>37469</v>
          </cell>
          <cell r="E150">
            <v>0</v>
          </cell>
          <cell r="F150">
            <v>0</v>
          </cell>
          <cell r="G150">
            <v>0</v>
          </cell>
          <cell r="H150">
            <v>75</v>
          </cell>
          <cell r="I150">
            <v>0</v>
          </cell>
          <cell r="J150">
            <v>0</v>
          </cell>
          <cell r="K150">
            <v>0</v>
          </cell>
          <cell r="L150">
            <v>0</v>
          </cell>
          <cell r="M150">
            <v>0</v>
          </cell>
          <cell r="N150">
            <v>0</v>
          </cell>
          <cell r="O150">
            <v>0</v>
          </cell>
          <cell r="P150">
            <v>0</v>
          </cell>
          <cell r="Q150">
            <v>19</v>
          </cell>
          <cell r="R150">
            <v>0</v>
          </cell>
          <cell r="S150">
            <v>0</v>
          </cell>
          <cell r="T150">
            <v>0</v>
          </cell>
          <cell r="U150">
            <v>0</v>
          </cell>
          <cell r="V150">
            <v>94</v>
          </cell>
          <cell r="W150">
            <v>75</v>
          </cell>
        </row>
        <row r="151">
          <cell r="A151" t="str">
            <v>Evansville-Vanderburgh School Corp., Bus CNG</v>
          </cell>
          <cell r="B151">
            <v>51</v>
          </cell>
          <cell r="C151">
            <v>37500</v>
          </cell>
          <cell r="D151">
            <v>37500</v>
          </cell>
          <cell r="E151">
            <v>0</v>
          </cell>
          <cell r="F151">
            <v>0</v>
          </cell>
          <cell r="G151">
            <v>0</v>
          </cell>
          <cell r="H151">
            <v>75</v>
          </cell>
          <cell r="I151">
            <v>0</v>
          </cell>
          <cell r="J151">
            <v>0</v>
          </cell>
          <cell r="K151">
            <v>0</v>
          </cell>
          <cell r="L151">
            <v>0</v>
          </cell>
          <cell r="M151">
            <v>0</v>
          </cell>
          <cell r="N151">
            <v>0</v>
          </cell>
          <cell r="O151">
            <v>0</v>
          </cell>
          <cell r="P151">
            <v>0</v>
          </cell>
          <cell r="Q151">
            <v>19</v>
          </cell>
          <cell r="R151">
            <v>0</v>
          </cell>
          <cell r="S151">
            <v>0</v>
          </cell>
          <cell r="T151">
            <v>0</v>
          </cell>
          <cell r="U151">
            <v>0</v>
          </cell>
          <cell r="V151">
            <v>94</v>
          </cell>
          <cell r="W151">
            <v>75</v>
          </cell>
        </row>
        <row r="152">
          <cell r="A152" t="str">
            <v>Evansville-Vanderburgh School Corp., Bus CNG</v>
          </cell>
          <cell r="B152">
            <v>51</v>
          </cell>
          <cell r="C152">
            <v>37530</v>
          </cell>
          <cell r="D152">
            <v>37530</v>
          </cell>
          <cell r="E152">
            <v>0</v>
          </cell>
          <cell r="F152">
            <v>0</v>
          </cell>
          <cell r="G152">
            <v>0</v>
          </cell>
          <cell r="H152">
            <v>75</v>
          </cell>
          <cell r="I152">
            <v>0</v>
          </cell>
          <cell r="J152">
            <v>0</v>
          </cell>
          <cell r="K152">
            <v>0</v>
          </cell>
          <cell r="L152">
            <v>0</v>
          </cell>
          <cell r="M152">
            <v>0</v>
          </cell>
          <cell r="N152">
            <v>0</v>
          </cell>
          <cell r="O152">
            <v>0</v>
          </cell>
          <cell r="P152">
            <v>0</v>
          </cell>
          <cell r="Q152">
            <v>19</v>
          </cell>
          <cell r="R152">
            <v>0</v>
          </cell>
          <cell r="S152">
            <v>0</v>
          </cell>
          <cell r="T152">
            <v>0</v>
          </cell>
          <cell r="U152">
            <v>0</v>
          </cell>
          <cell r="V152">
            <v>94</v>
          </cell>
          <cell r="W152">
            <v>75</v>
          </cell>
        </row>
        <row r="153">
          <cell r="A153" t="str">
            <v>Evansville-Vanderburgh School Corp., Bus CNG</v>
          </cell>
          <cell r="B153">
            <v>51</v>
          </cell>
          <cell r="C153">
            <v>37561</v>
          </cell>
          <cell r="D153">
            <v>37561</v>
          </cell>
          <cell r="E153">
            <v>4555</v>
          </cell>
          <cell r="F153">
            <v>2759.16</v>
          </cell>
          <cell r="G153">
            <v>0</v>
          </cell>
          <cell r="H153">
            <v>75</v>
          </cell>
          <cell r="I153">
            <v>0</v>
          </cell>
          <cell r="J153">
            <v>0</v>
          </cell>
          <cell r="K153">
            <v>0</v>
          </cell>
          <cell r="L153">
            <v>0</v>
          </cell>
          <cell r="M153">
            <v>0</v>
          </cell>
          <cell r="N153">
            <v>0</v>
          </cell>
          <cell r="O153">
            <v>0</v>
          </cell>
          <cell r="P153">
            <v>0</v>
          </cell>
          <cell r="Q153">
            <v>19</v>
          </cell>
          <cell r="R153">
            <v>155.87</v>
          </cell>
          <cell r="S153">
            <v>7097.47</v>
          </cell>
          <cell r="T153">
            <v>1155</v>
          </cell>
          <cell r="U153">
            <v>7097.47</v>
          </cell>
          <cell r="V153">
            <v>10106.5</v>
          </cell>
          <cell r="W153">
            <v>2834.16</v>
          </cell>
        </row>
        <row r="154">
          <cell r="A154" t="str">
            <v>Evansville-Vanderburgh School Corp., Bus CNG</v>
          </cell>
          <cell r="B154">
            <v>51</v>
          </cell>
          <cell r="C154">
            <v>37591</v>
          </cell>
          <cell r="D154">
            <v>37591</v>
          </cell>
          <cell r="E154">
            <v>160</v>
          </cell>
          <cell r="F154">
            <v>108.98</v>
          </cell>
          <cell r="G154">
            <v>0</v>
          </cell>
          <cell r="H154">
            <v>75</v>
          </cell>
          <cell r="I154">
            <v>0</v>
          </cell>
          <cell r="J154">
            <v>0</v>
          </cell>
          <cell r="K154">
            <v>0</v>
          </cell>
          <cell r="L154">
            <v>0</v>
          </cell>
          <cell r="M154">
            <v>0</v>
          </cell>
          <cell r="N154">
            <v>0</v>
          </cell>
          <cell r="O154">
            <v>0</v>
          </cell>
          <cell r="P154">
            <v>0</v>
          </cell>
          <cell r="Q154">
            <v>19</v>
          </cell>
          <cell r="R154">
            <v>0</v>
          </cell>
          <cell r="S154">
            <v>-7949.8</v>
          </cell>
          <cell r="T154">
            <v>0</v>
          </cell>
          <cell r="U154">
            <v>0</v>
          </cell>
          <cell r="V154">
            <v>-7746.82</v>
          </cell>
          <cell r="W154">
            <v>183.98</v>
          </cell>
        </row>
        <row r="155">
          <cell r="A155" t="str">
            <v>DSM Engineering Plastics</v>
          </cell>
          <cell r="B155">
            <v>52</v>
          </cell>
          <cell r="C155">
            <v>37257</v>
          </cell>
          <cell r="D155">
            <v>37257</v>
          </cell>
          <cell r="E155">
            <v>7000</v>
          </cell>
          <cell r="F155">
            <v>4233.5</v>
          </cell>
          <cell r="G155">
            <v>0</v>
          </cell>
          <cell r="H155">
            <v>75</v>
          </cell>
          <cell r="I155">
            <v>0</v>
          </cell>
          <cell r="J155">
            <v>0</v>
          </cell>
          <cell r="K155">
            <v>0</v>
          </cell>
          <cell r="L155">
            <v>0</v>
          </cell>
          <cell r="M155">
            <v>0</v>
          </cell>
          <cell r="N155">
            <v>7000</v>
          </cell>
          <cell r="O155">
            <v>21</v>
          </cell>
          <cell r="P155">
            <v>0</v>
          </cell>
          <cell r="Q155">
            <v>19</v>
          </cell>
          <cell r="R155">
            <v>0.95</v>
          </cell>
          <cell r="S155">
            <v>0</v>
          </cell>
          <cell r="T155">
            <v>0</v>
          </cell>
          <cell r="U155">
            <v>0</v>
          </cell>
          <cell r="V155">
            <v>4349.45</v>
          </cell>
          <cell r="W155">
            <v>4329.5</v>
          </cell>
        </row>
        <row r="156">
          <cell r="A156" t="str">
            <v>DSM Engineering Plastics</v>
          </cell>
          <cell r="B156">
            <v>52</v>
          </cell>
          <cell r="C156">
            <v>37288</v>
          </cell>
          <cell r="D156">
            <v>37288</v>
          </cell>
          <cell r="E156">
            <v>4000</v>
          </cell>
          <cell r="F156">
            <v>2424.5</v>
          </cell>
          <cell r="G156">
            <v>0</v>
          </cell>
          <cell r="H156">
            <v>75</v>
          </cell>
          <cell r="I156">
            <v>0</v>
          </cell>
          <cell r="J156">
            <v>0</v>
          </cell>
          <cell r="K156">
            <v>0</v>
          </cell>
          <cell r="L156">
            <v>0</v>
          </cell>
          <cell r="M156">
            <v>0</v>
          </cell>
          <cell r="N156">
            <v>4000</v>
          </cell>
          <cell r="O156">
            <v>-4</v>
          </cell>
          <cell r="P156">
            <v>0</v>
          </cell>
          <cell r="Q156">
            <v>19</v>
          </cell>
          <cell r="R156">
            <v>0.95</v>
          </cell>
          <cell r="S156">
            <v>0</v>
          </cell>
          <cell r="T156">
            <v>0</v>
          </cell>
          <cell r="U156">
            <v>0</v>
          </cell>
          <cell r="V156">
            <v>2515.4499999999998</v>
          </cell>
          <cell r="W156">
            <v>2495.5</v>
          </cell>
        </row>
        <row r="157">
          <cell r="A157" t="str">
            <v>DSM Engineering Plastics</v>
          </cell>
          <cell r="B157">
            <v>52</v>
          </cell>
          <cell r="C157">
            <v>37316</v>
          </cell>
          <cell r="D157">
            <v>37316</v>
          </cell>
          <cell r="E157">
            <v>3329</v>
          </cell>
          <cell r="F157">
            <v>2019.89</v>
          </cell>
          <cell r="G157">
            <v>0</v>
          </cell>
          <cell r="H157">
            <v>75</v>
          </cell>
          <cell r="I157">
            <v>0</v>
          </cell>
          <cell r="J157">
            <v>0</v>
          </cell>
          <cell r="K157">
            <v>0</v>
          </cell>
          <cell r="L157">
            <v>0</v>
          </cell>
          <cell r="M157">
            <v>0</v>
          </cell>
          <cell r="N157">
            <v>3329</v>
          </cell>
          <cell r="O157">
            <v>-3.33</v>
          </cell>
          <cell r="P157">
            <v>0</v>
          </cell>
          <cell r="Q157">
            <v>19</v>
          </cell>
          <cell r="R157">
            <v>0.95</v>
          </cell>
          <cell r="S157">
            <v>0</v>
          </cell>
          <cell r="T157">
            <v>0</v>
          </cell>
          <cell r="U157">
            <v>0</v>
          </cell>
          <cell r="V157">
            <v>2111.5100000000002</v>
          </cell>
          <cell r="W157">
            <v>2091.56</v>
          </cell>
        </row>
        <row r="158">
          <cell r="A158" t="str">
            <v>DSM Engineering Plastics</v>
          </cell>
          <cell r="B158">
            <v>52</v>
          </cell>
          <cell r="C158">
            <v>37347</v>
          </cell>
          <cell r="D158">
            <v>37347</v>
          </cell>
          <cell r="E158">
            <v>1500</v>
          </cell>
          <cell r="F158">
            <v>917</v>
          </cell>
          <cell r="G158">
            <v>0</v>
          </cell>
          <cell r="H158">
            <v>75</v>
          </cell>
          <cell r="I158">
            <v>0</v>
          </cell>
          <cell r="J158">
            <v>0</v>
          </cell>
          <cell r="K158">
            <v>0</v>
          </cell>
          <cell r="L158">
            <v>0</v>
          </cell>
          <cell r="M158">
            <v>0</v>
          </cell>
          <cell r="N158">
            <v>1500</v>
          </cell>
          <cell r="O158">
            <v>-1.5</v>
          </cell>
          <cell r="P158">
            <v>0</v>
          </cell>
          <cell r="Q158">
            <v>19</v>
          </cell>
          <cell r="R158">
            <v>0.95</v>
          </cell>
          <cell r="S158">
            <v>0</v>
          </cell>
          <cell r="T158">
            <v>0</v>
          </cell>
          <cell r="U158">
            <v>0</v>
          </cell>
          <cell r="V158">
            <v>1010.45</v>
          </cell>
          <cell r="W158">
            <v>990.5</v>
          </cell>
        </row>
        <row r="159">
          <cell r="A159" t="str">
            <v>DSM Engineering Plastics</v>
          </cell>
          <cell r="B159">
            <v>52</v>
          </cell>
          <cell r="C159">
            <v>37377</v>
          </cell>
          <cell r="D159">
            <v>37377</v>
          </cell>
          <cell r="E159">
            <v>350</v>
          </cell>
          <cell r="F159">
            <v>223.55</v>
          </cell>
          <cell r="G159">
            <v>0</v>
          </cell>
          <cell r="H159">
            <v>75</v>
          </cell>
          <cell r="I159">
            <v>0</v>
          </cell>
          <cell r="J159">
            <v>0</v>
          </cell>
          <cell r="K159">
            <v>0</v>
          </cell>
          <cell r="L159">
            <v>0</v>
          </cell>
          <cell r="M159">
            <v>0</v>
          </cell>
          <cell r="N159">
            <v>0</v>
          </cell>
          <cell r="O159">
            <v>0</v>
          </cell>
          <cell r="P159">
            <v>0</v>
          </cell>
          <cell r="Q159">
            <v>19</v>
          </cell>
          <cell r="R159">
            <v>0.95</v>
          </cell>
          <cell r="S159">
            <v>0</v>
          </cell>
          <cell r="T159">
            <v>0</v>
          </cell>
          <cell r="U159">
            <v>0</v>
          </cell>
          <cell r="V159">
            <v>318.5</v>
          </cell>
          <cell r="W159">
            <v>298.55</v>
          </cell>
        </row>
        <row r="160">
          <cell r="A160" t="str">
            <v>DSM Engineering Plastics</v>
          </cell>
          <cell r="B160">
            <v>52</v>
          </cell>
          <cell r="C160">
            <v>37408</v>
          </cell>
          <cell r="D160">
            <v>37408</v>
          </cell>
          <cell r="E160">
            <v>250</v>
          </cell>
          <cell r="F160">
            <v>163.25</v>
          </cell>
          <cell r="G160">
            <v>0</v>
          </cell>
          <cell r="H160">
            <v>75</v>
          </cell>
          <cell r="I160">
            <v>0</v>
          </cell>
          <cell r="J160">
            <v>0</v>
          </cell>
          <cell r="K160">
            <v>0</v>
          </cell>
          <cell r="L160">
            <v>0</v>
          </cell>
          <cell r="M160">
            <v>0</v>
          </cell>
          <cell r="N160">
            <v>0</v>
          </cell>
          <cell r="O160">
            <v>0</v>
          </cell>
          <cell r="P160">
            <v>0</v>
          </cell>
          <cell r="Q160">
            <v>19</v>
          </cell>
          <cell r="R160">
            <v>0.95</v>
          </cell>
          <cell r="S160">
            <v>0</v>
          </cell>
          <cell r="T160">
            <v>0</v>
          </cell>
          <cell r="U160">
            <v>0</v>
          </cell>
          <cell r="V160">
            <v>258.2</v>
          </cell>
          <cell r="W160">
            <v>238.25</v>
          </cell>
        </row>
        <row r="161">
          <cell r="A161" t="str">
            <v>DSM Engineering Plastics</v>
          </cell>
          <cell r="B161">
            <v>52</v>
          </cell>
          <cell r="C161">
            <v>37438</v>
          </cell>
          <cell r="D161">
            <v>37438</v>
          </cell>
          <cell r="E161">
            <v>300</v>
          </cell>
          <cell r="F161">
            <v>193.4</v>
          </cell>
          <cell r="G161">
            <v>0</v>
          </cell>
          <cell r="H161">
            <v>75</v>
          </cell>
          <cell r="I161">
            <v>0</v>
          </cell>
          <cell r="J161">
            <v>0</v>
          </cell>
          <cell r="K161">
            <v>0</v>
          </cell>
          <cell r="L161">
            <v>0</v>
          </cell>
          <cell r="M161">
            <v>0</v>
          </cell>
          <cell r="N161">
            <v>0</v>
          </cell>
          <cell r="O161">
            <v>0</v>
          </cell>
          <cell r="P161">
            <v>0</v>
          </cell>
          <cell r="Q161">
            <v>19</v>
          </cell>
          <cell r="R161">
            <v>0.95</v>
          </cell>
          <cell r="S161">
            <v>0</v>
          </cell>
          <cell r="T161">
            <v>0</v>
          </cell>
          <cell r="U161">
            <v>0</v>
          </cell>
          <cell r="V161">
            <v>288.35000000000002</v>
          </cell>
          <cell r="W161">
            <v>268.39999999999998</v>
          </cell>
        </row>
        <row r="162">
          <cell r="A162" t="str">
            <v>DSM Engineering Plastics</v>
          </cell>
          <cell r="B162">
            <v>52</v>
          </cell>
          <cell r="C162">
            <v>37469</v>
          </cell>
          <cell r="D162">
            <v>37469</v>
          </cell>
          <cell r="E162">
            <v>0</v>
          </cell>
          <cell r="F162">
            <v>0</v>
          </cell>
          <cell r="G162">
            <v>0</v>
          </cell>
          <cell r="H162">
            <v>75</v>
          </cell>
          <cell r="I162">
            <v>0</v>
          </cell>
          <cell r="J162">
            <v>0</v>
          </cell>
          <cell r="K162">
            <v>0</v>
          </cell>
          <cell r="L162">
            <v>0</v>
          </cell>
          <cell r="M162">
            <v>0</v>
          </cell>
          <cell r="N162">
            <v>0</v>
          </cell>
          <cell r="O162">
            <v>0</v>
          </cell>
          <cell r="P162">
            <v>0</v>
          </cell>
          <cell r="Q162">
            <v>19</v>
          </cell>
          <cell r="R162">
            <v>0.95</v>
          </cell>
          <cell r="S162">
            <v>0</v>
          </cell>
          <cell r="T162">
            <v>0</v>
          </cell>
          <cell r="U162">
            <v>0</v>
          </cell>
          <cell r="V162">
            <v>94.95</v>
          </cell>
          <cell r="W162">
            <v>75</v>
          </cell>
        </row>
        <row r="163">
          <cell r="A163" t="str">
            <v>DSM Engineering Plastics</v>
          </cell>
          <cell r="B163">
            <v>52</v>
          </cell>
          <cell r="C163">
            <v>37500</v>
          </cell>
          <cell r="D163">
            <v>37500</v>
          </cell>
          <cell r="E163">
            <v>0</v>
          </cell>
          <cell r="F163">
            <v>0</v>
          </cell>
          <cell r="G163">
            <v>0</v>
          </cell>
          <cell r="H163">
            <v>75</v>
          </cell>
          <cell r="I163">
            <v>0</v>
          </cell>
          <cell r="J163">
            <v>0</v>
          </cell>
          <cell r="K163">
            <v>0</v>
          </cell>
          <cell r="L163">
            <v>0</v>
          </cell>
          <cell r="M163">
            <v>0</v>
          </cell>
          <cell r="N163">
            <v>0</v>
          </cell>
          <cell r="O163">
            <v>0</v>
          </cell>
          <cell r="P163">
            <v>0</v>
          </cell>
          <cell r="Q163">
            <v>19</v>
          </cell>
          <cell r="R163">
            <v>0.95</v>
          </cell>
          <cell r="S163">
            <v>0</v>
          </cell>
          <cell r="T163">
            <v>0</v>
          </cell>
          <cell r="U163">
            <v>0</v>
          </cell>
          <cell r="V163">
            <v>94.95</v>
          </cell>
          <cell r="W163">
            <v>75</v>
          </cell>
        </row>
        <row r="164">
          <cell r="A164" t="str">
            <v>DSM Engineering Plastics</v>
          </cell>
          <cell r="B164">
            <v>52</v>
          </cell>
          <cell r="C164">
            <v>37530</v>
          </cell>
          <cell r="D164">
            <v>37530</v>
          </cell>
          <cell r="E164">
            <v>451</v>
          </cell>
          <cell r="F164">
            <v>284.45</v>
          </cell>
          <cell r="G164">
            <v>0</v>
          </cell>
          <cell r="H164">
            <v>75</v>
          </cell>
          <cell r="I164">
            <v>0</v>
          </cell>
          <cell r="J164">
            <v>0</v>
          </cell>
          <cell r="K164">
            <v>0</v>
          </cell>
          <cell r="L164">
            <v>0</v>
          </cell>
          <cell r="M164">
            <v>0</v>
          </cell>
          <cell r="N164">
            <v>0</v>
          </cell>
          <cell r="O164">
            <v>0</v>
          </cell>
          <cell r="P164">
            <v>0</v>
          </cell>
          <cell r="Q164">
            <v>19</v>
          </cell>
          <cell r="R164">
            <v>0.95</v>
          </cell>
          <cell r="S164">
            <v>0</v>
          </cell>
          <cell r="T164">
            <v>0</v>
          </cell>
          <cell r="U164">
            <v>0</v>
          </cell>
          <cell r="V164">
            <v>379.4</v>
          </cell>
          <cell r="W164">
            <v>359.45</v>
          </cell>
        </row>
        <row r="165">
          <cell r="A165" t="str">
            <v>DSM Engineering Plastics</v>
          </cell>
          <cell r="B165">
            <v>52</v>
          </cell>
          <cell r="C165">
            <v>37561</v>
          </cell>
          <cell r="D165">
            <v>37561</v>
          </cell>
          <cell r="E165">
            <v>5625</v>
          </cell>
          <cell r="F165">
            <v>3404.37</v>
          </cell>
          <cell r="G165">
            <v>0</v>
          </cell>
          <cell r="H165">
            <v>75</v>
          </cell>
          <cell r="I165">
            <v>0</v>
          </cell>
          <cell r="J165">
            <v>0</v>
          </cell>
          <cell r="K165">
            <v>0</v>
          </cell>
          <cell r="L165">
            <v>0</v>
          </cell>
          <cell r="M165">
            <v>0</v>
          </cell>
          <cell r="N165">
            <v>0</v>
          </cell>
          <cell r="O165">
            <v>0</v>
          </cell>
          <cell r="P165">
            <v>0</v>
          </cell>
          <cell r="Q165">
            <v>19</v>
          </cell>
          <cell r="R165">
            <v>0.95</v>
          </cell>
          <cell r="S165">
            <v>0</v>
          </cell>
          <cell r="T165">
            <v>0</v>
          </cell>
          <cell r="U165">
            <v>0</v>
          </cell>
          <cell r="V165">
            <v>3499.32</v>
          </cell>
          <cell r="W165">
            <v>3479.37</v>
          </cell>
        </row>
        <row r="166">
          <cell r="A166" t="str">
            <v>DSM Engineering Plastics</v>
          </cell>
          <cell r="B166">
            <v>52</v>
          </cell>
          <cell r="C166">
            <v>37591</v>
          </cell>
          <cell r="D166">
            <v>37591</v>
          </cell>
          <cell r="E166">
            <v>7006</v>
          </cell>
          <cell r="F166">
            <v>4237.12</v>
          </cell>
          <cell r="G166">
            <v>0</v>
          </cell>
          <cell r="H166">
            <v>75</v>
          </cell>
          <cell r="I166">
            <v>0</v>
          </cell>
          <cell r="J166">
            <v>0</v>
          </cell>
          <cell r="K166">
            <v>0</v>
          </cell>
          <cell r="L166">
            <v>0</v>
          </cell>
          <cell r="M166">
            <v>0</v>
          </cell>
          <cell r="N166">
            <v>0</v>
          </cell>
          <cell r="O166">
            <v>0</v>
          </cell>
          <cell r="P166">
            <v>0</v>
          </cell>
          <cell r="Q166">
            <v>19</v>
          </cell>
          <cell r="R166">
            <v>1.1399999999999999</v>
          </cell>
          <cell r="S166">
            <v>0</v>
          </cell>
          <cell r="T166">
            <v>0</v>
          </cell>
          <cell r="U166">
            <v>0</v>
          </cell>
          <cell r="V166">
            <v>4332.26</v>
          </cell>
          <cell r="W166">
            <v>4312.12</v>
          </cell>
        </row>
        <row r="167">
          <cell r="A167" t="str">
            <v>Northeast Sub. Gas Turbines</v>
          </cell>
          <cell r="B167">
            <v>59</v>
          </cell>
          <cell r="C167">
            <v>37257</v>
          </cell>
          <cell r="D167">
            <v>37257</v>
          </cell>
          <cell r="E167">
            <v>213</v>
          </cell>
          <cell r="F167">
            <v>140.94</v>
          </cell>
          <cell r="G167">
            <v>0</v>
          </cell>
          <cell r="H167">
            <v>75</v>
          </cell>
          <cell r="I167">
            <v>213</v>
          </cell>
          <cell r="J167">
            <v>66.349999999999994</v>
          </cell>
          <cell r="K167">
            <v>219</v>
          </cell>
          <cell r="L167">
            <v>559.54</v>
          </cell>
          <cell r="M167">
            <v>0</v>
          </cell>
          <cell r="N167">
            <v>213</v>
          </cell>
          <cell r="O167">
            <v>0.64</v>
          </cell>
          <cell r="P167">
            <v>0</v>
          </cell>
          <cell r="Q167">
            <v>19</v>
          </cell>
          <cell r="R167">
            <v>0</v>
          </cell>
          <cell r="S167">
            <v>0</v>
          </cell>
          <cell r="T167">
            <v>0</v>
          </cell>
          <cell r="U167">
            <v>0</v>
          </cell>
          <cell r="V167">
            <v>861.47</v>
          </cell>
          <cell r="W167">
            <v>216.58</v>
          </cell>
        </row>
        <row r="168">
          <cell r="A168" t="str">
            <v>Northeast Sub. Gas Turbines</v>
          </cell>
          <cell r="B168">
            <v>59</v>
          </cell>
          <cell r="C168">
            <v>37288</v>
          </cell>
          <cell r="D168">
            <v>37288</v>
          </cell>
          <cell r="E168">
            <v>212</v>
          </cell>
          <cell r="F168">
            <v>140.34</v>
          </cell>
          <cell r="G168">
            <v>0</v>
          </cell>
          <cell r="H168">
            <v>75</v>
          </cell>
          <cell r="I168">
            <v>212</v>
          </cell>
          <cell r="J168">
            <v>66.040000000000006</v>
          </cell>
          <cell r="K168">
            <v>218</v>
          </cell>
          <cell r="L168">
            <v>556.99</v>
          </cell>
          <cell r="M168">
            <v>0</v>
          </cell>
          <cell r="N168">
            <v>212</v>
          </cell>
          <cell r="O168">
            <v>-0.21</v>
          </cell>
          <cell r="P168">
            <v>0</v>
          </cell>
          <cell r="Q168">
            <v>19</v>
          </cell>
          <cell r="R168">
            <v>0</v>
          </cell>
          <cell r="S168">
            <v>0</v>
          </cell>
          <cell r="T168">
            <v>0</v>
          </cell>
          <cell r="U168">
            <v>0</v>
          </cell>
          <cell r="V168">
            <v>857.16</v>
          </cell>
          <cell r="W168">
            <v>215.13</v>
          </cell>
        </row>
        <row r="169">
          <cell r="A169" t="str">
            <v>Northeast Sub. Gas Turbines</v>
          </cell>
          <cell r="B169">
            <v>59</v>
          </cell>
          <cell r="C169">
            <v>37316</v>
          </cell>
          <cell r="D169">
            <v>37316</v>
          </cell>
          <cell r="E169">
            <v>0</v>
          </cell>
          <cell r="F169">
            <v>0</v>
          </cell>
          <cell r="G169">
            <v>0</v>
          </cell>
          <cell r="H169">
            <v>75</v>
          </cell>
          <cell r="I169">
            <v>0</v>
          </cell>
          <cell r="J169">
            <v>0</v>
          </cell>
          <cell r="K169">
            <v>0</v>
          </cell>
          <cell r="L169">
            <v>0</v>
          </cell>
          <cell r="M169">
            <v>0</v>
          </cell>
          <cell r="N169">
            <v>0</v>
          </cell>
          <cell r="O169">
            <v>0</v>
          </cell>
          <cell r="P169">
            <v>0</v>
          </cell>
          <cell r="Q169">
            <v>19</v>
          </cell>
          <cell r="R169">
            <v>0</v>
          </cell>
          <cell r="S169">
            <v>0</v>
          </cell>
          <cell r="T169">
            <v>0</v>
          </cell>
          <cell r="U169">
            <v>0</v>
          </cell>
          <cell r="V169">
            <v>94</v>
          </cell>
          <cell r="W169">
            <v>75</v>
          </cell>
        </row>
        <row r="170">
          <cell r="A170" t="str">
            <v>Northeast Sub. Gas Turbines</v>
          </cell>
          <cell r="B170">
            <v>59</v>
          </cell>
          <cell r="C170">
            <v>37347</v>
          </cell>
          <cell r="D170">
            <v>37347</v>
          </cell>
          <cell r="E170">
            <v>740</v>
          </cell>
          <cell r="F170">
            <v>458.72</v>
          </cell>
          <cell r="G170">
            <v>0</v>
          </cell>
          <cell r="H170">
            <v>75</v>
          </cell>
          <cell r="I170">
            <v>740</v>
          </cell>
          <cell r="J170">
            <v>230.51</v>
          </cell>
          <cell r="K170">
            <v>760</v>
          </cell>
          <cell r="L170">
            <v>2638.72</v>
          </cell>
          <cell r="M170">
            <v>0</v>
          </cell>
          <cell r="N170">
            <v>740</v>
          </cell>
          <cell r="O170">
            <v>-0.74</v>
          </cell>
          <cell r="P170">
            <v>0</v>
          </cell>
          <cell r="Q170">
            <v>19</v>
          </cell>
          <cell r="R170">
            <v>0</v>
          </cell>
          <cell r="S170">
            <v>0</v>
          </cell>
          <cell r="T170">
            <v>0</v>
          </cell>
          <cell r="U170">
            <v>0</v>
          </cell>
          <cell r="V170">
            <v>3421.21</v>
          </cell>
          <cell r="W170">
            <v>532.98</v>
          </cell>
        </row>
        <row r="171">
          <cell r="A171" t="str">
            <v>Northeast Sub. Gas Turbines</v>
          </cell>
          <cell r="B171">
            <v>59</v>
          </cell>
          <cell r="C171">
            <v>37377</v>
          </cell>
          <cell r="D171">
            <v>37377</v>
          </cell>
          <cell r="E171">
            <v>0</v>
          </cell>
          <cell r="F171">
            <v>0</v>
          </cell>
          <cell r="G171">
            <v>0</v>
          </cell>
          <cell r="H171">
            <v>75</v>
          </cell>
          <cell r="I171">
            <v>0</v>
          </cell>
          <cell r="J171">
            <v>0</v>
          </cell>
          <cell r="K171">
            <v>0</v>
          </cell>
          <cell r="L171">
            <v>0</v>
          </cell>
          <cell r="M171">
            <v>0</v>
          </cell>
          <cell r="N171">
            <v>0</v>
          </cell>
          <cell r="O171">
            <v>0</v>
          </cell>
          <cell r="P171">
            <v>0</v>
          </cell>
          <cell r="Q171">
            <v>19</v>
          </cell>
          <cell r="R171">
            <v>0</v>
          </cell>
          <cell r="S171">
            <v>0</v>
          </cell>
          <cell r="T171">
            <v>0</v>
          </cell>
          <cell r="U171">
            <v>0</v>
          </cell>
          <cell r="V171">
            <v>94</v>
          </cell>
          <cell r="W171">
            <v>75</v>
          </cell>
        </row>
        <row r="172">
          <cell r="A172" t="str">
            <v>Northeast Sub. Gas Turbines</v>
          </cell>
          <cell r="B172">
            <v>59</v>
          </cell>
          <cell r="C172">
            <v>37408</v>
          </cell>
          <cell r="D172">
            <v>37408</v>
          </cell>
          <cell r="E172">
            <v>0</v>
          </cell>
          <cell r="F172">
            <v>0</v>
          </cell>
          <cell r="G172">
            <v>0</v>
          </cell>
          <cell r="H172">
            <v>75</v>
          </cell>
          <cell r="I172">
            <v>0</v>
          </cell>
          <cell r="J172">
            <v>0</v>
          </cell>
          <cell r="K172">
            <v>0</v>
          </cell>
          <cell r="L172">
            <v>0</v>
          </cell>
          <cell r="M172">
            <v>0</v>
          </cell>
          <cell r="N172">
            <v>0</v>
          </cell>
          <cell r="O172">
            <v>0</v>
          </cell>
          <cell r="P172">
            <v>0</v>
          </cell>
          <cell r="Q172">
            <v>19</v>
          </cell>
          <cell r="R172">
            <v>0</v>
          </cell>
          <cell r="S172">
            <v>0</v>
          </cell>
          <cell r="T172">
            <v>0</v>
          </cell>
          <cell r="U172">
            <v>0</v>
          </cell>
          <cell r="V172">
            <v>94</v>
          </cell>
          <cell r="W172">
            <v>75</v>
          </cell>
        </row>
        <row r="173">
          <cell r="A173" t="str">
            <v>Northeast Sub. Gas Turbines</v>
          </cell>
          <cell r="B173">
            <v>59</v>
          </cell>
          <cell r="C173">
            <v>37438</v>
          </cell>
          <cell r="D173">
            <v>37438</v>
          </cell>
          <cell r="E173">
            <v>0</v>
          </cell>
          <cell r="F173">
            <v>0</v>
          </cell>
          <cell r="G173">
            <v>0</v>
          </cell>
          <cell r="H173">
            <v>75</v>
          </cell>
          <cell r="I173">
            <v>0</v>
          </cell>
          <cell r="J173">
            <v>0</v>
          </cell>
          <cell r="K173">
            <v>0</v>
          </cell>
          <cell r="L173">
            <v>0</v>
          </cell>
          <cell r="M173">
            <v>0</v>
          </cell>
          <cell r="N173">
            <v>0</v>
          </cell>
          <cell r="O173">
            <v>0</v>
          </cell>
          <cell r="P173">
            <v>0</v>
          </cell>
          <cell r="Q173">
            <v>19</v>
          </cell>
          <cell r="R173">
            <v>0</v>
          </cell>
          <cell r="S173">
            <v>0</v>
          </cell>
          <cell r="T173">
            <v>0</v>
          </cell>
          <cell r="U173">
            <v>0</v>
          </cell>
          <cell r="V173">
            <v>94</v>
          </cell>
          <cell r="W173">
            <v>75</v>
          </cell>
        </row>
        <row r="174">
          <cell r="A174" t="str">
            <v>Northeast Sub. Gas Turbines</v>
          </cell>
          <cell r="B174">
            <v>59</v>
          </cell>
          <cell r="C174">
            <v>37469</v>
          </cell>
          <cell r="D174">
            <v>37469</v>
          </cell>
          <cell r="E174">
            <v>0</v>
          </cell>
          <cell r="F174">
            <v>0</v>
          </cell>
          <cell r="G174">
            <v>0</v>
          </cell>
          <cell r="H174">
            <v>75</v>
          </cell>
          <cell r="I174">
            <v>0</v>
          </cell>
          <cell r="J174">
            <v>0</v>
          </cell>
          <cell r="K174">
            <v>0</v>
          </cell>
          <cell r="L174">
            <v>0</v>
          </cell>
          <cell r="M174">
            <v>0</v>
          </cell>
          <cell r="N174">
            <v>0</v>
          </cell>
          <cell r="O174">
            <v>0</v>
          </cell>
          <cell r="P174">
            <v>0</v>
          </cell>
          <cell r="Q174">
            <v>19</v>
          </cell>
          <cell r="R174">
            <v>0</v>
          </cell>
          <cell r="S174">
            <v>0</v>
          </cell>
          <cell r="T174">
            <v>0</v>
          </cell>
          <cell r="U174">
            <v>0</v>
          </cell>
          <cell r="V174">
            <v>94</v>
          </cell>
          <cell r="W174">
            <v>75</v>
          </cell>
        </row>
        <row r="175">
          <cell r="A175" t="str">
            <v>Northeast Sub. Gas Turbines</v>
          </cell>
          <cell r="B175">
            <v>59</v>
          </cell>
          <cell r="C175">
            <v>37500</v>
          </cell>
          <cell r="D175">
            <v>37500</v>
          </cell>
          <cell r="E175">
            <v>0</v>
          </cell>
          <cell r="F175">
            <v>0</v>
          </cell>
          <cell r="G175">
            <v>0</v>
          </cell>
          <cell r="H175">
            <v>75</v>
          </cell>
          <cell r="I175">
            <v>0</v>
          </cell>
          <cell r="J175">
            <v>0</v>
          </cell>
          <cell r="K175">
            <v>0</v>
          </cell>
          <cell r="L175">
            <v>0</v>
          </cell>
          <cell r="M175">
            <v>0</v>
          </cell>
          <cell r="N175">
            <v>0</v>
          </cell>
          <cell r="O175">
            <v>0</v>
          </cell>
          <cell r="P175">
            <v>0</v>
          </cell>
          <cell r="Q175">
            <v>19</v>
          </cell>
          <cell r="R175">
            <v>0</v>
          </cell>
          <cell r="S175">
            <v>0</v>
          </cell>
          <cell r="T175">
            <v>0</v>
          </cell>
          <cell r="U175">
            <v>0</v>
          </cell>
          <cell r="V175">
            <v>94</v>
          </cell>
          <cell r="W175">
            <v>75</v>
          </cell>
        </row>
        <row r="176">
          <cell r="A176" t="str">
            <v>Northeast Sub. Gas Turbines</v>
          </cell>
          <cell r="B176">
            <v>59</v>
          </cell>
          <cell r="C176">
            <v>37530</v>
          </cell>
          <cell r="D176">
            <v>37530</v>
          </cell>
          <cell r="E176">
            <v>0</v>
          </cell>
          <cell r="F176">
            <v>0</v>
          </cell>
          <cell r="G176">
            <v>0</v>
          </cell>
          <cell r="H176">
            <v>75</v>
          </cell>
          <cell r="I176">
            <v>0</v>
          </cell>
          <cell r="J176">
            <v>0</v>
          </cell>
          <cell r="K176">
            <v>0</v>
          </cell>
          <cell r="L176">
            <v>0</v>
          </cell>
          <cell r="M176">
            <v>0</v>
          </cell>
          <cell r="N176">
            <v>0</v>
          </cell>
          <cell r="O176">
            <v>0</v>
          </cell>
          <cell r="P176">
            <v>0</v>
          </cell>
          <cell r="Q176">
            <v>19</v>
          </cell>
          <cell r="R176">
            <v>0</v>
          </cell>
          <cell r="S176">
            <v>0</v>
          </cell>
          <cell r="T176">
            <v>0</v>
          </cell>
          <cell r="U176">
            <v>0</v>
          </cell>
          <cell r="V176">
            <v>94</v>
          </cell>
          <cell r="W176">
            <v>75</v>
          </cell>
        </row>
        <row r="177">
          <cell r="A177" t="str">
            <v>Northeast Sub. Gas Turbines</v>
          </cell>
          <cell r="B177">
            <v>59</v>
          </cell>
          <cell r="C177">
            <v>37561</v>
          </cell>
          <cell r="D177">
            <v>37561</v>
          </cell>
          <cell r="E177">
            <v>0</v>
          </cell>
          <cell r="F177">
            <v>0</v>
          </cell>
          <cell r="G177">
            <v>0</v>
          </cell>
          <cell r="H177">
            <v>75</v>
          </cell>
          <cell r="I177">
            <v>0</v>
          </cell>
          <cell r="J177">
            <v>0</v>
          </cell>
          <cell r="K177">
            <v>0</v>
          </cell>
          <cell r="L177">
            <v>0</v>
          </cell>
          <cell r="M177">
            <v>0</v>
          </cell>
          <cell r="N177">
            <v>0</v>
          </cell>
          <cell r="O177">
            <v>0</v>
          </cell>
          <cell r="P177">
            <v>0</v>
          </cell>
          <cell r="Q177">
            <v>19</v>
          </cell>
          <cell r="R177">
            <v>0</v>
          </cell>
          <cell r="S177">
            <v>0</v>
          </cell>
          <cell r="T177">
            <v>0</v>
          </cell>
          <cell r="U177">
            <v>0</v>
          </cell>
          <cell r="V177">
            <v>94</v>
          </cell>
          <cell r="W177">
            <v>75</v>
          </cell>
        </row>
        <row r="178">
          <cell r="A178" t="str">
            <v>Northeast Sub. Gas Turbines</v>
          </cell>
          <cell r="B178">
            <v>59</v>
          </cell>
          <cell r="C178">
            <v>37591</v>
          </cell>
          <cell r="D178">
            <v>37591</v>
          </cell>
          <cell r="E178">
            <v>0</v>
          </cell>
          <cell r="F178">
            <v>0</v>
          </cell>
          <cell r="G178">
            <v>0</v>
          </cell>
          <cell r="H178">
            <v>75</v>
          </cell>
          <cell r="I178">
            <v>0</v>
          </cell>
          <cell r="J178">
            <v>0</v>
          </cell>
          <cell r="K178">
            <v>0</v>
          </cell>
          <cell r="L178">
            <v>0</v>
          </cell>
          <cell r="M178">
            <v>0</v>
          </cell>
          <cell r="N178">
            <v>0</v>
          </cell>
          <cell r="O178">
            <v>0</v>
          </cell>
          <cell r="P178">
            <v>0</v>
          </cell>
          <cell r="Q178">
            <v>19</v>
          </cell>
          <cell r="R178">
            <v>0</v>
          </cell>
          <cell r="S178">
            <v>0</v>
          </cell>
          <cell r="T178">
            <v>0</v>
          </cell>
          <cell r="U178">
            <v>0</v>
          </cell>
          <cell r="V178">
            <v>94</v>
          </cell>
          <cell r="W178">
            <v>75</v>
          </cell>
        </row>
        <row r="179">
          <cell r="A179" t="str">
            <v>Culley Plant</v>
          </cell>
          <cell r="B179">
            <v>62</v>
          </cell>
          <cell r="C179">
            <v>37257</v>
          </cell>
          <cell r="D179">
            <v>37257</v>
          </cell>
          <cell r="E179">
            <v>1961</v>
          </cell>
          <cell r="F179">
            <v>1194.98</v>
          </cell>
          <cell r="G179">
            <v>0</v>
          </cell>
          <cell r="H179">
            <v>75</v>
          </cell>
          <cell r="I179">
            <v>1961</v>
          </cell>
          <cell r="J179">
            <v>610.85</v>
          </cell>
          <cell r="K179">
            <v>2012</v>
          </cell>
          <cell r="L179">
            <v>5140.66</v>
          </cell>
          <cell r="M179">
            <v>0</v>
          </cell>
          <cell r="N179">
            <v>1961</v>
          </cell>
          <cell r="O179">
            <v>5.88</v>
          </cell>
          <cell r="P179">
            <v>0</v>
          </cell>
          <cell r="Q179">
            <v>19</v>
          </cell>
          <cell r="R179">
            <v>0</v>
          </cell>
          <cell r="S179">
            <v>0</v>
          </cell>
          <cell r="T179">
            <v>0</v>
          </cell>
          <cell r="U179">
            <v>0</v>
          </cell>
          <cell r="V179">
            <v>7046.37</v>
          </cell>
          <cell r="W179">
            <v>1275.8599999999999</v>
          </cell>
        </row>
        <row r="180">
          <cell r="A180" t="str">
            <v>Culley Plant</v>
          </cell>
          <cell r="B180">
            <v>62</v>
          </cell>
          <cell r="C180">
            <v>37288</v>
          </cell>
          <cell r="D180">
            <v>37288</v>
          </cell>
          <cell r="E180">
            <v>1629</v>
          </cell>
          <cell r="F180">
            <v>994.79</v>
          </cell>
          <cell r="G180">
            <v>0</v>
          </cell>
          <cell r="H180">
            <v>75</v>
          </cell>
          <cell r="I180">
            <v>1629</v>
          </cell>
          <cell r="J180">
            <v>507.43</v>
          </cell>
          <cell r="K180">
            <v>1671</v>
          </cell>
          <cell r="L180">
            <v>4269.41</v>
          </cell>
          <cell r="M180">
            <v>0</v>
          </cell>
          <cell r="N180">
            <v>1629</v>
          </cell>
          <cell r="O180">
            <v>-1.63</v>
          </cell>
          <cell r="P180">
            <v>0</v>
          </cell>
          <cell r="Q180">
            <v>19</v>
          </cell>
          <cell r="R180">
            <v>0</v>
          </cell>
          <cell r="S180">
            <v>0</v>
          </cell>
          <cell r="T180">
            <v>0</v>
          </cell>
          <cell r="U180">
            <v>0</v>
          </cell>
          <cell r="V180">
            <v>5864</v>
          </cell>
          <cell r="W180">
            <v>1068.1600000000001</v>
          </cell>
        </row>
        <row r="181">
          <cell r="A181" t="str">
            <v>Culley Plant</v>
          </cell>
          <cell r="B181">
            <v>62</v>
          </cell>
          <cell r="C181">
            <v>37316</v>
          </cell>
          <cell r="D181">
            <v>37316</v>
          </cell>
          <cell r="E181">
            <v>2753</v>
          </cell>
          <cell r="F181">
            <v>1672.56</v>
          </cell>
          <cell r="G181">
            <v>0</v>
          </cell>
          <cell r="H181">
            <v>75</v>
          </cell>
          <cell r="I181">
            <v>2753</v>
          </cell>
          <cell r="J181">
            <v>857.56</v>
          </cell>
          <cell r="K181">
            <v>2824</v>
          </cell>
          <cell r="L181">
            <v>6743.71</v>
          </cell>
          <cell r="M181">
            <v>0</v>
          </cell>
          <cell r="N181">
            <v>2753</v>
          </cell>
          <cell r="O181">
            <v>-2.75</v>
          </cell>
          <cell r="P181">
            <v>0</v>
          </cell>
          <cell r="Q181">
            <v>19</v>
          </cell>
          <cell r="R181">
            <v>0</v>
          </cell>
          <cell r="S181">
            <v>0</v>
          </cell>
          <cell r="T181">
            <v>0</v>
          </cell>
          <cell r="U181">
            <v>0</v>
          </cell>
          <cell r="V181">
            <v>9365.08</v>
          </cell>
          <cell r="W181">
            <v>1744.81</v>
          </cell>
        </row>
        <row r="182">
          <cell r="A182" t="str">
            <v>Culley Plant</v>
          </cell>
          <cell r="B182">
            <v>62</v>
          </cell>
          <cell r="C182">
            <v>37347</v>
          </cell>
          <cell r="D182">
            <v>37347</v>
          </cell>
          <cell r="E182">
            <v>6233</v>
          </cell>
          <cell r="F182">
            <v>3771</v>
          </cell>
          <cell r="G182">
            <v>0</v>
          </cell>
          <cell r="H182">
            <v>75</v>
          </cell>
          <cell r="I182">
            <v>6233</v>
          </cell>
          <cell r="J182">
            <v>1941.58</v>
          </cell>
          <cell r="K182">
            <v>6405</v>
          </cell>
          <cell r="L182">
            <v>22238.16</v>
          </cell>
          <cell r="M182">
            <v>0</v>
          </cell>
          <cell r="N182">
            <v>6233</v>
          </cell>
          <cell r="O182">
            <v>-6.23</v>
          </cell>
          <cell r="P182">
            <v>0</v>
          </cell>
          <cell r="Q182">
            <v>19</v>
          </cell>
          <cell r="R182">
            <v>0</v>
          </cell>
          <cell r="S182">
            <v>0</v>
          </cell>
          <cell r="T182">
            <v>0</v>
          </cell>
          <cell r="U182">
            <v>0</v>
          </cell>
          <cell r="V182">
            <v>28038.51</v>
          </cell>
          <cell r="W182">
            <v>3839.77</v>
          </cell>
        </row>
        <row r="183">
          <cell r="A183" t="str">
            <v>Culley Plant</v>
          </cell>
          <cell r="B183">
            <v>62</v>
          </cell>
          <cell r="C183">
            <v>37377</v>
          </cell>
          <cell r="D183">
            <v>37377</v>
          </cell>
          <cell r="E183">
            <v>2547</v>
          </cell>
          <cell r="F183">
            <v>1548.34</v>
          </cell>
          <cell r="G183">
            <v>0</v>
          </cell>
          <cell r="H183">
            <v>75</v>
          </cell>
          <cell r="I183">
            <v>2547</v>
          </cell>
          <cell r="J183">
            <v>793.39</v>
          </cell>
          <cell r="K183">
            <v>2617</v>
          </cell>
          <cell r="L183">
            <v>8685.82</v>
          </cell>
          <cell r="M183">
            <v>0</v>
          </cell>
          <cell r="N183">
            <v>0</v>
          </cell>
          <cell r="O183">
            <v>0</v>
          </cell>
          <cell r="P183">
            <v>0</v>
          </cell>
          <cell r="Q183">
            <v>19</v>
          </cell>
          <cell r="R183">
            <v>0</v>
          </cell>
          <cell r="S183">
            <v>0</v>
          </cell>
          <cell r="T183">
            <v>0</v>
          </cell>
          <cell r="U183">
            <v>0</v>
          </cell>
          <cell r="V183">
            <v>11121.55</v>
          </cell>
          <cell r="W183">
            <v>1623.34</v>
          </cell>
        </row>
        <row r="184">
          <cell r="A184" t="str">
            <v>Culley Plant</v>
          </cell>
          <cell r="B184">
            <v>62</v>
          </cell>
          <cell r="C184">
            <v>37408</v>
          </cell>
          <cell r="D184">
            <v>37408</v>
          </cell>
          <cell r="E184">
            <v>6187</v>
          </cell>
          <cell r="F184">
            <v>3743.26</v>
          </cell>
          <cell r="G184">
            <v>0</v>
          </cell>
          <cell r="H184">
            <v>75</v>
          </cell>
          <cell r="I184">
            <v>6187</v>
          </cell>
          <cell r="J184">
            <v>1927.25</v>
          </cell>
          <cell r="K184">
            <v>6358</v>
          </cell>
          <cell r="L184">
            <v>21744.36</v>
          </cell>
          <cell r="M184">
            <v>0</v>
          </cell>
          <cell r="N184">
            <v>0</v>
          </cell>
          <cell r="O184">
            <v>0</v>
          </cell>
          <cell r="P184">
            <v>0</v>
          </cell>
          <cell r="Q184">
            <v>19</v>
          </cell>
          <cell r="R184">
            <v>0</v>
          </cell>
          <cell r="S184">
            <v>0</v>
          </cell>
          <cell r="T184">
            <v>0</v>
          </cell>
          <cell r="U184">
            <v>0</v>
          </cell>
          <cell r="V184">
            <v>27508.87</v>
          </cell>
          <cell r="W184">
            <v>3818.26</v>
          </cell>
        </row>
        <row r="185">
          <cell r="A185" t="str">
            <v>Culley Plant</v>
          </cell>
          <cell r="B185">
            <v>62</v>
          </cell>
          <cell r="C185">
            <v>37438</v>
          </cell>
          <cell r="D185">
            <v>37438</v>
          </cell>
          <cell r="E185">
            <v>3288</v>
          </cell>
          <cell r="F185">
            <v>1995.16</v>
          </cell>
          <cell r="G185">
            <v>0</v>
          </cell>
          <cell r="H185">
            <v>75</v>
          </cell>
          <cell r="I185">
            <v>3288</v>
          </cell>
          <cell r="J185">
            <v>1024.21</v>
          </cell>
          <cell r="K185">
            <v>3378</v>
          </cell>
          <cell r="L185">
            <v>11073.08</v>
          </cell>
          <cell r="M185">
            <v>0</v>
          </cell>
          <cell r="N185">
            <v>0</v>
          </cell>
          <cell r="O185">
            <v>0</v>
          </cell>
          <cell r="P185">
            <v>0</v>
          </cell>
          <cell r="Q185">
            <v>19</v>
          </cell>
          <cell r="R185">
            <v>0</v>
          </cell>
          <cell r="S185">
            <v>0</v>
          </cell>
          <cell r="T185">
            <v>0</v>
          </cell>
          <cell r="U185">
            <v>0</v>
          </cell>
          <cell r="V185">
            <v>14186.45</v>
          </cell>
          <cell r="W185">
            <v>2070.16</v>
          </cell>
        </row>
        <row r="186">
          <cell r="A186" t="str">
            <v>Culley Plant</v>
          </cell>
          <cell r="B186">
            <v>62</v>
          </cell>
          <cell r="C186">
            <v>37469</v>
          </cell>
          <cell r="D186">
            <v>37469</v>
          </cell>
          <cell r="E186">
            <v>2055</v>
          </cell>
          <cell r="F186">
            <v>1251.67</v>
          </cell>
          <cell r="G186">
            <v>0</v>
          </cell>
          <cell r="H186">
            <v>75</v>
          </cell>
          <cell r="I186">
            <v>2055</v>
          </cell>
          <cell r="J186">
            <v>705.89</v>
          </cell>
          <cell r="K186">
            <v>2112</v>
          </cell>
          <cell r="L186">
            <v>6285.31</v>
          </cell>
          <cell r="M186">
            <v>0</v>
          </cell>
          <cell r="N186">
            <v>0</v>
          </cell>
          <cell r="O186">
            <v>0</v>
          </cell>
          <cell r="P186">
            <v>0</v>
          </cell>
          <cell r="Q186">
            <v>19</v>
          </cell>
          <cell r="R186">
            <v>0</v>
          </cell>
          <cell r="S186">
            <v>0</v>
          </cell>
          <cell r="T186">
            <v>0</v>
          </cell>
          <cell r="U186">
            <v>0</v>
          </cell>
          <cell r="V186">
            <v>8336.8700000000008</v>
          </cell>
          <cell r="W186">
            <v>1326.67</v>
          </cell>
        </row>
        <row r="187">
          <cell r="A187" t="str">
            <v>Culley Plant</v>
          </cell>
          <cell r="B187">
            <v>62</v>
          </cell>
          <cell r="C187">
            <v>37500</v>
          </cell>
          <cell r="D187">
            <v>37500</v>
          </cell>
          <cell r="E187">
            <v>4965</v>
          </cell>
          <cell r="F187">
            <v>3006.39</v>
          </cell>
          <cell r="G187">
            <v>0</v>
          </cell>
          <cell r="H187">
            <v>75</v>
          </cell>
          <cell r="I187">
            <v>4965</v>
          </cell>
          <cell r="J187">
            <v>1536.17</v>
          </cell>
          <cell r="K187">
            <v>5103</v>
          </cell>
          <cell r="L187">
            <v>16778.66</v>
          </cell>
          <cell r="M187">
            <v>0</v>
          </cell>
          <cell r="N187">
            <v>0</v>
          </cell>
          <cell r="O187">
            <v>0</v>
          </cell>
          <cell r="P187">
            <v>0</v>
          </cell>
          <cell r="Q187">
            <v>19</v>
          </cell>
          <cell r="R187">
            <v>0</v>
          </cell>
          <cell r="S187">
            <v>0</v>
          </cell>
          <cell r="T187">
            <v>0</v>
          </cell>
          <cell r="U187">
            <v>0</v>
          </cell>
          <cell r="V187">
            <v>21415.22</v>
          </cell>
          <cell r="W187">
            <v>3081.39</v>
          </cell>
        </row>
        <row r="188">
          <cell r="A188" t="str">
            <v>Culley Plant</v>
          </cell>
          <cell r="B188">
            <v>62</v>
          </cell>
          <cell r="C188">
            <v>37530</v>
          </cell>
          <cell r="D188">
            <v>37530</v>
          </cell>
          <cell r="E188">
            <v>4923</v>
          </cell>
          <cell r="F188">
            <v>2981.07</v>
          </cell>
          <cell r="G188">
            <v>0</v>
          </cell>
          <cell r="H188">
            <v>75</v>
          </cell>
          <cell r="I188">
            <v>4923</v>
          </cell>
          <cell r="J188">
            <v>1523.18</v>
          </cell>
          <cell r="K188">
            <v>5059</v>
          </cell>
          <cell r="L188">
            <v>18647.47</v>
          </cell>
          <cell r="M188">
            <v>0</v>
          </cell>
          <cell r="N188">
            <v>0</v>
          </cell>
          <cell r="O188">
            <v>0</v>
          </cell>
          <cell r="P188">
            <v>0</v>
          </cell>
          <cell r="Q188">
            <v>19</v>
          </cell>
          <cell r="R188">
            <v>0</v>
          </cell>
          <cell r="S188">
            <v>0</v>
          </cell>
          <cell r="T188">
            <v>0</v>
          </cell>
          <cell r="U188">
            <v>0</v>
          </cell>
          <cell r="V188">
            <v>23245.72</v>
          </cell>
          <cell r="W188">
            <v>3056.07</v>
          </cell>
        </row>
        <row r="189">
          <cell r="A189" t="str">
            <v>Culley Plant</v>
          </cell>
          <cell r="B189">
            <v>62</v>
          </cell>
          <cell r="C189">
            <v>37561</v>
          </cell>
          <cell r="D189">
            <v>37561</v>
          </cell>
          <cell r="E189">
            <v>3459</v>
          </cell>
          <cell r="F189">
            <v>2098.2800000000002</v>
          </cell>
          <cell r="G189">
            <v>0</v>
          </cell>
          <cell r="H189">
            <v>75</v>
          </cell>
          <cell r="I189">
            <v>3459</v>
          </cell>
          <cell r="J189">
            <v>983.74</v>
          </cell>
          <cell r="K189">
            <v>3566</v>
          </cell>
          <cell r="L189">
            <v>14713.32</v>
          </cell>
          <cell r="M189">
            <v>0</v>
          </cell>
          <cell r="N189">
            <v>0</v>
          </cell>
          <cell r="O189">
            <v>0</v>
          </cell>
          <cell r="P189">
            <v>0</v>
          </cell>
          <cell r="Q189">
            <v>19</v>
          </cell>
          <cell r="R189">
            <v>0</v>
          </cell>
          <cell r="S189">
            <v>0</v>
          </cell>
          <cell r="T189">
            <v>0</v>
          </cell>
          <cell r="U189">
            <v>0</v>
          </cell>
          <cell r="V189">
            <v>17889.34</v>
          </cell>
          <cell r="W189">
            <v>2173.2800000000002</v>
          </cell>
        </row>
        <row r="190">
          <cell r="A190" t="str">
            <v>Culley Plant</v>
          </cell>
          <cell r="B190">
            <v>62</v>
          </cell>
          <cell r="C190">
            <v>37591</v>
          </cell>
          <cell r="D190">
            <v>37591</v>
          </cell>
          <cell r="E190">
            <v>3999</v>
          </cell>
          <cell r="F190">
            <v>2423.9</v>
          </cell>
          <cell r="G190">
            <v>0</v>
          </cell>
          <cell r="H190">
            <v>75</v>
          </cell>
          <cell r="I190">
            <v>3999</v>
          </cell>
          <cell r="J190">
            <v>1137.31</v>
          </cell>
          <cell r="K190">
            <v>4122</v>
          </cell>
          <cell r="L190">
            <v>17065.080000000002</v>
          </cell>
          <cell r="M190">
            <v>0</v>
          </cell>
          <cell r="N190">
            <v>0</v>
          </cell>
          <cell r="O190">
            <v>0</v>
          </cell>
          <cell r="P190">
            <v>0</v>
          </cell>
          <cell r="Q190">
            <v>19</v>
          </cell>
          <cell r="R190">
            <v>0</v>
          </cell>
          <cell r="S190">
            <v>0</v>
          </cell>
          <cell r="T190">
            <v>0</v>
          </cell>
          <cell r="U190">
            <v>0</v>
          </cell>
          <cell r="V190">
            <v>20720.29</v>
          </cell>
          <cell r="W190">
            <v>2498.9</v>
          </cell>
        </row>
        <row r="191">
          <cell r="A191" t="str">
            <v>Rogers Group</v>
          </cell>
          <cell r="B191">
            <v>64</v>
          </cell>
          <cell r="C191">
            <v>37257</v>
          </cell>
          <cell r="D191">
            <v>37257</v>
          </cell>
          <cell r="E191">
            <v>0</v>
          </cell>
          <cell r="F191">
            <v>0</v>
          </cell>
          <cell r="G191">
            <v>0</v>
          </cell>
          <cell r="H191">
            <v>75</v>
          </cell>
          <cell r="I191">
            <v>0</v>
          </cell>
          <cell r="J191">
            <v>0</v>
          </cell>
          <cell r="K191">
            <v>0</v>
          </cell>
          <cell r="L191">
            <v>0</v>
          </cell>
          <cell r="M191">
            <v>0</v>
          </cell>
          <cell r="N191">
            <v>0</v>
          </cell>
          <cell r="O191">
            <v>0</v>
          </cell>
          <cell r="P191">
            <v>0</v>
          </cell>
          <cell r="Q191">
            <v>19</v>
          </cell>
          <cell r="R191">
            <v>0</v>
          </cell>
          <cell r="S191">
            <v>0</v>
          </cell>
          <cell r="T191">
            <v>0</v>
          </cell>
          <cell r="U191">
            <v>0</v>
          </cell>
          <cell r="V191">
            <v>94</v>
          </cell>
          <cell r="W191">
            <v>75</v>
          </cell>
        </row>
        <row r="192">
          <cell r="A192" t="str">
            <v>Rogers Group</v>
          </cell>
          <cell r="B192">
            <v>64</v>
          </cell>
          <cell r="C192">
            <v>37288</v>
          </cell>
          <cell r="D192">
            <v>37288</v>
          </cell>
          <cell r="E192">
            <v>0</v>
          </cell>
          <cell r="F192">
            <v>0</v>
          </cell>
          <cell r="G192">
            <v>0</v>
          </cell>
          <cell r="H192">
            <v>75</v>
          </cell>
          <cell r="I192">
            <v>0</v>
          </cell>
          <cell r="J192">
            <v>0</v>
          </cell>
          <cell r="K192">
            <v>0</v>
          </cell>
          <cell r="L192">
            <v>0</v>
          </cell>
          <cell r="M192">
            <v>0</v>
          </cell>
          <cell r="N192">
            <v>0</v>
          </cell>
          <cell r="O192">
            <v>0</v>
          </cell>
          <cell r="P192">
            <v>0</v>
          </cell>
          <cell r="Q192">
            <v>19</v>
          </cell>
          <cell r="R192">
            <v>0</v>
          </cell>
          <cell r="S192">
            <v>0</v>
          </cell>
          <cell r="T192">
            <v>0</v>
          </cell>
          <cell r="U192">
            <v>0</v>
          </cell>
          <cell r="V192">
            <v>94</v>
          </cell>
          <cell r="W192">
            <v>75</v>
          </cell>
        </row>
        <row r="193">
          <cell r="A193" t="str">
            <v>Rogers Group</v>
          </cell>
          <cell r="B193">
            <v>64</v>
          </cell>
          <cell r="C193">
            <v>37316</v>
          </cell>
          <cell r="D193">
            <v>37316</v>
          </cell>
          <cell r="E193">
            <v>0</v>
          </cell>
          <cell r="F193">
            <v>0</v>
          </cell>
          <cell r="G193">
            <v>0</v>
          </cell>
          <cell r="H193">
            <v>75</v>
          </cell>
          <cell r="I193">
            <v>0</v>
          </cell>
          <cell r="J193">
            <v>0</v>
          </cell>
          <cell r="K193">
            <v>0</v>
          </cell>
          <cell r="L193">
            <v>0</v>
          </cell>
          <cell r="M193">
            <v>0</v>
          </cell>
          <cell r="N193">
            <v>0</v>
          </cell>
          <cell r="O193">
            <v>0</v>
          </cell>
          <cell r="P193">
            <v>0</v>
          </cell>
          <cell r="Q193">
            <v>19</v>
          </cell>
          <cell r="R193">
            <v>0</v>
          </cell>
          <cell r="S193">
            <v>0</v>
          </cell>
          <cell r="T193">
            <v>0</v>
          </cell>
          <cell r="U193">
            <v>0</v>
          </cell>
          <cell r="V193">
            <v>94</v>
          </cell>
          <cell r="W193">
            <v>75</v>
          </cell>
        </row>
        <row r="194">
          <cell r="A194" t="str">
            <v>Rogers Group</v>
          </cell>
          <cell r="B194">
            <v>64</v>
          </cell>
          <cell r="C194">
            <v>37347</v>
          </cell>
          <cell r="D194">
            <v>37347</v>
          </cell>
          <cell r="E194">
            <v>0</v>
          </cell>
          <cell r="F194">
            <v>0</v>
          </cell>
          <cell r="G194">
            <v>0</v>
          </cell>
          <cell r="H194">
            <v>75</v>
          </cell>
          <cell r="I194">
            <v>0</v>
          </cell>
          <cell r="J194">
            <v>0</v>
          </cell>
          <cell r="K194">
            <v>0</v>
          </cell>
          <cell r="L194">
            <v>0</v>
          </cell>
          <cell r="M194">
            <v>0</v>
          </cell>
          <cell r="N194">
            <v>0</v>
          </cell>
          <cell r="O194">
            <v>0</v>
          </cell>
          <cell r="P194">
            <v>0</v>
          </cell>
          <cell r="Q194">
            <v>19</v>
          </cell>
          <cell r="R194">
            <v>0</v>
          </cell>
          <cell r="S194">
            <v>0</v>
          </cell>
          <cell r="T194">
            <v>0</v>
          </cell>
          <cell r="U194">
            <v>0</v>
          </cell>
          <cell r="V194">
            <v>94</v>
          </cell>
          <cell r="W194">
            <v>75</v>
          </cell>
        </row>
        <row r="195">
          <cell r="A195" t="str">
            <v>Rogers Group</v>
          </cell>
          <cell r="B195">
            <v>64</v>
          </cell>
          <cell r="C195">
            <v>37377</v>
          </cell>
          <cell r="D195">
            <v>37377</v>
          </cell>
          <cell r="E195">
            <v>0</v>
          </cell>
          <cell r="F195">
            <v>0</v>
          </cell>
          <cell r="G195">
            <v>0</v>
          </cell>
          <cell r="H195">
            <v>75</v>
          </cell>
          <cell r="I195">
            <v>0</v>
          </cell>
          <cell r="J195">
            <v>0</v>
          </cell>
          <cell r="K195">
            <v>0</v>
          </cell>
          <cell r="L195">
            <v>0</v>
          </cell>
          <cell r="M195">
            <v>0</v>
          </cell>
          <cell r="N195">
            <v>0</v>
          </cell>
          <cell r="O195">
            <v>0</v>
          </cell>
          <cell r="P195">
            <v>0</v>
          </cell>
          <cell r="Q195">
            <v>19</v>
          </cell>
          <cell r="R195">
            <v>0</v>
          </cell>
          <cell r="S195">
            <v>0</v>
          </cell>
          <cell r="T195">
            <v>0</v>
          </cell>
          <cell r="U195">
            <v>0</v>
          </cell>
          <cell r="V195">
            <v>94</v>
          </cell>
          <cell r="W195">
            <v>75</v>
          </cell>
        </row>
        <row r="196">
          <cell r="A196" t="str">
            <v>Rogers Group</v>
          </cell>
          <cell r="B196">
            <v>64</v>
          </cell>
          <cell r="C196">
            <v>37408</v>
          </cell>
          <cell r="D196">
            <v>37408</v>
          </cell>
          <cell r="E196">
            <v>0</v>
          </cell>
          <cell r="F196">
            <v>0</v>
          </cell>
          <cell r="G196">
            <v>0</v>
          </cell>
          <cell r="H196">
            <v>75</v>
          </cell>
          <cell r="I196">
            <v>0</v>
          </cell>
          <cell r="J196">
            <v>0</v>
          </cell>
          <cell r="K196">
            <v>0</v>
          </cell>
          <cell r="L196">
            <v>0</v>
          </cell>
          <cell r="M196">
            <v>0</v>
          </cell>
          <cell r="N196">
            <v>0</v>
          </cell>
          <cell r="O196">
            <v>0</v>
          </cell>
          <cell r="P196">
            <v>0</v>
          </cell>
          <cell r="Q196">
            <v>19</v>
          </cell>
          <cell r="R196">
            <v>0</v>
          </cell>
          <cell r="S196">
            <v>0</v>
          </cell>
          <cell r="T196">
            <v>0</v>
          </cell>
          <cell r="U196">
            <v>0</v>
          </cell>
          <cell r="V196">
            <v>94</v>
          </cell>
          <cell r="W196">
            <v>75</v>
          </cell>
        </row>
        <row r="197">
          <cell r="A197" t="str">
            <v>Rogers Group</v>
          </cell>
          <cell r="B197">
            <v>64</v>
          </cell>
          <cell r="C197">
            <v>37438</v>
          </cell>
          <cell r="D197">
            <v>37438</v>
          </cell>
          <cell r="E197">
            <v>600</v>
          </cell>
          <cell r="F197">
            <v>374.3</v>
          </cell>
          <cell r="G197">
            <v>0</v>
          </cell>
          <cell r="H197">
            <v>75</v>
          </cell>
          <cell r="I197">
            <v>0</v>
          </cell>
          <cell r="J197">
            <v>0</v>
          </cell>
          <cell r="K197">
            <v>0</v>
          </cell>
          <cell r="L197">
            <v>0</v>
          </cell>
          <cell r="M197">
            <v>0</v>
          </cell>
          <cell r="N197">
            <v>0</v>
          </cell>
          <cell r="O197">
            <v>0</v>
          </cell>
          <cell r="P197">
            <v>0</v>
          </cell>
          <cell r="Q197">
            <v>19</v>
          </cell>
          <cell r="R197">
            <v>0</v>
          </cell>
          <cell r="S197">
            <v>0</v>
          </cell>
          <cell r="T197">
            <v>0</v>
          </cell>
          <cell r="U197">
            <v>0</v>
          </cell>
          <cell r="V197">
            <v>468.3</v>
          </cell>
          <cell r="W197">
            <v>449.3</v>
          </cell>
        </row>
        <row r="198">
          <cell r="A198" t="str">
            <v>Rogers Group</v>
          </cell>
          <cell r="B198">
            <v>64</v>
          </cell>
          <cell r="C198">
            <v>37469</v>
          </cell>
          <cell r="D198">
            <v>37469</v>
          </cell>
          <cell r="E198">
            <v>3500</v>
          </cell>
          <cell r="F198">
            <v>2123</v>
          </cell>
          <cell r="G198">
            <v>0</v>
          </cell>
          <cell r="H198">
            <v>75</v>
          </cell>
          <cell r="I198">
            <v>0</v>
          </cell>
          <cell r="J198">
            <v>0</v>
          </cell>
          <cell r="K198">
            <v>0</v>
          </cell>
          <cell r="L198">
            <v>0</v>
          </cell>
          <cell r="M198">
            <v>0</v>
          </cell>
          <cell r="N198">
            <v>0</v>
          </cell>
          <cell r="O198">
            <v>0</v>
          </cell>
          <cell r="P198">
            <v>0</v>
          </cell>
          <cell r="Q198">
            <v>19</v>
          </cell>
          <cell r="R198">
            <v>0</v>
          </cell>
          <cell r="S198">
            <v>0</v>
          </cell>
          <cell r="T198">
            <v>0</v>
          </cell>
          <cell r="U198">
            <v>0</v>
          </cell>
          <cell r="V198">
            <v>2217</v>
          </cell>
          <cell r="W198">
            <v>2198</v>
          </cell>
        </row>
        <row r="199">
          <cell r="A199" t="str">
            <v>Rogers Group</v>
          </cell>
          <cell r="B199">
            <v>64</v>
          </cell>
          <cell r="C199">
            <v>37500</v>
          </cell>
          <cell r="D199">
            <v>37500</v>
          </cell>
          <cell r="E199">
            <v>3712</v>
          </cell>
          <cell r="F199">
            <v>2250.84</v>
          </cell>
          <cell r="G199">
            <v>0</v>
          </cell>
          <cell r="H199">
            <v>75</v>
          </cell>
          <cell r="I199">
            <v>0</v>
          </cell>
          <cell r="J199">
            <v>0</v>
          </cell>
          <cell r="K199">
            <v>0</v>
          </cell>
          <cell r="L199">
            <v>0</v>
          </cell>
          <cell r="M199">
            <v>0</v>
          </cell>
          <cell r="N199">
            <v>0</v>
          </cell>
          <cell r="O199">
            <v>0</v>
          </cell>
          <cell r="P199">
            <v>0</v>
          </cell>
          <cell r="Q199">
            <v>19</v>
          </cell>
          <cell r="R199">
            <v>0</v>
          </cell>
          <cell r="S199">
            <v>0</v>
          </cell>
          <cell r="T199">
            <v>0</v>
          </cell>
          <cell r="U199">
            <v>0</v>
          </cell>
          <cell r="V199">
            <v>2344.84</v>
          </cell>
          <cell r="W199">
            <v>2325.84</v>
          </cell>
        </row>
        <row r="200">
          <cell r="A200" t="str">
            <v>Rogers Group</v>
          </cell>
          <cell r="B200">
            <v>64</v>
          </cell>
          <cell r="C200">
            <v>37530</v>
          </cell>
          <cell r="D200">
            <v>37530</v>
          </cell>
          <cell r="E200">
            <v>4106</v>
          </cell>
          <cell r="F200">
            <v>2488.42</v>
          </cell>
          <cell r="G200">
            <v>0</v>
          </cell>
          <cell r="H200">
            <v>75</v>
          </cell>
          <cell r="I200">
            <v>0</v>
          </cell>
          <cell r="J200">
            <v>0</v>
          </cell>
          <cell r="K200">
            <v>0</v>
          </cell>
          <cell r="L200">
            <v>0</v>
          </cell>
          <cell r="M200">
            <v>0</v>
          </cell>
          <cell r="N200">
            <v>0</v>
          </cell>
          <cell r="O200">
            <v>0</v>
          </cell>
          <cell r="P200">
            <v>0</v>
          </cell>
          <cell r="Q200">
            <v>19</v>
          </cell>
          <cell r="R200">
            <v>0</v>
          </cell>
          <cell r="S200">
            <v>0</v>
          </cell>
          <cell r="T200">
            <v>0</v>
          </cell>
          <cell r="U200">
            <v>0</v>
          </cell>
          <cell r="V200">
            <v>2582.42</v>
          </cell>
          <cell r="W200">
            <v>2563.42</v>
          </cell>
        </row>
        <row r="201">
          <cell r="A201" t="str">
            <v>Rogers Group</v>
          </cell>
          <cell r="B201">
            <v>64</v>
          </cell>
          <cell r="C201">
            <v>37561</v>
          </cell>
          <cell r="D201">
            <v>37561</v>
          </cell>
          <cell r="E201">
            <v>2564</v>
          </cell>
          <cell r="F201">
            <v>1558.59</v>
          </cell>
          <cell r="G201">
            <v>0</v>
          </cell>
          <cell r="H201">
            <v>75</v>
          </cell>
          <cell r="I201">
            <v>0</v>
          </cell>
          <cell r="J201">
            <v>0</v>
          </cell>
          <cell r="K201">
            <v>0</v>
          </cell>
          <cell r="L201">
            <v>0</v>
          </cell>
          <cell r="M201">
            <v>0</v>
          </cell>
          <cell r="N201">
            <v>0</v>
          </cell>
          <cell r="O201">
            <v>0</v>
          </cell>
          <cell r="P201">
            <v>0</v>
          </cell>
          <cell r="Q201">
            <v>19</v>
          </cell>
          <cell r="R201">
            <v>0</v>
          </cell>
          <cell r="S201">
            <v>0</v>
          </cell>
          <cell r="T201">
            <v>0</v>
          </cell>
          <cell r="U201">
            <v>0</v>
          </cell>
          <cell r="V201">
            <v>1652.59</v>
          </cell>
          <cell r="W201">
            <v>1633.59</v>
          </cell>
        </row>
        <row r="202">
          <cell r="A202" t="str">
            <v>Rogers Group</v>
          </cell>
          <cell r="B202">
            <v>64</v>
          </cell>
          <cell r="C202">
            <v>37591</v>
          </cell>
          <cell r="D202">
            <v>37591</v>
          </cell>
          <cell r="E202">
            <v>847</v>
          </cell>
          <cell r="F202">
            <v>523.24</v>
          </cell>
          <cell r="G202">
            <v>0</v>
          </cell>
          <cell r="H202">
            <v>75</v>
          </cell>
          <cell r="I202">
            <v>0</v>
          </cell>
          <cell r="J202">
            <v>0</v>
          </cell>
          <cell r="K202">
            <v>0</v>
          </cell>
          <cell r="L202">
            <v>0</v>
          </cell>
          <cell r="M202">
            <v>0</v>
          </cell>
          <cell r="N202">
            <v>0</v>
          </cell>
          <cell r="O202">
            <v>0</v>
          </cell>
          <cell r="P202">
            <v>0</v>
          </cell>
          <cell r="Q202">
            <v>19</v>
          </cell>
          <cell r="R202">
            <v>0</v>
          </cell>
          <cell r="S202">
            <v>0</v>
          </cell>
          <cell r="T202">
            <v>0</v>
          </cell>
          <cell r="U202">
            <v>0</v>
          </cell>
          <cell r="V202">
            <v>617.24</v>
          </cell>
          <cell r="W202">
            <v>598.24</v>
          </cell>
        </row>
        <row r="203">
          <cell r="A203" t="str">
            <v>Miller Electroplating</v>
          </cell>
          <cell r="B203">
            <v>67</v>
          </cell>
          <cell r="C203">
            <v>37257</v>
          </cell>
          <cell r="D203">
            <v>37257</v>
          </cell>
          <cell r="E203">
            <v>1264</v>
          </cell>
          <cell r="F203">
            <v>774.69</v>
          </cell>
          <cell r="G203">
            <v>0</v>
          </cell>
          <cell r="H203">
            <v>75</v>
          </cell>
          <cell r="I203">
            <v>0</v>
          </cell>
          <cell r="J203">
            <v>0</v>
          </cell>
          <cell r="K203">
            <v>0</v>
          </cell>
          <cell r="L203">
            <v>0</v>
          </cell>
          <cell r="M203">
            <v>0</v>
          </cell>
          <cell r="N203">
            <v>1264</v>
          </cell>
          <cell r="O203">
            <v>3.79</v>
          </cell>
          <cell r="P203">
            <v>0</v>
          </cell>
          <cell r="Q203">
            <v>19</v>
          </cell>
          <cell r="R203">
            <v>0.95</v>
          </cell>
          <cell r="S203">
            <v>0</v>
          </cell>
          <cell r="T203">
            <v>0</v>
          </cell>
          <cell r="U203">
            <v>0</v>
          </cell>
          <cell r="V203">
            <v>873.43</v>
          </cell>
          <cell r="W203">
            <v>853.48</v>
          </cell>
        </row>
        <row r="204">
          <cell r="A204" t="str">
            <v>Miller Electroplating</v>
          </cell>
          <cell r="B204">
            <v>67</v>
          </cell>
          <cell r="C204">
            <v>37288</v>
          </cell>
          <cell r="D204">
            <v>37288</v>
          </cell>
          <cell r="E204">
            <v>3108</v>
          </cell>
          <cell r="F204">
            <v>1886.62</v>
          </cell>
          <cell r="G204">
            <v>0</v>
          </cell>
          <cell r="H204">
            <v>75</v>
          </cell>
          <cell r="I204">
            <v>0</v>
          </cell>
          <cell r="J204">
            <v>0</v>
          </cell>
          <cell r="K204">
            <v>0</v>
          </cell>
          <cell r="L204">
            <v>0</v>
          </cell>
          <cell r="M204">
            <v>0</v>
          </cell>
          <cell r="N204">
            <v>3108</v>
          </cell>
          <cell r="O204">
            <v>-3.11</v>
          </cell>
          <cell r="P204">
            <v>0</v>
          </cell>
          <cell r="Q204">
            <v>19</v>
          </cell>
          <cell r="R204">
            <v>0.95</v>
          </cell>
          <cell r="S204">
            <v>0</v>
          </cell>
          <cell r="T204">
            <v>0</v>
          </cell>
          <cell r="U204">
            <v>0</v>
          </cell>
          <cell r="V204">
            <v>1978.46</v>
          </cell>
          <cell r="W204">
            <v>1958.51</v>
          </cell>
        </row>
        <row r="205">
          <cell r="A205" t="str">
            <v>Miller Electroplating</v>
          </cell>
          <cell r="B205">
            <v>67</v>
          </cell>
          <cell r="C205">
            <v>37316</v>
          </cell>
          <cell r="D205">
            <v>37316</v>
          </cell>
          <cell r="E205">
            <v>2500</v>
          </cell>
          <cell r="F205">
            <v>1520</v>
          </cell>
          <cell r="G205">
            <v>0</v>
          </cell>
          <cell r="H205">
            <v>75</v>
          </cell>
          <cell r="I205">
            <v>0</v>
          </cell>
          <cell r="J205">
            <v>0</v>
          </cell>
          <cell r="K205">
            <v>0</v>
          </cell>
          <cell r="L205">
            <v>0</v>
          </cell>
          <cell r="M205">
            <v>0</v>
          </cell>
          <cell r="N205">
            <v>2500</v>
          </cell>
          <cell r="O205">
            <v>-2.5</v>
          </cell>
          <cell r="P205">
            <v>0</v>
          </cell>
          <cell r="Q205">
            <v>19</v>
          </cell>
          <cell r="R205">
            <v>0.95</v>
          </cell>
          <cell r="S205">
            <v>0</v>
          </cell>
          <cell r="T205">
            <v>0</v>
          </cell>
          <cell r="U205">
            <v>0</v>
          </cell>
          <cell r="V205">
            <v>1612.45</v>
          </cell>
          <cell r="W205">
            <v>1592.5</v>
          </cell>
        </row>
        <row r="206">
          <cell r="A206" t="str">
            <v>Miller Electroplating</v>
          </cell>
          <cell r="B206">
            <v>67</v>
          </cell>
          <cell r="C206">
            <v>37347</v>
          </cell>
          <cell r="D206">
            <v>37347</v>
          </cell>
          <cell r="E206">
            <v>1900</v>
          </cell>
          <cell r="F206">
            <v>1158.2</v>
          </cell>
          <cell r="G206">
            <v>0</v>
          </cell>
          <cell r="H206">
            <v>75</v>
          </cell>
          <cell r="I206">
            <v>0</v>
          </cell>
          <cell r="J206">
            <v>0</v>
          </cell>
          <cell r="K206">
            <v>0</v>
          </cell>
          <cell r="L206">
            <v>0</v>
          </cell>
          <cell r="M206">
            <v>0</v>
          </cell>
          <cell r="N206">
            <v>1900</v>
          </cell>
          <cell r="O206">
            <v>-1.9</v>
          </cell>
          <cell r="P206">
            <v>0</v>
          </cell>
          <cell r="Q206">
            <v>19</v>
          </cell>
          <cell r="R206">
            <v>0.95</v>
          </cell>
          <cell r="S206">
            <v>0</v>
          </cell>
          <cell r="T206">
            <v>0</v>
          </cell>
          <cell r="U206">
            <v>0</v>
          </cell>
          <cell r="V206">
            <v>1251.25</v>
          </cell>
          <cell r="W206">
            <v>1231.3</v>
          </cell>
        </row>
        <row r="207">
          <cell r="A207" t="str">
            <v>Miller Electroplating</v>
          </cell>
          <cell r="B207">
            <v>67</v>
          </cell>
          <cell r="C207">
            <v>37377</v>
          </cell>
          <cell r="D207">
            <v>37377</v>
          </cell>
          <cell r="E207">
            <v>1600</v>
          </cell>
          <cell r="F207">
            <v>977.3</v>
          </cell>
          <cell r="G207">
            <v>0</v>
          </cell>
          <cell r="H207">
            <v>75</v>
          </cell>
          <cell r="I207">
            <v>0</v>
          </cell>
          <cell r="J207">
            <v>0</v>
          </cell>
          <cell r="K207">
            <v>0</v>
          </cell>
          <cell r="L207">
            <v>0</v>
          </cell>
          <cell r="M207">
            <v>0</v>
          </cell>
          <cell r="N207">
            <v>0</v>
          </cell>
          <cell r="O207">
            <v>0</v>
          </cell>
          <cell r="P207">
            <v>0</v>
          </cell>
          <cell r="Q207">
            <v>19</v>
          </cell>
          <cell r="R207">
            <v>0.95</v>
          </cell>
          <cell r="S207">
            <v>0</v>
          </cell>
          <cell r="T207">
            <v>0</v>
          </cell>
          <cell r="U207">
            <v>0</v>
          </cell>
          <cell r="V207">
            <v>1072.25</v>
          </cell>
          <cell r="W207">
            <v>1052.3</v>
          </cell>
        </row>
        <row r="208">
          <cell r="A208" t="str">
            <v>Miller Electroplating</v>
          </cell>
          <cell r="B208">
            <v>67</v>
          </cell>
          <cell r="C208">
            <v>37408</v>
          </cell>
          <cell r="D208">
            <v>37408</v>
          </cell>
          <cell r="E208">
            <v>1600</v>
          </cell>
          <cell r="F208">
            <v>977.3</v>
          </cell>
          <cell r="G208">
            <v>0</v>
          </cell>
          <cell r="H208">
            <v>75</v>
          </cell>
          <cell r="I208">
            <v>0</v>
          </cell>
          <cell r="J208">
            <v>0</v>
          </cell>
          <cell r="K208">
            <v>0</v>
          </cell>
          <cell r="L208">
            <v>0</v>
          </cell>
          <cell r="M208">
            <v>0</v>
          </cell>
          <cell r="N208">
            <v>0</v>
          </cell>
          <cell r="O208">
            <v>0</v>
          </cell>
          <cell r="P208">
            <v>0</v>
          </cell>
          <cell r="Q208">
            <v>19</v>
          </cell>
          <cell r="R208">
            <v>0.95</v>
          </cell>
          <cell r="S208">
            <v>0</v>
          </cell>
          <cell r="T208">
            <v>0</v>
          </cell>
          <cell r="U208">
            <v>0</v>
          </cell>
          <cell r="V208">
            <v>1072.25</v>
          </cell>
          <cell r="W208">
            <v>1052.3</v>
          </cell>
        </row>
        <row r="209">
          <cell r="A209" t="str">
            <v>Miller Electroplating</v>
          </cell>
          <cell r="B209">
            <v>67</v>
          </cell>
          <cell r="C209">
            <v>37438</v>
          </cell>
          <cell r="D209">
            <v>37438</v>
          </cell>
          <cell r="E209">
            <v>1300</v>
          </cell>
          <cell r="F209">
            <v>796.4</v>
          </cell>
          <cell r="G209">
            <v>0</v>
          </cell>
          <cell r="H209">
            <v>75</v>
          </cell>
          <cell r="I209">
            <v>0</v>
          </cell>
          <cell r="J209">
            <v>0</v>
          </cell>
          <cell r="K209">
            <v>0</v>
          </cell>
          <cell r="L209">
            <v>0</v>
          </cell>
          <cell r="M209">
            <v>0</v>
          </cell>
          <cell r="N209">
            <v>0</v>
          </cell>
          <cell r="O209">
            <v>0</v>
          </cell>
          <cell r="P209">
            <v>0</v>
          </cell>
          <cell r="Q209">
            <v>19</v>
          </cell>
          <cell r="R209">
            <v>0.95</v>
          </cell>
          <cell r="S209">
            <v>0</v>
          </cell>
          <cell r="T209">
            <v>0</v>
          </cell>
          <cell r="U209">
            <v>0</v>
          </cell>
          <cell r="V209">
            <v>891.35</v>
          </cell>
          <cell r="W209">
            <v>871.4</v>
          </cell>
        </row>
        <row r="210">
          <cell r="A210" t="str">
            <v>Miller Electroplating</v>
          </cell>
          <cell r="B210">
            <v>67</v>
          </cell>
          <cell r="C210">
            <v>37469</v>
          </cell>
          <cell r="D210">
            <v>37469</v>
          </cell>
          <cell r="E210">
            <v>755</v>
          </cell>
          <cell r="F210">
            <v>467.77</v>
          </cell>
          <cell r="G210">
            <v>0</v>
          </cell>
          <cell r="H210">
            <v>75</v>
          </cell>
          <cell r="I210">
            <v>0</v>
          </cell>
          <cell r="J210">
            <v>0</v>
          </cell>
          <cell r="K210">
            <v>0</v>
          </cell>
          <cell r="L210">
            <v>0</v>
          </cell>
          <cell r="M210">
            <v>0</v>
          </cell>
          <cell r="N210">
            <v>0</v>
          </cell>
          <cell r="O210">
            <v>0</v>
          </cell>
          <cell r="P210">
            <v>0</v>
          </cell>
          <cell r="Q210">
            <v>19</v>
          </cell>
          <cell r="R210">
            <v>0.95</v>
          </cell>
          <cell r="S210">
            <v>0</v>
          </cell>
          <cell r="T210">
            <v>0</v>
          </cell>
          <cell r="U210">
            <v>0</v>
          </cell>
          <cell r="V210">
            <v>562.72</v>
          </cell>
          <cell r="W210">
            <v>542.77</v>
          </cell>
        </row>
        <row r="211">
          <cell r="A211" t="str">
            <v>Miller Electroplating</v>
          </cell>
          <cell r="B211">
            <v>67</v>
          </cell>
          <cell r="C211">
            <v>37500</v>
          </cell>
          <cell r="D211">
            <v>37500</v>
          </cell>
          <cell r="E211">
            <v>1800</v>
          </cell>
          <cell r="F211">
            <v>1097.9000000000001</v>
          </cell>
          <cell r="G211">
            <v>0</v>
          </cell>
          <cell r="H211">
            <v>75</v>
          </cell>
          <cell r="I211">
            <v>0</v>
          </cell>
          <cell r="J211">
            <v>0</v>
          </cell>
          <cell r="K211">
            <v>0</v>
          </cell>
          <cell r="L211">
            <v>0</v>
          </cell>
          <cell r="M211">
            <v>0</v>
          </cell>
          <cell r="N211">
            <v>0</v>
          </cell>
          <cell r="O211">
            <v>0</v>
          </cell>
          <cell r="P211">
            <v>0</v>
          </cell>
          <cell r="Q211">
            <v>19</v>
          </cell>
          <cell r="R211">
            <v>0.95</v>
          </cell>
          <cell r="S211">
            <v>0</v>
          </cell>
          <cell r="T211">
            <v>0</v>
          </cell>
          <cell r="U211">
            <v>0</v>
          </cell>
          <cell r="V211">
            <v>1192.8499999999999</v>
          </cell>
          <cell r="W211">
            <v>1172.9000000000001</v>
          </cell>
        </row>
        <row r="212">
          <cell r="A212" t="str">
            <v>Miller Electroplating</v>
          </cell>
          <cell r="B212">
            <v>67</v>
          </cell>
          <cell r="C212">
            <v>37530</v>
          </cell>
          <cell r="D212">
            <v>37530</v>
          </cell>
          <cell r="E212">
            <v>2294</v>
          </cell>
          <cell r="F212">
            <v>1395.78</v>
          </cell>
          <cell r="G212">
            <v>0</v>
          </cell>
          <cell r="H212">
            <v>75</v>
          </cell>
          <cell r="I212">
            <v>0</v>
          </cell>
          <cell r="J212">
            <v>0</v>
          </cell>
          <cell r="K212">
            <v>0</v>
          </cell>
          <cell r="L212">
            <v>0</v>
          </cell>
          <cell r="M212">
            <v>0</v>
          </cell>
          <cell r="N212">
            <v>0</v>
          </cell>
          <cell r="O212">
            <v>0</v>
          </cell>
          <cell r="P212">
            <v>0</v>
          </cell>
          <cell r="Q212">
            <v>19</v>
          </cell>
          <cell r="R212">
            <v>0.95</v>
          </cell>
          <cell r="S212">
            <v>0</v>
          </cell>
          <cell r="T212">
            <v>0</v>
          </cell>
          <cell r="U212">
            <v>0</v>
          </cell>
          <cell r="V212">
            <v>1490.73</v>
          </cell>
          <cell r="W212">
            <v>1470.78</v>
          </cell>
        </row>
        <row r="213">
          <cell r="A213" t="str">
            <v>Miller Electroplating</v>
          </cell>
          <cell r="B213">
            <v>67</v>
          </cell>
          <cell r="C213">
            <v>37561</v>
          </cell>
          <cell r="D213">
            <v>37561</v>
          </cell>
          <cell r="E213">
            <v>2479</v>
          </cell>
          <cell r="F213">
            <v>1507.34</v>
          </cell>
          <cell r="G213">
            <v>0</v>
          </cell>
          <cell r="H213">
            <v>75</v>
          </cell>
          <cell r="I213">
            <v>0</v>
          </cell>
          <cell r="J213">
            <v>0</v>
          </cell>
          <cell r="K213">
            <v>0</v>
          </cell>
          <cell r="L213">
            <v>0</v>
          </cell>
          <cell r="M213">
            <v>0</v>
          </cell>
          <cell r="N213">
            <v>0</v>
          </cell>
          <cell r="O213">
            <v>0</v>
          </cell>
          <cell r="P213">
            <v>0</v>
          </cell>
          <cell r="Q213">
            <v>19</v>
          </cell>
          <cell r="R213">
            <v>0.95</v>
          </cell>
          <cell r="S213">
            <v>0</v>
          </cell>
          <cell r="T213">
            <v>0</v>
          </cell>
          <cell r="U213">
            <v>0</v>
          </cell>
          <cell r="V213">
            <v>1602.29</v>
          </cell>
          <cell r="W213">
            <v>1582.34</v>
          </cell>
        </row>
        <row r="214">
          <cell r="A214" t="str">
            <v>Miller Electroplating</v>
          </cell>
          <cell r="B214">
            <v>67</v>
          </cell>
          <cell r="C214">
            <v>37591</v>
          </cell>
          <cell r="D214">
            <v>37591</v>
          </cell>
          <cell r="E214">
            <v>3220</v>
          </cell>
          <cell r="F214">
            <v>1954.16</v>
          </cell>
          <cell r="G214">
            <v>0</v>
          </cell>
          <cell r="H214">
            <v>75</v>
          </cell>
          <cell r="I214">
            <v>0</v>
          </cell>
          <cell r="J214">
            <v>0</v>
          </cell>
          <cell r="K214">
            <v>0</v>
          </cell>
          <cell r="L214">
            <v>0</v>
          </cell>
          <cell r="M214">
            <v>0</v>
          </cell>
          <cell r="N214">
            <v>0</v>
          </cell>
          <cell r="O214">
            <v>0</v>
          </cell>
          <cell r="P214">
            <v>0</v>
          </cell>
          <cell r="Q214">
            <v>19</v>
          </cell>
          <cell r="R214">
            <v>1.1399999999999999</v>
          </cell>
          <cell r="S214">
            <v>0</v>
          </cell>
          <cell r="T214">
            <v>0</v>
          </cell>
          <cell r="U214">
            <v>0</v>
          </cell>
          <cell r="V214">
            <v>2049.3000000000002</v>
          </cell>
          <cell r="W214">
            <v>2029.16</v>
          </cell>
        </row>
        <row r="215">
          <cell r="A215" t="str">
            <v>Warrick Unit # 4</v>
          </cell>
          <cell r="B215">
            <v>70</v>
          </cell>
          <cell r="C215">
            <v>37257</v>
          </cell>
          <cell r="D215">
            <v>37257</v>
          </cell>
          <cell r="E215">
            <v>1842</v>
          </cell>
          <cell r="F215">
            <v>1123.23</v>
          </cell>
          <cell r="G215">
            <v>0</v>
          </cell>
          <cell r="H215">
            <v>75</v>
          </cell>
          <cell r="I215">
            <v>1842</v>
          </cell>
          <cell r="J215">
            <v>573.78</v>
          </cell>
          <cell r="K215">
            <v>1890</v>
          </cell>
          <cell r="L215">
            <v>4828.95</v>
          </cell>
          <cell r="M215">
            <v>0</v>
          </cell>
          <cell r="N215">
            <v>1842</v>
          </cell>
          <cell r="O215">
            <v>5.53</v>
          </cell>
          <cell r="P215">
            <v>0</v>
          </cell>
          <cell r="Q215">
            <v>19</v>
          </cell>
          <cell r="R215">
            <v>0</v>
          </cell>
          <cell r="S215">
            <v>0</v>
          </cell>
          <cell r="T215">
            <v>0</v>
          </cell>
          <cell r="U215">
            <v>0</v>
          </cell>
          <cell r="V215">
            <v>6625.49</v>
          </cell>
          <cell r="W215">
            <v>1203.76</v>
          </cell>
        </row>
        <row r="216">
          <cell r="A216" t="str">
            <v>Warrick Unit # 4</v>
          </cell>
          <cell r="B216">
            <v>70</v>
          </cell>
          <cell r="C216">
            <v>37288</v>
          </cell>
          <cell r="D216">
            <v>37288</v>
          </cell>
          <cell r="E216">
            <v>5208</v>
          </cell>
          <cell r="F216">
            <v>3152.92</v>
          </cell>
          <cell r="G216">
            <v>0</v>
          </cell>
          <cell r="H216">
            <v>75</v>
          </cell>
          <cell r="I216">
            <v>5208</v>
          </cell>
          <cell r="J216">
            <v>1622.29</v>
          </cell>
          <cell r="K216">
            <v>5342</v>
          </cell>
          <cell r="L216">
            <v>13648.81</v>
          </cell>
          <cell r="M216">
            <v>0</v>
          </cell>
          <cell r="N216">
            <v>5208</v>
          </cell>
          <cell r="O216">
            <v>-5.21</v>
          </cell>
          <cell r="P216">
            <v>0</v>
          </cell>
          <cell r="Q216">
            <v>19</v>
          </cell>
          <cell r="R216">
            <v>0</v>
          </cell>
          <cell r="S216">
            <v>0</v>
          </cell>
          <cell r="T216">
            <v>0</v>
          </cell>
          <cell r="U216">
            <v>0</v>
          </cell>
          <cell r="V216">
            <v>18512.810000000001</v>
          </cell>
          <cell r="W216">
            <v>3222.71</v>
          </cell>
        </row>
        <row r="217">
          <cell r="A217" t="str">
            <v>Warrick Unit # 4</v>
          </cell>
          <cell r="B217">
            <v>70</v>
          </cell>
          <cell r="C217">
            <v>37316</v>
          </cell>
          <cell r="D217">
            <v>37316</v>
          </cell>
          <cell r="E217">
            <v>2475</v>
          </cell>
          <cell r="F217">
            <v>1504.93</v>
          </cell>
          <cell r="G217">
            <v>0</v>
          </cell>
          <cell r="H217">
            <v>75</v>
          </cell>
          <cell r="I217">
            <v>2475</v>
          </cell>
          <cell r="J217">
            <v>770.96</v>
          </cell>
          <cell r="K217">
            <v>2538</v>
          </cell>
          <cell r="L217">
            <v>6060.74</v>
          </cell>
          <cell r="M217">
            <v>0</v>
          </cell>
          <cell r="N217">
            <v>2475</v>
          </cell>
          <cell r="O217">
            <v>-2.48</v>
          </cell>
          <cell r="P217">
            <v>0</v>
          </cell>
          <cell r="Q217">
            <v>19</v>
          </cell>
          <cell r="R217">
            <v>0</v>
          </cell>
          <cell r="S217">
            <v>0</v>
          </cell>
          <cell r="T217">
            <v>0</v>
          </cell>
          <cell r="U217">
            <v>0</v>
          </cell>
          <cell r="V217">
            <v>8428.15</v>
          </cell>
          <cell r="W217">
            <v>1577.45</v>
          </cell>
        </row>
        <row r="218">
          <cell r="A218" t="str">
            <v>Warrick Unit # 4</v>
          </cell>
          <cell r="B218">
            <v>70</v>
          </cell>
          <cell r="C218">
            <v>37347</v>
          </cell>
          <cell r="D218">
            <v>37347</v>
          </cell>
          <cell r="E218">
            <v>0</v>
          </cell>
          <cell r="F218">
            <v>0</v>
          </cell>
          <cell r="G218">
            <v>0</v>
          </cell>
          <cell r="H218">
            <v>75</v>
          </cell>
          <cell r="I218">
            <v>0</v>
          </cell>
          <cell r="J218">
            <v>0</v>
          </cell>
          <cell r="K218">
            <v>0</v>
          </cell>
          <cell r="L218">
            <v>0</v>
          </cell>
          <cell r="M218">
            <v>0</v>
          </cell>
          <cell r="N218">
            <v>0</v>
          </cell>
          <cell r="O218">
            <v>0</v>
          </cell>
          <cell r="P218">
            <v>0</v>
          </cell>
          <cell r="Q218">
            <v>19</v>
          </cell>
          <cell r="R218">
            <v>0</v>
          </cell>
          <cell r="S218">
            <v>0</v>
          </cell>
          <cell r="T218">
            <v>0</v>
          </cell>
          <cell r="U218">
            <v>0</v>
          </cell>
          <cell r="V218">
            <v>94</v>
          </cell>
          <cell r="W218">
            <v>75</v>
          </cell>
        </row>
        <row r="219">
          <cell r="A219" t="str">
            <v>Warrick Unit # 4</v>
          </cell>
          <cell r="B219">
            <v>70</v>
          </cell>
          <cell r="C219">
            <v>37377</v>
          </cell>
          <cell r="D219">
            <v>37377</v>
          </cell>
          <cell r="E219">
            <v>1267</v>
          </cell>
          <cell r="F219">
            <v>776.5</v>
          </cell>
          <cell r="G219">
            <v>0</v>
          </cell>
          <cell r="H219">
            <v>75</v>
          </cell>
          <cell r="I219">
            <v>1267</v>
          </cell>
          <cell r="J219">
            <v>394.67</v>
          </cell>
          <cell r="K219">
            <v>1302</v>
          </cell>
          <cell r="L219">
            <v>4321.34</v>
          </cell>
          <cell r="M219">
            <v>0</v>
          </cell>
          <cell r="N219">
            <v>0</v>
          </cell>
          <cell r="O219">
            <v>0</v>
          </cell>
          <cell r="P219">
            <v>0</v>
          </cell>
          <cell r="Q219">
            <v>19</v>
          </cell>
          <cell r="R219">
            <v>0</v>
          </cell>
          <cell r="S219">
            <v>0</v>
          </cell>
          <cell r="T219">
            <v>0</v>
          </cell>
          <cell r="U219">
            <v>0</v>
          </cell>
          <cell r="V219">
            <v>5586.51</v>
          </cell>
          <cell r="W219">
            <v>851.5</v>
          </cell>
        </row>
        <row r="220">
          <cell r="A220" t="str">
            <v>Warrick Unit # 4</v>
          </cell>
          <cell r="B220">
            <v>70</v>
          </cell>
          <cell r="C220">
            <v>37408</v>
          </cell>
          <cell r="D220">
            <v>37408</v>
          </cell>
          <cell r="E220">
            <v>2277</v>
          </cell>
          <cell r="F220">
            <v>1385.53</v>
          </cell>
          <cell r="G220">
            <v>0</v>
          </cell>
          <cell r="H220">
            <v>75</v>
          </cell>
          <cell r="I220">
            <v>2277</v>
          </cell>
          <cell r="J220">
            <v>709.29</v>
          </cell>
          <cell r="K220">
            <v>2340</v>
          </cell>
          <cell r="L220">
            <v>8002.8</v>
          </cell>
          <cell r="M220">
            <v>0</v>
          </cell>
          <cell r="N220">
            <v>0</v>
          </cell>
          <cell r="O220">
            <v>0</v>
          </cell>
          <cell r="P220">
            <v>0</v>
          </cell>
          <cell r="Q220">
            <v>19</v>
          </cell>
          <cell r="R220">
            <v>0</v>
          </cell>
          <cell r="S220">
            <v>0</v>
          </cell>
          <cell r="T220">
            <v>0</v>
          </cell>
          <cell r="U220">
            <v>0</v>
          </cell>
          <cell r="V220">
            <v>10191.620000000001</v>
          </cell>
          <cell r="W220">
            <v>1460.53</v>
          </cell>
        </row>
        <row r="221">
          <cell r="A221" t="str">
            <v>Warrick Unit # 4</v>
          </cell>
          <cell r="B221">
            <v>70</v>
          </cell>
          <cell r="C221">
            <v>37438</v>
          </cell>
          <cell r="D221">
            <v>37438</v>
          </cell>
          <cell r="E221">
            <v>2956</v>
          </cell>
          <cell r="F221">
            <v>1794.97</v>
          </cell>
          <cell r="G221">
            <v>0</v>
          </cell>
          <cell r="H221">
            <v>75</v>
          </cell>
          <cell r="I221">
            <v>2956</v>
          </cell>
          <cell r="J221">
            <v>920.79</v>
          </cell>
          <cell r="K221">
            <v>3038</v>
          </cell>
          <cell r="L221">
            <v>9958.56</v>
          </cell>
          <cell r="M221">
            <v>0</v>
          </cell>
          <cell r="N221">
            <v>0</v>
          </cell>
          <cell r="O221">
            <v>0</v>
          </cell>
          <cell r="P221">
            <v>0</v>
          </cell>
          <cell r="Q221">
            <v>19</v>
          </cell>
          <cell r="R221">
            <v>0</v>
          </cell>
          <cell r="S221">
            <v>0</v>
          </cell>
          <cell r="T221">
            <v>0</v>
          </cell>
          <cell r="U221">
            <v>0</v>
          </cell>
          <cell r="V221">
            <v>12768.32</v>
          </cell>
          <cell r="W221">
            <v>1869.97</v>
          </cell>
        </row>
        <row r="222">
          <cell r="A222" t="str">
            <v>Warrick Unit # 4</v>
          </cell>
          <cell r="B222">
            <v>70</v>
          </cell>
          <cell r="C222">
            <v>37469</v>
          </cell>
          <cell r="D222">
            <v>37469</v>
          </cell>
          <cell r="E222">
            <v>2807</v>
          </cell>
          <cell r="F222">
            <v>1705.12</v>
          </cell>
          <cell r="G222">
            <v>0</v>
          </cell>
          <cell r="H222">
            <v>75</v>
          </cell>
          <cell r="I222">
            <v>2807</v>
          </cell>
          <cell r="J222">
            <v>964.2</v>
          </cell>
          <cell r="K222">
            <v>2885</v>
          </cell>
          <cell r="L222">
            <v>8585.76</v>
          </cell>
          <cell r="M222">
            <v>0</v>
          </cell>
          <cell r="N222">
            <v>0</v>
          </cell>
          <cell r="O222">
            <v>0</v>
          </cell>
          <cell r="P222">
            <v>0</v>
          </cell>
          <cell r="Q222">
            <v>19</v>
          </cell>
          <cell r="R222">
            <v>0</v>
          </cell>
          <cell r="S222">
            <v>0</v>
          </cell>
          <cell r="T222">
            <v>0</v>
          </cell>
          <cell r="U222">
            <v>0</v>
          </cell>
          <cell r="V222">
            <v>11349.08</v>
          </cell>
          <cell r="W222">
            <v>1780.12</v>
          </cell>
        </row>
        <row r="223">
          <cell r="A223" t="str">
            <v>Warrick Unit # 4</v>
          </cell>
          <cell r="B223">
            <v>70</v>
          </cell>
          <cell r="C223">
            <v>37500</v>
          </cell>
          <cell r="D223">
            <v>37500</v>
          </cell>
          <cell r="E223">
            <v>2763</v>
          </cell>
          <cell r="F223">
            <v>1678.59</v>
          </cell>
          <cell r="G223">
            <v>0</v>
          </cell>
          <cell r="H223">
            <v>75</v>
          </cell>
          <cell r="I223">
            <v>2763</v>
          </cell>
          <cell r="J223">
            <v>854.87</v>
          </cell>
          <cell r="K223">
            <v>2840</v>
          </cell>
          <cell r="L223">
            <v>9337.92</v>
          </cell>
          <cell r="M223">
            <v>0</v>
          </cell>
          <cell r="N223">
            <v>0</v>
          </cell>
          <cell r="O223">
            <v>0</v>
          </cell>
          <cell r="P223">
            <v>0</v>
          </cell>
          <cell r="Q223">
            <v>19</v>
          </cell>
          <cell r="R223">
            <v>0</v>
          </cell>
          <cell r="S223">
            <v>0</v>
          </cell>
          <cell r="T223">
            <v>0</v>
          </cell>
          <cell r="U223">
            <v>0</v>
          </cell>
          <cell r="V223">
            <v>11965.38</v>
          </cell>
          <cell r="W223">
            <v>1753.59</v>
          </cell>
        </row>
        <row r="224">
          <cell r="A224" t="str">
            <v>Warrick Unit # 4</v>
          </cell>
          <cell r="B224">
            <v>70</v>
          </cell>
          <cell r="C224">
            <v>37530</v>
          </cell>
          <cell r="D224">
            <v>37530</v>
          </cell>
          <cell r="E224">
            <v>6733</v>
          </cell>
          <cell r="F224">
            <v>4072.5</v>
          </cell>
          <cell r="G224">
            <v>0</v>
          </cell>
          <cell r="H224">
            <v>75</v>
          </cell>
          <cell r="I224">
            <v>6733</v>
          </cell>
          <cell r="J224">
            <v>2083.19</v>
          </cell>
          <cell r="K224">
            <v>6919</v>
          </cell>
          <cell r="L224">
            <v>25503.43</v>
          </cell>
          <cell r="M224">
            <v>0</v>
          </cell>
          <cell r="N224">
            <v>0</v>
          </cell>
          <cell r="O224">
            <v>0</v>
          </cell>
          <cell r="P224">
            <v>0</v>
          </cell>
          <cell r="Q224">
            <v>19</v>
          </cell>
          <cell r="R224">
            <v>0</v>
          </cell>
          <cell r="S224">
            <v>0</v>
          </cell>
          <cell r="T224">
            <v>0</v>
          </cell>
          <cell r="U224">
            <v>0</v>
          </cell>
          <cell r="V224">
            <v>31753.119999999999</v>
          </cell>
          <cell r="W224">
            <v>4147.5</v>
          </cell>
        </row>
        <row r="225">
          <cell r="A225" t="str">
            <v>Warrick Unit # 4</v>
          </cell>
          <cell r="B225">
            <v>70</v>
          </cell>
          <cell r="C225">
            <v>37561</v>
          </cell>
          <cell r="D225">
            <v>37561</v>
          </cell>
          <cell r="E225">
            <v>2822</v>
          </cell>
          <cell r="F225">
            <v>1714.17</v>
          </cell>
          <cell r="G225">
            <v>0</v>
          </cell>
          <cell r="H225">
            <v>75</v>
          </cell>
          <cell r="I225">
            <v>2822</v>
          </cell>
          <cell r="J225">
            <v>802.58</v>
          </cell>
          <cell r="K225">
            <v>2909</v>
          </cell>
          <cell r="L225">
            <v>12002.53</v>
          </cell>
          <cell r="M225">
            <v>0</v>
          </cell>
          <cell r="N225">
            <v>0</v>
          </cell>
          <cell r="O225">
            <v>0</v>
          </cell>
          <cell r="P225">
            <v>0</v>
          </cell>
          <cell r="Q225">
            <v>19</v>
          </cell>
          <cell r="R225">
            <v>0</v>
          </cell>
          <cell r="S225">
            <v>0</v>
          </cell>
          <cell r="T225">
            <v>0</v>
          </cell>
          <cell r="U225">
            <v>0</v>
          </cell>
          <cell r="V225">
            <v>14613.28</v>
          </cell>
          <cell r="W225">
            <v>1789.17</v>
          </cell>
        </row>
        <row r="226">
          <cell r="A226" t="str">
            <v>Warrick Unit # 4</v>
          </cell>
          <cell r="B226">
            <v>70</v>
          </cell>
          <cell r="C226">
            <v>37591</v>
          </cell>
          <cell r="D226">
            <v>37591</v>
          </cell>
          <cell r="E226">
            <v>0</v>
          </cell>
          <cell r="F226">
            <v>0</v>
          </cell>
          <cell r="G226">
            <v>0</v>
          </cell>
          <cell r="H226">
            <v>75</v>
          </cell>
          <cell r="I226">
            <v>0</v>
          </cell>
          <cell r="J226">
            <v>0</v>
          </cell>
          <cell r="K226">
            <v>0</v>
          </cell>
          <cell r="L226">
            <v>0</v>
          </cell>
          <cell r="M226">
            <v>0</v>
          </cell>
          <cell r="N226">
            <v>0</v>
          </cell>
          <cell r="O226">
            <v>0</v>
          </cell>
          <cell r="P226">
            <v>0</v>
          </cell>
          <cell r="Q226">
            <v>19</v>
          </cell>
          <cell r="R226">
            <v>0</v>
          </cell>
          <cell r="S226">
            <v>0</v>
          </cell>
          <cell r="T226">
            <v>0</v>
          </cell>
          <cell r="U226">
            <v>0</v>
          </cell>
          <cell r="V226">
            <v>94</v>
          </cell>
          <cell r="W226">
            <v>75</v>
          </cell>
        </row>
        <row r="227">
          <cell r="A227" t="str">
            <v>Land of Lakes</v>
          </cell>
          <cell r="B227">
            <v>76</v>
          </cell>
          <cell r="C227">
            <v>37288</v>
          </cell>
          <cell r="D227">
            <v>37288</v>
          </cell>
          <cell r="E227">
            <v>0</v>
          </cell>
          <cell r="F227">
            <v>0</v>
          </cell>
          <cell r="G227">
            <v>0</v>
          </cell>
          <cell r="H227">
            <v>75</v>
          </cell>
          <cell r="I227">
            <v>0</v>
          </cell>
          <cell r="J227">
            <v>0</v>
          </cell>
          <cell r="K227">
            <v>0</v>
          </cell>
          <cell r="L227">
            <v>0</v>
          </cell>
          <cell r="M227">
            <v>0</v>
          </cell>
          <cell r="N227">
            <v>0</v>
          </cell>
          <cell r="O227">
            <v>0</v>
          </cell>
          <cell r="P227">
            <v>0</v>
          </cell>
          <cell r="Q227">
            <v>19</v>
          </cell>
          <cell r="R227">
            <v>0</v>
          </cell>
          <cell r="S227">
            <v>0</v>
          </cell>
          <cell r="T227">
            <v>0</v>
          </cell>
          <cell r="U227">
            <v>0</v>
          </cell>
          <cell r="V227">
            <v>94</v>
          </cell>
          <cell r="W227">
            <v>75</v>
          </cell>
        </row>
        <row r="228">
          <cell r="A228" t="str">
            <v>Land of Lakes</v>
          </cell>
          <cell r="B228">
            <v>76</v>
          </cell>
          <cell r="C228">
            <v>37316</v>
          </cell>
          <cell r="D228">
            <v>37316</v>
          </cell>
          <cell r="E228">
            <v>3763</v>
          </cell>
          <cell r="F228">
            <v>2281.59</v>
          </cell>
          <cell r="G228">
            <v>0</v>
          </cell>
          <cell r="H228">
            <v>75</v>
          </cell>
          <cell r="I228">
            <v>0</v>
          </cell>
          <cell r="J228">
            <v>0</v>
          </cell>
          <cell r="K228">
            <v>0</v>
          </cell>
          <cell r="L228">
            <v>0</v>
          </cell>
          <cell r="M228">
            <v>15.05</v>
          </cell>
          <cell r="N228">
            <v>3763</v>
          </cell>
          <cell r="O228">
            <v>-3.76</v>
          </cell>
          <cell r="P228">
            <v>0</v>
          </cell>
          <cell r="Q228">
            <v>19</v>
          </cell>
          <cell r="R228">
            <v>0</v>
          </cell>
          <cell r="S228">
            <v>0</v>
          </cell>
          <cell r="T228">
            <v>0</v>
          </cell>
          <cell r="U228">
            <v>0</v>
          </cell>
          <cell r="V228">
            <v>2386.88</v>
          </cell>
          <cell r="W228">
            <v>2367.88</v>
          </cell>
        </row>
        <row r="229">
          <cell r="A229" t="str">
            <v>Land of Lakes</v>
          </cell>
          <cell r="B229">
            <v>76</v>
          </cell>
          <cell r="C229">
            <v>37347</v>
          </cell>
          <cell r="D229">
            <v>37347</v>
          </cell>
          <cell r="E229">
            <v>3420</v>
          </cell>
          <cell r="F229">
            <v>2074.7600000000002</v>
          </cell>
          <cell r="G229">
            <v>0</v>
          </cell>
          <cell r="H229">
            <v>75</v>
          </cell>
          <cell r="I229">
            <v>0</v>
          </cell>
          <cell r="J229">
            <v>0</v>
          </cell>
          <cell r="K229">
            <v>0</v>
          </cell>
          <cell r="L229">
            <v>0</v>
          </cell>
          <cell r="M229">
            <v>13.68</v>
          </cell>
          <cell r="N229">
            <v>3420</v>
          </cell>
          <cell r="O229">
            <v>-3.42</v>
          </cell>
          <cell r="P229">
            <v>0</v>
          </cell>
          <cell r="Q229">
            <v>19</v>
          </cell>
          <cell r="R229">
            <v>0</v>
          </cell>
          <cell r="S229">
            <v>2386.88</v>
          </cell>
          <cell r="T229">
            <v>0</v>
          </cell>
          <cell r="U229">
            <v>0</v>
          </cell>
          <cell r="V229">
            <v>4565.8999999999996</v>
          </cell>
          <cell r="W229">
            <v>2160.02</v>
          </cell>
        </row>
        <row r="230">
          <cell r="A230" t="str">
            <v>Land of Lakes</v>
          </cell>
          <cell r="B230">
            <v>76</v>
          </cell>
          <cell r="C230">
            <v>37377</v>
          </cell>
          <cell r="D230">
            <v>37377</v>
          </cell>
          <cell r="E230">
            <v>3255</v>
          </cell>
          <cell r="F230">
            <v>1975.2599999999984</v>
          </cell>
          <cell r="G230">
            <v>0</v>
          </cell>
          <cell r="H230">
            <v>75</v>
          </cell>
          <cell r="I230">
            <v>0</v>
          </cell>
          <cell r="J230">
            <v>0</v>
          </cell>
          <cell r="K230">
            <v>0</v>
          </cell>
          <cell r="L230">
            <v>0</v>
          </cell>
          <cell r="M230">
            <v>0</v>
          </cell>
          <cell r="N230">
            <v>0</v>
          </cell>
          <cell r="O230">
            <v>0</v>
          </cell>
          <cell r="P230">
            <v>0</v>
          </cell>
          <cell r="Q230">
            <v>19</v>
          </cell>
          <cell r="R230">
            <v>0</v>
          </cell>
          <cell r="S230">
            <v>4565.8999999999942</v>
          </cell>
          <cell r="T230">
            <v>0</v>
          </cell>
          <cell r="U230">
            <v>0</v>
          </cell>
          <cell r="V230">
            <v>6635.1600000000035</v>
          </cell>
          <cell r="W230">
            <v>2050.2599999999984</v>
          </cell>
        </row>
        <row r="231">
          <cell r="A231" t="str">
            <v>Land of Lakes</v>
          </cell>
          <cell r="B231">
            <v>76</v>
          </cell>
          <cell r="C231">
            <v>37408</v>
          </cell>
          <cell r="D231">
            <v>37408</v>
          </cell>
          <cell r="E231">
            <v>1890</v>
          </cell>
          <cell r="F231">
            <v>1152.17</v>
          </cell>
          <cell r="G231">
            <v>0</v>
          </cell>
          <cell r="H231">
            <v>75</v>
          </cell>
          <cell r="I231">
            <v>0</v>
          </cell>
          <cell r="J231">
            <v>0</v>
          </cell>
          <cell r="K231">
            <v>0</v>
          </cell>
          <cell r="L231">
            <v>0</v>
          </cell>
          <cell r="M231">
            <v>0</v>
          </cell>
          <cell r="N231">
            <v>0</v>
          </cell>
          <cell r="O231">
            <v>0</v>
          </cell>
          <cell r="P231">
            <v>0</v>
          </cell>
          <cell r="Q231">
            <v>19</v>
          </cell>
          <cell r="R231">
            <v>0</v>
          </cell>
          <cell r="S231">
            <v>2069.2600000000002</v>
          </cell>
          <cell r="T231">
            <v>0</v>
          </cell>
          <cell r="U231">
            <v>0</v>
          </cell>
          <cell r="V231">
            <v>3315.43</v>
          </cell>
          <cell r="W231">
            <v>1227.17</v>
          </cell>
        </row>
        <row r="232">
          <cell r="A232" t="str">
            <v>Land of Lakes</v>
          </cell>
          <cell r="B232">
            <v>76</v>
          </cell>
          <cell r="C232">
            <v>37438</v>
          </cell>
          <cell r="D232">
            <v>37438</v>
          </cell>
          <cell r="E232">
            <v>2254</v>
          </cell>
          <cell r="F232">
            <v>1371.66</v>
          </cell>
          <cell r="G232">
            <v>0</v>
          </cell>
          <cell r="H232">
            <v>75</v>
          </cell>
          <cell r="I232">
            <v>0</v>
          </cell>
          <cell r="J232">
            <v>0</v>
          </cell>
          <cell r="K232">
            <v>0</v>
          </cell>
          <cell r="L232">
            <v>0</v>
          </cell>
          <cell r="M232">
            <v>0</v>
          </cell>
          <cell r="N232">
            <v>0</v>
          </cell>
          <cell r="O232">
            <v>0</v>
          </cell>
          <cell r="P232">
            <v>0</v>
          </cell>
          <cell r="Q232">
            <v>19</v>
          </cell>
          <cell r="R232">
            <v>0</v>
          </cell>
          <cell r="S232">
            <v>0</v>
          </cell>
          <cell r="T232">
            <v>0</v>
          </cell>
          <cell r="U232">
            <v>0</v>
          </cell>
          <cell r="V232">
            <v>1465.66</v>
          </cell>
          <cell r="W232">
            <v>1446.66</v>
          </cell>
        </row>
        <row r="233">
          <cell r="A233" t="str">
            <v>Land of Lakes</v>
          </cell>
          <cell r="B233">
            <v>76</v>
          </cell>
          <cell r="C233">
            <v>37469</v>
          </cell>
          <cell r="D233">
            <v>37469</v>
          </cell>
          <cell r="E233">
            <v>3596</v>
          </cell>
          <cell r="F233">
            <v>2180.89</v>
          </cell>
          <cell r="G233">
            <v>0</v>
          </cell>
          <cell r="H233">
            <v>75</v>
          </cell>
          <cell r="I233">
            <v>0</v>
          </cell>
          <cell r="J233">
            <v>0</v>
          </cell>
          <cell r="K233">
            <v>0</v>
          </cell>
          <cell r="L233">
            <v>0</v>
          </cell>
          <cell r="M233">
            <v>0</v>
          </cell>
          <cell r="N233">
            <v>0</v>
          </cell>
          <cell r="O233">
            <v>0</v>
          </cell>
          <cell r="P233">
            <v>0</v>
          </cell>
          <cell r="Q233">
            <v>19</v>
          </cell>
          <cell r="R233">
            <v>0</v>
          </cell>
          <cell r="S233">
            <v>0</v>
          </cell>
          <cell r="T233">
            <v>0</v>
          </cell>
          <cell r="U233">
            <v>0</v>
          </cell>
          <cell r="V233">
            <v>2274.89</v>
          </cell>
          <cell r="W233">
            <v>2255.89</v>
          </cell>
        </row>
        <row r="234">
          <cell r="A234" t="str">
            <v>Land of Lakes</v>
          </cell>
          <cell r="B234">
            <v>76</v>
          </cell>
          <cell r="C234">
            <v>37500</v>
          </cell>
          <cell r="D234">
            <v>37500</v>
          </cell>
          <cell r="E234">
            <v>2035</v>
          </cell>
          <cell r="F234">
            <v>1239.5999999999999</v>
          </cell>
          <cell r="G234">
            <v>0</v>
          </cell>
          <cell r="H234">
            <v>75</v>
          </cell>
          <cell r="I234">
            <v>0</v>
          </cell>
          <cell r="J234">
            <v>0</v>
          </cell>
          <cell r="K234">
            <v>0</v>
          </cell>
          <cell r="L234">
            <v>0</v>
          </cell>
          <cell r="M234">
            <v>0</v>
          </cell>
          <cell r="N234">
            <v>0</v>
          </cell>
          <cell r="O234">
            <v>0</v>
          </cell>
          <cell r="P234">
            <v>0</v>
          </cell>
          <cell r="Q234">
            <v>19</v>
          </cell>
          <cell r="R234">
            <v>0</v>
          </cell>
          <cell r="S234">
            <v>0</v>
          </cell>
          <cell r="T234">
            <v>0</v>
          </cell>
          <cell r="U234">
            <v>0</v>
          </cell>
          <cell r="V234">
            <v>1333.6</v>
          </cell>
          <cell r="W234">
            <v>1314.6</v>
          </cell>
        </row>
        <row r="235">
          <cell r="A235" t="str">
            <v>Land of Lakes</v>
          </cell>
          <cell r="B235">
            <v>76</v>
          </cell>
          <cell r="C235">
            <v>37530</v>
          </cell>
          <cell r="D235">
            <v>37530</v>
          </cell>
          <cell r="E235">
            <v>3215</v>
          </cell>
          <cell r="F235">
            <v>1951.14</v>
          </cell>
          <cell r="G235">
            <v>0</v>
          </cell>
          <cell r="H235">
            <v>75</v>
          </cell>
          <cell r="I235">
            <v>0</v>
          </cell>
          <cell r="J235">
            <v>0</v>
          </cell>
          <cell r="K235">
            <v>0</v>
          </cell>
          <cell r="L235">
            <v>0</v>
          </cell>
          <cell r="M235">
            <v>0</v>
          </cell>
          <cell r="N235">
            <v>0</v>
          </cell>
          <cell r="O235">
            <v>0</v>
          </cell>
          <cell r="P235">
            <v>0</v>
          </cell>
          <cell r="Q235">
            <v>19</v>
          </cell>
          <cell r="R235">
            <v>0</v>
          </cell>
          <cell r="S235">
            <v>-2274.89</v>
          </cell>
          <cell r="T235">
            <v>0</v>
          </cell>
          <cell r="U235">
            <v>0</v>
          </cell>
          <cell r="V235">
            <v>-229.74999999999977</v>
          </cell>
          <cell r="W235">
            <v>2026.14</v>
          </cell>
        </row>
        <row r="236">
          <cell r="A236" t="str">
            <v>Land of Lakes</v>
          </cell>
          <cell r="B236">
            <v>76</v>
          </cell>
          <cell r="C236">
            <v>37561</v>
          </cell>
          <cell r="D236">
            <v>37561</v>
          </cell>
          <cell r="E236">
            <v>4310</v>
          </cell>
          <cell r="F236">
            <v>2611.4299999999998</v>
          </cell>
          <cell r="G236">
            <v>0</v>
          </cell>
          <cell r="H236">
            <v>75</v>
          </cell>
          <cell r="I236">
            <v>0</v>
          </cell>
          <cell r="J236">
            <v>0</v>
          </cell>
          <cell r="K236">
            <v>0</v>
          </cell>
          <cell r="L236">
            <v>0</v>
          </cell>
          <cell r="M236">
            <v>0</v>
          </cell>
          <cell r="N236">
            <v>0</v>
          </cell>
          <cell r="O236">
            <v>0</v>
          </cell>
          <cell r="P236">
            <v>0</v>
          </cell>
          <cell r="Q236">
            <v>19</v>
          </cell>
          <cell r="R236">
            <v>0</v>
          </cell>
          <cell r="S236">
            <v>-229.75</v>
          </cell>
          <cell r="T236">
            <v>0</v>
          </cell>
          <cell r="U236">
            <v>0</v>
          </cell>
          <cell r="V236">
            <v>2475.6799999999998</v>
          </cell>
          <cell r="W236">
            <v>2686.43</v>
          </cell>
        </row>
        <row r="237">
          <cell r="A237" t="str">
            <v>Land of Lakes</v>
          </cell>
          <cell r="B237">
            <v>76</v>
          </cell>
          <cell r="C237">
            <v>37591</v>
          </cell>
          <cell r="D237">
            <v>37591</v>
          </cell>
          <cell r="E237">
            <v>3385</v>
          </cell>
          <cell r="F237">
            <v>2053.66</v>
          </cell>
          <cell r="G237">
            <v>0</v>
          </cell>
          <cell r="H237">
            <v>75</v>
          </cell>
          <cell r="I237">
            <v>0</v>
          </cell>
          <cell r="J237">
            <v>0</v>
          </cell>
          <cell r="K237">
            <v>0</v>
          </cell>
          <cell r="L237">
            <v>0</v>
          </cell>
          <cell r="M237">
            <v>0</v>
          </cell>
          <cell r="N237">
            <v>0</v>
          </cell>
          <cell r="O237">
            <v>0</v>
          </cell>
          <cell r="P237">
            <v>0</v>
          </cell>
          <cell r="Q237">
            <v>19</v>
          </cell>
          <cell r="R237">
            <v>0</v>
          </cell>
          <cell r="S237">
            <v>0</v>
          </cell>
          <cell r="T237">
            <v>0</v>
          </cell>
          <cell r="U237">
            <v>0</v>
          </cell>
          <cell r="V237">
            <v>2147.66</v>
          </cell>
          <cell r="W237">
            <v>2128.66</v>
          </cell>
        </row>
        <row r="238">
          <cell r="A238" t="str">
            <v>Ohio Valley Hub</v>
          </cell>
          <cell r="B238">
            <v>77</v>
          </cell>
          <cell r="C238">
            <v>37316</v>
          </cell>
          <cell r="D238">
            <v>37288</v>
          </cell>
          <cell r="E238">
            <v>0</v>
          </cell>
          <cell r="F238">
            <v>0</v>
          </cell>
          <cell r="G238">
            <v>0</v>
          </cell>
          <cell r="H238">
            <v>75</v>
          </cell>
          <cell r="I238">
            <v>0</v>
          </cell>
          <cell r="J238">
            <v>0</v>
          </cell>
          <cell r="K238">
            <v>0</v>
          </cell>
          <cell r="L238">
            <v>0</v>
          </cell>
          <cell r="M238">
            <v>0</v>
          </cell>
          <cell r="N238">
            <v>0</v>
          </cell>
          <cell r="O238">
            <v>0</v>
          </cell>
          <cell r="P238">
            <v>0</v>
          </cell>
          <cell r="Q238">
            <v>19</v>
          </cell>
          <cell r="R238">
            <v>0</v>
          </cell>
          <cell r="S238">
            <v>20666.669999999998</v>
          </cell>
          <cell r="T238">
            <v>0</v>
          </cell>
          <cell r="U238">
            <v>0</v>
          </cell>
          <cell r="V238">
            <v>20760.669999999998</v>
          </cell>
          <cell r="W238">
            <v>75</v>
          </cell>
        </row>
        <row r="239">
          <cell r="A239" t="str">
            <v>Ohio Valley Hub</v>
          </cell>
          <cell r="B239">
            <v>77</v>
          </cell>
          <cell r="C239">
            <v>37316</v>
          </cell>
          <cell r="D239">
            <v>37316</v>
          </cell>
          <cell r="E239">
            <v>0</v>
          </cell>
          <cell r="F239">
            <v>0</v>
          </cell>
          <cell r="G239">
            <v>0</v>
          </cell>
          <cell r="H239">
            <v>75</v>
          </cell>
          <cell r="I239">
            <v>0</v>
          </cell>
          <cell r="J239">
            <v>0</v>
          </cell>
          <cell r="K239">
            <v>0</v>
          </cell>
          <cell r="L239">
            <v>0</v>
          </cell>
          <cell r="M239">
            <v>0</v>
          </cell>
          <cell r="N239">
            <v>0</v>
          </cell>
          <cell r="O239">
            <v>0</v>
          </cell>
          <cell r="P239">
            <v>0</v>
          </cell>
          <cell r="Q239">
            <v>19</v>
          </cell>
          <cell r="R239">
            <v>0</v>
          </cell>
          <cell r="S239">
            <v>20666.669999999998</v>
          </cell>
          <cell r="T239">
            <v>0</v>
          </cell>
          <cell r="U239">
            <v>0</v>
          </cell>
          <cell r="V239">
            <v>20760.669999999998</v>
          </cell>
          <cell r="W239">
            <v>75</v>
          </cell>
        </row>
        <row r="241">
          <cell r="A241" t="str">
            <v xml:space="preserve">     TOTAL RATE B</v>
          </cell>
          <cell r="E241">
            <v>466741</v>
          </cell>
          <cell r="F241">
            <v>283613.59999999986</v>
          </cell>
          <cell r="G241">
            <v>750354.59999999986</v>
          </cell>
          <cell r="H241">
            <v>16275</v>
          </cell>
          <cell r="I241">
            <v>102250</v>
          </cell>
          <cell r="J241">
            <v>118525</v>
          </cell>
          <cell r="K241">
            <v>105085</v>
          </cell>
          <cell r="L241">
            <v>349215.69</v>
          </cell>
          <cell r="M241">
            <v>454300.69</v>
          </cell>
          <cell r="N241">
            <v>166967</v>
          </cell>
          <cell r="O241">
            <v>16.119999999999997</v>
          </cell>
          <cell r="P241">
            <v>166983.12</v>
          </cell>
          <cell r="Q241">
            <v>4123</v>
          </cell>
          <cell r="R241">
            <v>235.85999999999979</v>
          </cell>
          <cell r="S241">
            <v>4358.8599999999997</v>
          </cell>
          <cell r="T241">
            <v>1155</v>
          </cell>
          <cell r="U241">
            <v>7097.47</v>
          </cell>
          <cell r="V241">
            <v>8252.4700000000012</v>
          </cell>
          <cell r="W241">
            <v>319607.33</v>
          </cell>
        </row>
        <row r="244">
          <cell r="A244" t="str">
            <v>RATE C</v>
          </cell>
        </row>
        <row r="245">
          <cell r="A245" t="str">
            <v>PPG Industries, Inc.</v>
          </cell>
          <cell r="B245">
            <v>5</v>
          </cell>
          <cell r="C245">
            <v>37257</v>
          </cell>
          <cell r="D245">
            <v>37257</v>
          </cell>
          <cell r="E245">
            <v>10550</v>
          </cell>
          <cell r="F245">
            <v>4283.3</v>
          </cell>
          <cell r="G245">
            <v>0</v>
          </cell>
          <cell r="H245">
            <v>75</v>
          </cell>
          <cell r="I245">
            <v>0</v>
          </cell>
          <cell r="J245">
            <v>0</v>
          </cell>
          <cell r="K245">
            <v>0</v>
          </cell>
          <cell r="L245">
            <v>0</v>
          </cell>
          <cell r="M245">
            <v>0</v>
          </cell>
          <cell r="N245">
            <v>10550</v>
          </cell>
          <cell r="O245">
            <v>31.65</v>
          </cell>
          <cell r="P245">
            <v>0</v>
          </cell>
          <cell r="Q245">
            <v>35</v>
          </cell>
          <cell r="R245">
            <v>0</v>
          </cell>
          <cell r="S245">
            <v>0</v>
          </cell>
          <cell r="T245">
            <v>0</v>
          </cell>
          <cell r="U245">
            <v>0</v>
          </cell>
          <cell r="V245">
            <v>4424.95</v>
          </cell>
          <cell r="W245">
            <v>4389.95</v>
          </cell>
        </row>
        <row r="246">
          <cell r="A246" t="str">
            <v>PPG Industries, Inc.</v>
          </cell>
          <cell r="B246">
            <v>5</v>
          </cell>
          <cell r="C246">
            <v>37288</v>
          </cell>
          <cell r="D246">
            <v>37288</v>
          </cell>
          <cell r="E246">
            <v>8682</v>
          </cell>
          <cell r="F246">
            <v>3524.89</v>
          </cell>
          <cell r="G246">
            <v>0</v>
          </cell>
          <cell r="H246">
            <v>75</v>
          </cell>
          <cell r="I246">
            <v>0</v>
          </cell>
          <cell r="J246">
            <v>0</v>
          </cell>
          <cell r="K246">
            <v>0</v>
          </cell>
          <cell r="L246">
            <v>0</v>
          </cell>
          <cell r="M246">
            <v>0</v>
          </cell>
          <cell r="N246">
            <v>8682</v>
          </cell>
          <cell r="O246">
            <v>-8.68</v>
          </cell>
          <cell r="P246">
            <v>0</v>
          </cell>
          <cell r="Q246">
            <v>35</v>
          </cell>
          <cell r="R246">
            <v>0</v>
          </cell>
          <cell r="S246">
            <v>0</v>
          </cell>
          <cell r="T246">
            <v>0</v>
          </cell>
          <cell r="U246">
            <v>0</v>
          </cell>
          <cell r="V246">
            <v>3626.21</v>
          </cell>
          <cell r="W246">
            <v>3591.21</v>
          </cell>
        </row>
        <row r="247">
          <cell r="A247" t="str">
            <v>PPG Industries, Inc.</v>
          </cell>
          <cell r="B247">
            <v>5</v>
          </cell>
          <cell r="C247">
            <v>37316</v>
          </cell>
          <cell r="D247">
            <v>37316</v>
          </cell>
          <cell r="E247">
            <v>9060</v>
          </cell>
          <cell r="F247">
            <v>3678.36</v>
          </cell>
          <cell r="G247">
            <v>0</v>
          </cell>
          <cell r="H247">
            <v>75</v>
          </cell>
          <cell r="I247">
            <v>0</v>
          </cell>
          <cell r="J247">
            <v>0</v>
          </cell>
          <cell r="K247">
            <v>0</v>
          </cell>
          <cell r="L247">
            <v>0</v>
          </cell>
          <cell r="M247">
            <v>0</v>
          </cell>
          <cell r="N247">
            <v>9060</v>
          </cell>
          <cell r="O247">
            <v>-9.06</v>
          </cell>
          <cell r="P247">
            <v>0</v>
          </cell>
          <cell r="Q247">
            <v>35</v>
          </cell>
          <cell r="R247">
            <v>0</v>
          </cell>
          <cell r="S247">
            <v>0</v>
          </cell>
          <cell r="T247">
            <v>0</v>
          </cell>
          <cell r="U247">
            <v>0</v>
          </cell>
          <cell r="V247">
            <v>3779.3</v>
          </cell>
          <cell r="W247">
            <v>3744.3</v>
          </cell>
        </row>
        <row r="248">
          <cell r="A248" t="str">
            <v>PPG Industries, Inc.</v>
          </cell>
          <cell r="B248">
            <v>5</v>
          </cell>
          <cell r="C248">
            <v>37347</v>
          </cell>
          <cell r="D248">
            <v>37347</v>
          </cell>
          <cell r="E248">
            <v>7363</v>
          </cell>
          <cell r="F248">
            <v>2989.38</v>
          </cell>
          <cell r="G248">
            <v>0</v>
          </cell>
          <cell r="H248">
            <v>75</v>
          </cell>
          <cell r="I248">
            <v>0</v>
          </cell>
          <cell r="J248">
            <v>0</v>
          </cell>
          <cell r="K248">
            <v>0</v>
          </cell>
          <cell r="L248">
            <v>0</v>
          </cell>
          <cell r="M248">
            <v>0</v>
          </cell>
          <cell r="N248">
            <v>7363</v>
          </cell>
          <cell r="O248">
            <v>-7.36</v>
          </cell>
          <cell r="P248">
            <v>0</v>
          </cell>
          <cell r="Q248">
            <v>35</v>
          </cell>
          <cell r="R248">
            <v>0</v>
          </cell>
          <cell r="S248">
            <v>0</v>
          </cell>
          <cell r="T248">
            <v>0</v>
          </cell>
          <cell r="U248">
            <v>0</v>
          </cell>
          <cell r="V248">
            <v>3092.02</v>
          </cell>
          <cell r="W248">
            <v>3057.02</v>
          </cell>
        </row>
        <row r="249">
          <cell r="A249" t="str">
            <v>PPG Industries, Inc.</v>
          </cell>
          <cell r="B249">
            <v>5</v>
          </cell>
          <cell r="C249">
            <v>37377</v>
          </cell>
          <cell r="D249">
            <v>37377</v>
          </cell>
          <cell r="E249">
            <v>6500</v>
          </cell>
          <cell r="F249">
            <v>2639</v>
          </cell>
          <cell r="G249">
            <v>0</v>
          </cell>
          <cell r="H249">
            <v>75</v>
          </cell>
          <cell r="I249">
            <v>0</v>
          </cell>
          <cell r="J249">
            <v>0</v>
          </cell>
          <cell r="K249">
            <v>0</v>
          </cell>
          <cell r="L249">
            <v>0</v>
          </cell>
          <cell r="M249">
            <v>0</v>
          </cell>
          <cell r="N249">
            <v>0</v>
          </cell>
          <cell r="O249">
            <v>0</v>
          </cell>
          <cell r="P249">
            <v>0</v>
          </cell>
          <cell r="Q249">
            <v>35</v>
          </cell>
          <cell r="R249">
            <v>0</v>
          </cell>
          <cell r="S249">
            <v>0</v>
          </cell>
          <cell r="T249">
            <v>0</v>
          </cell>
          <cell r="U249">
            <v>0</v>
          </cell>
          <cell r="V249">
            <v>2749</v>
          </cell>
          <cell r="W249">
            <v>2714</v>
          </cell>
        </row>
        <row r="250">
          <cell r="A250" t="str">
            <v>PPG Industries, Inc.</v>
          </cell>
          <cell r="B250">
            <v>5</v>
          </cell>
          <cell r="C250">
            <v>37408</v>
          </cell>
          <cell r="D250">
            <v>37408</v>
          </cell>
          <cell r="E250">
            <v>6000</v>
          </cell>
          <cell r="F250">
            <v>2436</v>
          </cell>
          <cell r="G250">
            <v>0</v>
          </cell>
          <cell r="H250">
            <v>75</v>
          </cell>
          <cell r="I250">
            <v>0</v>
          </cell>
          <cell r="J250">
            <v>0</v>
          </cell>
          <cell r="K250">
            <v>0</v>
          </cell>
          <cell r="L250">
            <v>0</v>
          </cell>
          <cell r="M250">
            <v>0</v>
          </cell>
          <cell r="N250">
            <v>0</v>
          </cell>
          <cell r="O250">
            <v>0</v>
          </cell>
          <cell r="P250">
            <v>0</v>
          </cell>
          <cell r="Q250">
            <v>35</v>
          </cell>
          <cell r="R250">
            <v>0</v>
          </cell>
          <cell r="S250">
            <v>0</v>
          </cell>
          <cell r="T250">
            <v>0</v>
          </cell>
          <cell r="U250">
            <v>0</v>
          </cell>
          <cell r="V250">
            <v>2546</v>
          </cell>
          <cell r="W250">
            <v>2511</v>
          </cell>
        </row>
        <row r="251">
          <cell r="A251" t="str">
            <v>PPG Industries, Inc.</v>
          </cell>
          <cell r="B251">
            <v>5</v>
          </cell>
          <cell r="C251">
            <v>37438</v>
          </cell>
          <cell r="D251">
            <v>37438</v>
          </cell>
          <cell r="E251">
            <v>6500</v>
          </cell>
          <cell r="F251">
            <v>2639</v>
          </cell>
          <cell r="G251">
            <v>0</v>
          </cell>
          <cell r="H251">
            <v>75</v>
          </cell>
          <cell r="I251">
            <v>0</v>
          </cell>
          <cell r="J251">
            <v>0</v>
          </cell>
          <cell r="K251">
            <v>0</v>
          </cell>
          <cell r="L251">
            <v>0</v>
          </cell>
          <cell r="M251">
            <v>0</v>
          </cell>
          <cell r="N251">
            <v>0</v>
          </cell>
          <cell r="O251">
            <v>0</v>
          </cell>
          <cell r="P251">
            <v>0</v>
          </cell>
          <cell r="Q251">
            <v>35</v>
          </cell>
          <cell r="R251">
            <v>0</v>
          </cell>
          <cell r="S251">
            <v>0</v>
          </cell>
          <cell r="T251">
            <v>0</v>
          </cell>
          <cell r="U251">
            <v>0</v>
          </cell>
          <cell r="V251">
            <v>2749</v>
          </cell>
          <cell r="W251">
            <v>2714</v>
          </cell>
        </row>
        <row r="252">
          <cell r="A252" t="str">
            <v>PPG Industries, Inc.</v>
          </cell>
          <cell r="B252">
            <v>5</v>
          </cell>
          <cell r="C252">
            <v>37469</v>
          </cell>
          <cell r="D252">
            <v>37469</v>
          </cell>
          <cell r="E252">
            <v>1510</v>
          </cell>
          <cell r="F252">
            <v>613.05999999999995</v>
          </cell>
          <cell r="G252">
            <v>0</v>
          </cell>
          <cell r="H252">
            <v>75</v>
          </cell>
          <cell r="I252">
            <v>0</v>
          </cell>
          <cell r="J252">
            <v>0</v>
          </cell>
          <cell r="K252">
            <v>0</v>
          </cell>
          <cell r="L252">
            <v>0</v>
          </cell>
          <cell r="M252">
            <v>0</v>
          </cell>
          <cell r="N252">
            <v>0</v>
          </cell>
          <cell r="O252">
            <v>0</v>
          </cell>
          <cell r="P252">
            <v>0</v>
          </cell>
          <cell r="Q252">
            <v>35</v>
          </cell>
          <cell r="R252">
            <v>0</v>
          </cell>
          <cell r="S252">
            <v>0</v>
          </cell>
          <cell r="T252">
            <v>0</v>
          </cell>
          <cell r="U252">
            <v>0</v>
          </cell>
          <cell r="V252">
            <v>723.06</v>
          </cell>
          <cell r="W252">
            <v>688.06</v>
          </cell>
        </row>
        <row r="253">
          <cell r="A253" t="str">
            <v>PPG Industries, Inc.</v>
          </cell>
          <cell r="B253">
            <v>5</v>
          </cell>
          <cell r="C253">
            <v>37500</v>
          </cell>
          <cell r="D253">
            <v>37500</v>
          </cell>
          <cell r="E253">
            <v>5143</v>
          </cell>
          <cell r="F253">
            <v>2088.06</v>
          </cell>
          <cell r="G253">
            <v>0</v>
          </cell>
          <cell r="H253">
            <v>75</v>
          </cell>
          <cell r="I253">
            <v>0</v>
          </cell>
          <cell r="J253">
            <v>0</v>
          </cell>
          <cell r="K253">
            <v>0</v>
          </cell>
          <cell r="L253">
            <v>0</v>
          </cell>
          <cell r="M253">
            <v>0</v>
          </cell>
          <cell r="N253">
            <v>0</v>
          </cell>
          <cell r="O253">
            <v>0</v>
          </cell>
          <cell r="P253">
            <v>0</v>
          </cell>
          <cell r="Q253">
            <v>35</v>
          </cell>
          <cell r="R253">
            <v>0</v>
          </cell>
          <cell r="S253">
            <v>0</v>
          </cell>
          <cell r="T253">
            <v>0</v>
          </cell>
          <cell r="U253">
            <v>0</v>
          </cell>
          <cell r="V253">
            <v>2198.06</v>
          </cell>
          <cell r="W253">
            <v>2163.06</v>
          </cell>
        </row>
        <row r="254">
          <cell r="A254" t="str">
            <v>PPG Industries, Inc.</v>
          </cell>
          <cell r="B254">
            <v>5</v>
          </cell>
          <cell r="C254">
            <v>37530</v>
          </cell>
          <cell r="D254">
            <v>37530</v>
          </cell>
          <cell r="E254">
            <v>7250</v>
          </cell>
          <cell r="F254">
            <v>2943.5</v>
          </cell>
          <cell r="G254">
            <v>0</v>
          </cell>
          <cell r="H254">
            <v>75</v>
          </cell>
          <cell r="I254">
            <v>0</v>
          </cell>
          <cell r="J254">
            <v>0</v>
          </cell>
          <cell r="K254">
            <v>0</v>
          </cell>
          <cell r="L254">
            <v>0</v>
          </cell>
          <cell r="M254">
            <v>0</v>
          </cell>
          <cell r="N254">
            <v>0</v>
          </cell>
          <cell r="O254">
            <v>0</v>
          </cell>
          <cell r="P254">
            <v>0</v>
          </cell>
          <cell r="Q254">
            <v>35</v>
          </cell>
          <cell r="R254">
            <v>0</v>
          </cell>
          <cell r="S254">
            <v>0</v>
          </cell>
          <cell r="T254">
            <v>0</v>
          </cell>
          <cell r="U254">
            <v>0</v>
          </cell>
          <cell r="V254">
            <v>3053.5</v>
          </cell>
          <cell r="W254">
            <v>3018.5</v>
          </cell>
        </row>
        <row r="255">
          <cell r="A255" t="str">
            <v>PPG Industries, Inc.</v>
          </cell>
          <cell r="B255">
            <v>5</v>
          </cell>
          <cell r="C255">
            <v>37561</v>
          </cell>
          <cell r="D255">
            <v>37561</v>
          </cell>
          <cell r="E255">
            <v>8456</v>
          </cell>
          <cell r="F255">
            <v>3433.14</v>
          </cell>
          <cell r="G255">
            <v>0</v>
          </cell>
          <cell r="H255">
            <v>75</v>
          </cell>
          <cell r="I255">
            <v>0</v>
          </cell>
          <cell r="J255">
            <v>0</v>
          </cell>
          <cell r="K255">
            <v>0</v>
          </cell>
          <cell r="L255">
            <v>0</v>
          </cell>
          <cell r="M255">
            <v>0</v>
          </cell>
          <cell r="N255">
            <v>0</v>
          </cell>
          <cell r="O255">
            <v>0</v>
          </cell>
          <cell r="P255">
            <v>0</v>
          </cell>
          <cell r="Q255">
            <v>35</v>
          </cell>
          <cell r="R255">
            <v>0</v>
          </cell>
          <cell r="S255">
            <v>0</v>
          </cell>
          <cell r="T255">
            <v>0</v>
          </cell>
          <cell r="U255">
            <v>0</v>
          </cell>
          <cell r="V255">
            <v>3543.14</v>
          </cell>
          <cell r="W255">
            <v>3508.14</v>
          </cell>
        </row>
        <row r="256">
          <cell r="A256" t="str">
            <v>PPG Industries, Inc.</v>
          </cell>
          <cell r="B256">
            <v>5</v>
          </cell>
          <cell r="C256">
            <v>37591</v>
          </cell>
          <cell r="D256">
            <v>37591</v>
          </cell>
          <cell r="E256">
            <v>8476</v>
          </cell>
          <cell r="F256">
            <v>3441.26</v>
          </cell>
          <cell r="G256">
            <v>0</v>
          </cell>
          <cell r="H256">
            <v>75</v>
          </cell>
          <cell r="I256">
            <v>0</v>
          </cell>
          <cell r="J256">
            <v>0</v>
          </cell>
          <cell r="K256">
            <v>0</v>
          </cell>
          <cell r="L256">
            <v>0</v>
          </cell>
          <cell r="M256">
            <v>0</v>
          </cell>
          <cell r="N256">
            <v>0</v>
          </cell>
          <cell r="O256">
            <v>0</v>
          </cell>
          <cell r="P256">
            <v>0</v>
          </cell>
          <cell r="Q256">
            <v>35</v>
          </cell>
          <cell r="R256">
            <v>0</v>
          </cell>
          <cell r="S256">
            <v>0</v>
          </cell>
          <cell r="T256">
            <v>0</v>
          </cell>
          <cell r="U256">
            <v>0</v>
          </cell>
          <cell r="V256">
            <v>3551.26</v>
          </cell>
          <cell r="W256">
            <v>3516.26</v>
          </cell>
        </row>
        <row r="257">
          <cell r="A257" t="str">
            <v>Perdue Farms – Edwardsport Rd.</v>
          </cell>
          <cell r="B257">
            <v>7</v>
          </cell>
          <cell r="C257">
            <v>37257</v>
          </cell>
          <cell r="D257">
            <v>37257</v>
          </cell>
          <cell r="E257">
            <v>4410</v>
          </cell>
          <cell r="F257">
            <v>1790.46</v>
          </cell>
          <cell r="G257">
            <v>0</v>
          </cell>
          <cell r="H257">
            <v>75</v>
          </cell>
          <cell r="I257">
            <v>0</v>
          </cell>
          <cell r="J257">
            <v>0</v>
          </cell>
          <cell r="K257">
            <v>0</v>
          </cell>
          <cell r="L257">
            <v>0</v>
          </cell>
          <cell r="M257">
            <v>-114.66</v>
          </cell>
          <cell r="N257">
            <v>4410</v>
          </cell>
          <cell r="O257">
            <v>13.23</v>
          </cell>
          <cell r="P257">
            <v>0</v>
          </cell>
          <cell r="Q257">
            <v>35</v>
          </cell>
          <cell r="R257">
            <v>0</v>
          </cell>
          <cell r="S257">
            <v>0</v>
          </cell>
          <cell r="T257">
            <v>0</v>
          </cell>
          <cell r="U257">
            <v>0</v>
          </cell>
          <cell r="V257">
            <v>1799.03</v>
          </cell>
          <cell r="W257">
            <v>1764.03</v>
          </cell>
        </row>
        <row r="258">
          <cell r="A258" t="str">
            <v>Perdue Farms – Edwardsport Rd.</v>
          </cell>
          <cell r="B258">
            <v>7</v>
          </cell>
          <cell r="C258">
            <v>37288</v>
          </cell>
          <cell r="D258">
            <v>37288</v>
          </cell>
          <cell r="E258">
            <v>3436</v>
          </cell>
          <cell r="F258">
            <v>1395.02</v>
          </cell>
          <cell r="G258">
            <v>0</v>
          </cell>
          <cell r="H258">
            <v>75</v>
          </cell>
          <cell r="I258">
            <v>0</v>
          </cell>
          <cell r="J258">
            <v>0</v>
          </cell>
          <cell r="K258">
            <v>0</v>
          </cell>
          <cell r="L258">
            <v>0</v>
          </cell>
          <cell r="M258">
            <v>13.74</v>
          </cell>
          <cell r="N258">
            <v>3436</v>
          </cell>
          <cell r="O258">
            <v>-3.44</v>
          </cell>
          <cell r="P258">
            <v>0</v>
          </cell>
          <cell r="Q258">
            <v>35</v>
          </cell>
          <cell r="R258">
            <v>0</v>
          </cell>
          <cell r="S258">
            <v>0</v>
          </cell>
          <cell r="T258">
            <v>0</v>
          </cell>
          <cell r="U258">
            <v>0</v>
          </cell>
          <cell r="V258">
            <v>1515.32</v>
          </cell>
          <cell r="W258">
            <v>1480.32</v>
          </cell>
        </row>
        <row r="259">
          <cell r="A259" t="str">
            <v>Perdue Farms – Edwardsport Rd.</v>
          </cell>
          <cell r="B259">
            <v>7</v>
          </cell>
          <cell r="C259">
            <v>37316</v>
          </cell>
          <cell r="D259">
            <v>37316</v>
          </cell>
          <cell r="E259">
            <v>4278</v>
          </cell>
          <cell r="F259">
            <v>1736.87</v>
          </cell>
          <cell r="G259">
            <v>0</v>
          </cell>
          <cell r="H259">
            <v>75</v>
          </cell>
          <cell r="I259">
            <v>0</v>
          </cell>
          <cell r="J259">
            <v>0</v>
          </cell>
          <cell r="K259">
            <v>0</v>
          </cell>
          <cell r="L259">
            <v>0</v>
          </cell>
          <cell r="M259">
            <v>17.11</v>
          </cell>
          <cell r="N259">
            <v>4278</v>
          </cell>
          <cell r="O259">
            <v>-4.28</v>
          </cell>
          <cell r="P259">
            <v>0</v>
          </cell>
          <cell r="Q259">
            <v>35</v>
          </cell>
          <cell r="R259">
            <v>0</v>
          </cell>
          <cell r="S259">
            <v>0</v>
          </cell>
          <cell r="T259">
            <v>0</v>
          </cell>
          <cell r="U259">
            <v>0</v>
          </cell>
          <cell r="V259">
            <v>1859.7</v>
          </cell>
          <cell r="W259">
            <v>1824.7</v>
          </cell>
        </row>
        <row r="260">
          <cell r="A260" t="str">
            <v>Perdue Farms – Edwardsport Rd.</v>
          </cell>
          <cell r="B260">
            <v>7</v>
          </cell>
          <cell r="C260">
            <v>37347</v>
          </cell>
          <cell r="D260">
            <v>37347</v>
          </cell>
          <cell r="E260">
            <v>3690</v>
          </cell>
          <cell r="F260">
            <v>1498.14</v>
          </cell>
          <cell r="G260">
            <v>0</v>
          </cell>
          <cell r="H260">
            <v>75</v>
          </cell>
          <cell r="I260">
            <v>0</v>
          </cell>
          <cell r="J260">
            <v>0</v>
          </cell>
          <cell r="K260">
            <v>0</v>
          </cell>
          <cell r="L260">
            <v>0</v>
          </cell>
          <cell r="M260">
            <v>14.76</v>
          </cell>
          <cell r="N260">
            <v>3690</v>
          </cell>
          <cell r="O260">
            <v>-3.69</v>
          </cell>
          <cell r="P260">
            <v>0</v>
          </cell>
          <cell r="Q260">
            <v>35</v>
          </cell>
          <cell r="R260">
            <v>0</v>
          </cell>
          <cell r="S260">
            <v>0</v>
          </cell>
          <cell r="T260">
            <v>0</v>
          </cell>
          <cell r="U260">
            <v>0</v>
          </cell>
          <cell r="V260">
            <v>1619.21</v>
          </cell>
          <cell r="W260">
            <v>1584.21</v>
          </cell>
        </row>
        <row r="261">
          <cell r="A261" t="str">
            <v>Perdue Farms – Edwardsport Rd.</v>
          </cell>
          <cell r="B261">
            <v>7</v>
          </cell>
          <cell r="C261">
            <v>37377</v>
          </cell>
          <cell r="D261">
            <v>37377</v>
          </cell>
          <cell r="E261">
            <v>4200</v>
          </cell>
          <cell r="F261">
            <v>1705.2</v>
          </cell>
          <cell r="G261">
            <v>0</v>
          </cell>
          <cell r="H261">
            <v>75</v>
          </cell>
          <cell r="I261">
            <v>0</v>
          </cell>
          <cell r="J261">
            <v>0</v>
          </cell>
          <cell r="K261">
            <v>0</v>
          </cell>
          <cell r="L261">
            <v>0</v>
          </cell>
          <cell r="M261">
            <v>0</v>
          </cell>
          <cell r="N261">
            <v>0</v>
          </cell>
          <cell r="O261">
            <v>0</v>
          </cell>
          <cell r="P261">
            <v>0</v>
          </cell>
          <cell r="Q261">
            <v>35</v>
          </cell>
          <cell r="R261">
            <v>0</v>
          </cell>
          <cell r="S261">
            <v>0</v>
          </cell>
          <cell r="T261">
            <v>0</v>
          </cell>
          <cell r="U261">
            <v>0</v>
          </cell>
          <cell r="V261">
            <v>1815.2</v>
          </cell>
          <cell r="W261">
            <v>1780.2</v>
          </cell>
        </row>
        <row r="262">
          <cell r="A262" t="str">
            <v>Perdue Farms – Edwardsport Rd.</v>
          </cell>
          <cell r="B262">
            <v>7</v>
          </cell>
          <cell r="C262">
            <v>37408</v>
          </cell>
          <cell r="D262">
            <v>37408</v>
          </cell>
          <cell r="E262">
            <v>3300</v>
          </cell>
          <cell r="F262">
            <v>1339.8</v>
          </cell>
          <cell r="G262">
            <v>0</v>
          </cell>
          <cell r="H262">
            <v>75</v>
          </cell>
          <cell r="I262">
            <v>0</v>
          </cell>
          <cell r="J262">
            <v>0</v>
          </cell>
          <cell r="K262">
            <v>0</v>
          </cell>
          <cell r="L262">
            <v>0</v>
          </cell>
          <cell r="M262">
            <v>0</v>
          </cell>
          <cell r="N262">
            <v>0</v>
          </cell>
          <cell r="O262">
            <v>0</v>
          </cell>
          <cell r="P262">
            <v>0</v>
          </cell>
          <cell r="Q262">
            <v>35</v>
          </cell>
          <cell r="R262">
            <v>0</v>
          </cell>
          <cell r="S262">
            <v>0</v>
          </cell>
          <cell r="T262">
            <v>0</v>
          </cell>
          <cell r="U262">
            <v>0</v>
          </cell>
          <cell r="V262">
            <v>1449.8</v>
          </cell>
          <cell r="W262">
            <v>1414.8</v>
          </cell>
        </row>
        <row r="263">
          <cell r="A263" t="str">
            <v>Perdue Farms – Edwardsport Rd.</v>
          </cell>
          <cell r="B263">
            <v>7</v>
          </cell>
          <cell r="C263">
            <v>37438</v>
          </cell>
          <cell r="D263">
            <v>37438</v>
          </cell>
          <cell r="E263">
            <v>2800</v>
          </cell>
          <cell r="F263">
            <v>1136.8</v>
          </cell>
          <cell r="G263">
            <v>0</v>
          </cell>
          <cell r="H263">
            <v>75</v>
          </cell>
          <cell r="I263">
            <v>0</v>
          </cell>
          <cell r="J263">
            <v>0</v>
          </cell>
          <cell r="K263">
            <v>0</v>
          </cell>
          <cell r="L263">
            <v>0</v>
          </cell>
          <cell r="M263">
            <v>0</v>
          </cell>
          <cell r="N263">
            <v>0</v>
          </cell>
          <cell r="O263">
            <v>0</v>
          </cell>
          <cell r="P263">
            <v>0</v>
          </cell>
          <cell r="Q263">
            <v>35</v>
          </cell>
          <cell r="R263">
            <v>0</v>
          </cell>
          <cell r="S263">
            <v>0</v>
          </cell>
          <cell r="T263">
            <v>0</v>
          </cell>
          <cell r="U263">
            <v>0</v>
          </cell>
          <cell r="V263">
            <v>1246.8</v>
          </cell>
          <cell r="W263">
            <v>1211.8</v>
          </cell>
        </row>
        <row r="264">
          <cell r="A264" t="str">
            <v>Perdue Farms – Edwardsport Rd.</v>
          </cell>
          <cell r="B264">
            <v>7</v>
          </cell>
          <cell r="C264">
            <v>37469</v>
          </cell>
          <cell r="D264">
            <v>37469</v>
          </cell>
          <cell r="E264">
            <v>2764</v>
          </cell>
          <cell r="F264">
            <v>1122.18</v>
          </cell>
          <cell r="G264">
            <v>0</v>
          </cell>
          <cell r="H264">
            <v>75</v>
          </cell>
          <cell r="I264">
            <v>0</v>
          </cell>
          <cell r="J264">
            <v>0</v>
          </cell>
          <cell r="K264">
            <v>0</v>
          </cell>
          <cell r="L264">
            <v>0</v>
          </cell>
          <cell r="M264">
            <v>0</v>
          </cell>
          <cell r="N264">
            <v>0</v>
          </cell>
          <cell r="O264">
            <v>0</v>
          </cell>
          <cell r="P264">
            <v>0</v>
          </cell>
          <cell r="Q264">
            <v>35</v>
          </cell>
          <cell r="R264">
            <v>0</v>
          </cell>
          <cell r="S264">
            <v>0</v>
          </cell>
          <cell r="T264">
            <v>0</v>
          </cell>
          <cell r="U264">
            <v>0</v>
          </cell>
          <cell r="V264">
            <v>1232.18</v>
          </cell>
          <cell r="W264">
            <v>1197.18</v>
          </cell>
        </row>
        <row r="265">
          <cell r="A265" t="str">
            <v>Perdue Farms – Edwardsport Rd.</v>
          </cell>
          <cell r="B265">
            <v>7</v>
          </cell>
          <cell r="C265">
            <v>37500</v>
          </cell>
          <cell r="D265">
            <v>37500</v>
          </cell>
          <cell r="E265">
            <v>5000</v>
          </cell>
          <cell r="F265">
            <v>2030</v>
          </cell>
          <cell r="G265">
            <v>0</v>
          </cell>
          <cell r="H265">
            <v>75</v>
          </cell>
          <cell r="I265">
            <v>0</v>
          </cell>
          <cell r="J265">
            <v>0</v>
          </cell>
          <cell r="K265">
            <v>0</v>
          </cell>
          <cell r="L265">
            <v>0</v>
          </cell>
          <cell r="M265">
            <v>0</v>
          </cell>
          <cell r="N265">
            <v>0</v>
          </cell>
          <cell r="O265">
            <v>0</v>
          </cell>
          <cell r="P265">
            <v>0</v>
          </cell>
          <cell r="Q265">
            <v>35</v>
          </cell>
          <cell r="R265">
            <v>0</v>
          </cell>
          <cell r="S265">
            <v>0</v>
          </cell>
          <cell r="T265">
            <v>0</v>
          </cell>
          <cell r="U265">
            <v>0</v>
          </cell>
          <cell r="V265">
            <v>2140</v>
          </cell>
          <cell r="W265">
            <v>2105</v>
          </cell>
        </row>
        <row r="266">
          <cell r="A266" t="str">
            <v>Perdue Farms – Edwardsport Rd.</v>
          </cell>
          <cell r="B266">
            <v>7</v>
          </cell>
          <cell r="C266">
            <v>37530</v>
          </cell>
          <cell r="D266">
            <v>37530</v>
          </cell>
          <cell r="E266">
            <v>6750</v>
          </cell>
          <cell r="F266">
            <v>2740.5</v>
          </cell>
          <cell r="G266">
            <v>0</v>
          </cell>
          <cell r="H266">
            <v>75</v>
          </cell>
          <cell r="I266">
            <v>0</v>
          </cell>
          <cell r="J266">
            <v>0</v>
          </cell>
          <cell r="K266">
            <v>0</v>
          </cell>
          <cell r="L266">
            <v>0</v>
          </cell>
          <cell r="M266">
            <v>0</v>
          </cell>
          <cell r="N266">
            <v>0</v>
          </cell>
          <cell r="O266">
            <v>0</v>
          </cell>
          <cell r="P266">
            <v>0</v>
          </cell>
          <cell r="Q266">
            <v>35</v>
          </cell>
          <cell r="R266">
            <v>0</v>
          </cell>
          <cell r="S266">
            <v>0</v>
          </cell>
          <cell r="T266">
            <v>0</v>
          </cell>
          <cell r="U266">
            <v>0</v>
          </cell>
          <cell r="V266">
            <v>2850.5</v>
          </cell>
          <cell r="W266">
            <v>2815.5</v>
          </cell>
        </row>
        <row r="267">
          <cell r="A267" t="str">
            <v>Perdue Farms – Edwardsport Rd.</v>
          </cell>
          <cell r="B267">
            <v>7</v>
          </cell>
          <cell r="C267">
            <v>37561</v>
          </cell>
          <cell r="D267">
            <v>37561</v>
          </cell>
          <cell r="E267">
            <v>7254</v>
          </cell>
          <cell r="F267">
            <v>2945.12</v>
          </cell>
          <cell r="G267">
            <v>0</v>
          </cell>
          <cell r="H267">
            <v>75</v>
          </cell>
          <cell r="I267">
            <v>0</v>
          </cell>
          <cell r="J267">
            <v>0</v>
          </cell>
          <cell r="K267">
            <v>0</v>
          </cell>
          <cell r="L267">
            <v>0</v>
          </cell>
          <cell r="M267">
            <v>0</v>
          </cell>
          <cell r="N267">
            <v>0</v>
          </cell>
          <cell r="O267">
            <v>0</v>
          </cell>
          <cell r="P267">
            <v>0</v>
          </cell>
          <cell r="Q267">
            <v>35</v>
          </cell>
          <cell r="R267">
            <v>0</v>
          </cell>
          <cell r="S267">
            <v>0</v>
          </cell>
          <cell r="T267">
            <v>0</v>
          </cell>
          <cell r="U267">
            <v>0</v>
          </cell>
          <cell r="V267">
            <v>3055.12</v>
          </cell>
          <cell r="W267">
            <v>3020.12</v>
          </cell>
        </row>
        <row r="268">
          <cell r="A268" t="str">
            <v>Perdue Farms – Edwardsport Rd.</v>
          </cell>
          <cell r="B268">
            <v>7</v>
          </cell>
          <cell r="C268">
            <v>37591</v>
          </cell>
          <cell r="D268">
            <v>37591</v>
          </cell>
          <cell r="E268">
            <v>6070</v>
          </cell>
          <cell r="F268">
            <v>2464.42</v>
          </cell>
          <cell r="G268">
            <v>0</v>
          </cell>
          <cell r="H268">
            <v>75</v>
          </cell>
          <cell r="I268">
            <v>0</v>
          </cell>
          <cell r="J268">
            <v>0</v>
          </cell>
          <cell r="K268">
            <v>0</v>
          </cell>
          <cell r="L268">
            <v>0</v>
          </cell>
          <cell r="M268">
            <v>0</v>
          </cell>
          <cell r="N268">
            <v>0</v>
          </cell>
          <cell r="O268">
            <v>0</v>
          </cell>
          <cell r="P268">
            <v>0</v>
          </cell>
          <cell r="Q268">
            <v>35</v>
          </cell>
          <cell r="R268">
            <v>0</v>
          </cell>
          <cell r="S268">
            <v>0</v>
          </cell>
          <cell r="T268">
            <v>0</v>
          </cell>
          <cell r="U268">
            <v>0</v>
          </cell>
          <cell r="V268">
            <v>2574.42</v>
          </cell>
          <cell r="W268">
            <v>2539.42</v>
          </cell>
        </row>
        <row r="269">
          <cell r="A269" t="str">
            <v>Perdue Farms – Clark Rd.</v>
          </cell>
          <cell r="B269">
            <v>8</v>
          </cell>
          <cell r="C269">
            <v>37257</v>
          </cell>
          <cell r="D269">
            <v>37257</v>
          </cell>
          <cell r="E269">
            <v>10600</v>
          </cell>
          <cell r="F269">
            <v>4303.6000000000004</v>
          </cell>
          <cell r="G269">
            <v>0</v>
          </cell>
          <cell r="H269">
            <v>75</v>
          </cell>
          <cell r="I269">
            <v>0</v>
          </cell>
          <cell r="J269">
            <v>0</v>
          </cell>
          <cell r="K269">
            <v>0</v>
          </cell>
          <cell r="L269">
            <v>0</v>
          </cell>
          <cell r="M269">
            <v>-275.60000000000002</v>
          </cell>
          <cell r="N269">
            <v>10600</v>
          </cell>
          <cell r="O269">
            <v>31.8</v>
          </cell>
          <cell r="P269">
            <v>0</v>
          </cell>
          <cell r="Q269">
            <v>35</v>
          </cell>
          <cell r="R269">
            <v>0</v>
          </cell>
          <cell r="S269">
            <v>0</v>
          </cell>
          <cell r="T269">
            <v>0</v>
          </cell>
          <cell r="U269">
            <v>0</v>
          </cell>
          <cell r="V269">
            <v>4169.8</v>
          </cell>
          <cell r="W269">
            <v>4134.8</v>
          </cell>
        </row>
        <row r="270">
          <cell r="A270" t="str">
            <v>Perdue Farms – Clark Rd.</v>
          </cell>
          <cell r="B270">
            <v>8</v>
          </cell>
          <cell r="C270">
            <v>37288</v>
          </cell>
          <cell r="D270">
            <v>37288</v>
          </cell>
          <cell r="E270">
            <v>8715</v>
          </cell>
          <cell r="F270">
            <v>3538.29</v>
          </cell>
          <cell r="G270">
            <v>0</v>
          </cell>
          <cell r="H270">
            <v>75</v>
          </cell>
          <cell r="I270">
            <v>0</v>
          </cell>
          <cell r="J270">
            <v>0</v>
          </cell>
          <cell r="K270">
            <v>0</v>
          </cell>
          <cell r="L270">
            <v>0</v>
          </cell>
          <cell r="M270">
            <v>34.86</v>
          </cell>
          <cell r="N270">
            <v>8715</v>
          </cell>
          <cell r="O270">
            <v>-8.7100000000000009</v>
          </cell>
          <cell r="P270">
            <v>0</v>
          </cell>
          <cell r="Q270">
            <v>35</v>
          </cell>
          <cell r="R270">
            <v>0</v>
          </cell>
          <cell r="S270">
            <v>0</v>
          </cell>
          <cell r="T270">
            <v>0</v>
          </cell>
          <cell r="U270">
            <v>0</v>
          </cell>
          <cell r="V270">
            <v>3674.44</v>
          </cell>
          <cell r="W270">
            <v>3639.44</v>
          </cell>
        </row>
        <row r="271">
          <cell r="A271" t="str">
            <v>Perdue Farms – Clark Rd.</v>
          </cell>
          <cell r="B271">
            <v>8</v>
          </cell>
          <cell r="C271">
            <v>37316</v>
          </cell>
          <cell r="D271">
            <v>37316</v>
          </cell>
          <cell r="E271">
            <v>7690</v>
          </cell>
          <cell r="F271">
            <v>3122.14</v>
          </cell>
          <cell r="G271">
            <v>0</v>
          </cell>
          <cell r="H271">
            <v>75</v>
          </cell>
          <cell r="I271">
            <v>0</v>
          </cell>
          <cell r="J271">
            <v>0</v>
          </cell>
          <cell r="K271">
            <v>0</v>
          </cell>
          <cell r="L271">
            <v>0</v>
          </cell>
          <cell r="M271">
            <v>30.76</v>
          </cell>
          <cell r="N271">
            <v>7690</v>
          </cell>
          <cell r="O271">
            <v>-7.69</v>
          </cell>
          <cell r="P271">
            <v>0</v>
          </cell>
          <cell r="Q271">
            <v>35</v>
          </cell>
          <cell r="R271">
            <v>0</v>
          </cell>
          <cell r="S271">
            <v>0</v>
          </cell>
          <cell r="T271">
            <v>0</v>
          </cell>
          <cell r="U271">
            <v>0</v>
          </cell>
          <cell r="V271">
            <v>3255.21</v>
          </cell>
          <cell r="W271">
            <v>3220.21</v>
          </cell>
        </row>
        <row r="272">
          <cell r="A272" t="str">
            <v>Perdue Farms – Clark Rd.</v>
          </cell>
          <cell r="B272">
            <v>8</v>
          </cell>
          <cell r="C272">
            <v>37347</v>
          </cell>
          <cell r="D272">
            <v>37347</v>
          </cell>
          <cell r="E272">
            <v>8310</v>
          </cell>
          <cell r="F272">
            <v>3373.86</v>
          </cell>
          <cell r="G272">
            <v>0</v>
          </cell>
          <cell r="H272">
            <v>75</v>
          </cell>
          <cell r="I272">
            <v>0</v>
          </cell>
          <cell r="J272">
            <v>0</v>
          </cell>
          <cell r="K272">
            <v>0</v>
          </cell>
          <cell r="L272">
            <v>0</v>
          </cell>
          <cell r="M272">
            <v>33.24</v>
          </cell>
          <cell r="N272">
            <v>8310</v>
          </cell>
          <cell r="O272">
            <v>-8.31</v>
          </cell>
          <cell r="P272">
            <v>0</v>
          </cell>
          <cell r="Q272">
            <v>35</v>
          </cell>
          <cell r="R272">
            <v>0</v>
          </cell>
          <cell r="S272">
            <v>0</v>
          </cell>
          <cell r="T272">
            <v>0</v>
          </cell>
          <cell r="U272">
            <v>0</v>
          </cell>
          <cell r="V272">
            <v>3508.79</v>
          </cell>
          <cell r="W272">
            <v>3473.79</v>
          </cell>
        </row>
        <row r="273">
          <cell r="A273" t="str">
            <v>Perdue Farms – Clark Rd.</v>
          </cell>
          <cell r="B273">
            <v>8</v>
          </cell>
          <cell r="C273">
            <v>37377</v>
          </cell>
          <cell r="D273">
            <v>37377</v>
          </cell>
          <cell r="E273">
            <v>6800</v>
          </cell>
          <cell r="F273">
            <v>2760.8</v>
          </cell>
          <cell r="G273">
            <v>0</v>
          </cell>
          <cell r="H273">
            <v>75</v>
          </cell>
          <cell r="I273">
            <v>0</v>
          </cell>
          <cell r="J273">
            <v>0</v>
          </cell>
          <cell r="K273">
            <v>0</v>
          </cell>
          <cell r="L273">
            <v>0</v>
          </cell>
          <cell r="M273">
            <v>0</v>
          </cell>
          <cell r="N273">
            <v>0</v>
          </cell>
          <cell r="O273">
            <v>0</v>
          </cell>
          <cell r="P273">
            <v>0</v>
          </cell>
          <cell r="Q273">
            <v>35</v>
          </cell>
          <cell r="R273">
            <v>0</v>
          </cell>
          <cell r="S273">
            <v>0</v>
          </cell>
          <cell r="T273">
            <v>0</v>
          </cell>
          <cell r="U273">
            <v>0</v>
          </cell>
          <cell r="V273">
            <v>2870.8</v>
          </cell>
          <cell r="W273">
            <v>2835.8</v>
          </cell>
        </row>
        <row r="274">
          <cell r="A274" t="str">
            <v>Perdue Farms – Clark Rd.</v>
          </cell>
          <cell r="B274">
            <v>8</v>
          </cell>
          <cell r="C274">
            <v>37408</v>
          </cell>
          <cell r="D274">
            <v>37408</v>
          </cell>
          <cell r="E274">
            <v>7500</v>
          </cell>
          <cell r="F274">
            <v>3045</v>
          </cell>
          <cell r="G274">
            <v>0</v>
          </cell>
          <cell r="H274">
            <v>75</v>
          </cell>
          <cell r="I274">
            <v>0</v>
          </cell>
          <cell r="J274">
            <v>0</v>
          </cell>
          <cell r="K274">
            <v>0</v>
          </cell>
          <cell r="L274">
            <v>0</v>
          </cell>
          <cell r="M274">
            <v>0</v>
          </cell>
          <cell r="N274">
            <v>0</v>
          </cell>
          <cell r="O274">
            <v>0</v>
          </cell>
          <cell r="P274">
            <v>0</v>
          </cell>
          <cell r="Q274">
            <v>35</v>
          </cell>
          <cell r="R274">
            <v>0</v>
          </cell>
          <cell r="S274">
            <v>0</v>
          </cell>
          <cell r="T274">
            <v>0</v>
          </cell>
          <cell r="U274">
            <v>0</v>
          </cell>
          <cell r="V274">
            <v>3155</v>
          </cell>
          <cell r="W274">
            <v>3120</v>
          </cell>
        </row>
        <row r="275">
          <cell r="A275" t="str">
            <v>Perdue Farms – Clark Rd.</v>
          </cell>
          <cell r="B275">
            <v>8</v>
          </cell>
          <cell r="C275">
            <v>37438</v>
          </cell>
          <cell r="D275">
            <v>37438</v>
          </cell>
          <cell r="E275">
            <v>6600</v>
          </cell>
          <cell r="F275">
            <v>2679.6</v>
          </cell>
          <cell r="G275">
            <v>0</v>
          </cell>
          <cell r="H275">
            <v>75</v>
          </cell>
          <cell r="I275">
            <v>0</v>
          </cell>
          <cell r="J275">
            <v>0</v>
          </cell>
          <cell r="K275">
            <v>0</v>
          </cell>
          <cell r="L275">
            <v>0</v>
          </cell>
          <cell r="M275">
            <v>0</v>
          </cell>
          <cell r="N275">
            <v>0</v>
          </cell>
          <cell r="O275">
            <v>0</v>
          </cell>
          <cell r="P275">
            <v>0</v>
          </cell>
          <cell r="Q275">
            <v>35</v>
          </cell>
          <cell r="R275">
            <v>0</v>
          </cell>
          <cell r="S275">
            <v>0</v>
          </cell>
          <cell r="T275">
            <v>0</v>
          </cell>
          <cell r="U275">
            <v>0</v>
          </cell>
          <cell r="V275">
            <v>2789.6</v>
          </cell>
          <cell r="W275">
            <v>2754.6</v>
          </cell>
        </row>
        <row r="276">
          <cell r="A276" t="str">
            <v>Perdue Farms – Clark Rd.</v>
          </cell>
          <cell r="B276">
            <v>8</v>
          </cell>
          <cell r="C276">
            <v>37469</v>
          </cell>
          <cell r="D276">
            <v>37469</v>
          </cell>
          <cell r="E276">
            <v>4800</v>
          </cell>
          <cell r="F276">
            <v>1948.8</v>
          </cell>
          <cell r="G276">
            <v>0</v>
          </cell>
          <cell r="H276">
            <v>75</v>
          </cell>
          <cell r="I276">
            <v>0</v>
          </cell>
          <cell r="J276">
            <v>0</v>
          </cell>
          <cell r="K276">
            <v>0</v>
          </cell>
          <cell r="L276">
            <v>0</v>
          </cell>
          <cell r="M276">
            <v>0</v>
          </cell>
          <cell r="N276">
            <v>0</v>
          </cell>
          <cell r="O276">
            <v>0</v>
          </cell>
          <cell r="P276">
            <v>0</v>
          </cell>
          <cell r="Q276">
            <v>35</v>
          </cell>
          <cell r="R276">
            <v>0</v>
          </cell>
          <cell r="S276">
            <v>0</v>
          </cell>
          <cell r="T276">
            <v>0</v>
          </cell>
          <cell r="U276">
            <v>0</v>
          </cell>
          <cell r="V276">
            <v>2058.8000000000002</v>
          </cell>
          <cell r="W276">
            <v>2023.8</v>
          </cell>
        </row>
        <row r="277">
          <cell r="A277" t="str">
            <v>Perdue Farms – Clark Rd.</v>
          </cell>
          <cell r="B277">
            <v>8</v>
          </cell>
          <cell r="C277">
            <v>37500</v>
          </cell>
          <cell r="D277">
            <v>37500</v>
          </cell>
          <cell r="E277">
            <v>7800</v>
          </cell>
          <cell r="F277">
            <v>3166.8</v>
          </cell>
          <cell r="G277">
            <v>0</v>
          </cell>
          <cell r="H277">
            <v>75</v>
          </cell>
          <cell r="I277">
            <v>0</v>
          </cell>
          <cell r="J277">
            <v>0</v>
          </cell>
          <cell r="K277">
            <v>0</v>
          </cell>
          <cell r="L277">
            <v>0</v>
          </cell>
          <cell r="M277">
            <v>0</v>
          </cell>
          <cell r="N277">
            <v>0</v>
          </cell>
          <cell r="O277">
            <v>0</v>
          </cell>
          <cell r="P277">
            <v>0</v>
          </cell>
          <cell r="Q277">
            <v>35</v>
          </cell>
          <cell r="R277">
            <v>0</v>
          </cell>
          <cell r="S277">
            <v>0</v>
          </cell>
          <cell r="T277">
            <v>0</v>
          </cell>
          <cell r="U277">
            <v>0</v>
          </cell>
          <cell r="V277">
            <v>3276.8</v>
          </cell>
          <cell r="W277">
            <v>3241.8</v>
          </cell>
        </row>
        <row r="278">
          <cell r="A278" t="str">
            <v>Perdue Farms – Clark Rd.</v>
          </cell>
          <cell r="B278">
            <v>8</v>
          </cell>
          <cell r="C278">
            <v>37530</v>
          </cell>
          <cell r="D278">
            <v>37530</v>
          </cell>
          <cell r="E278">
            <v>10210</v>
          </cell>
          <cell r="F278">
            <v>4145.26</v>
          </cell>
          <cell r="G278">
            <v>0</v>
          </cell>
          <cell r="H278">
            <v>75</v>
          </cell>
          <cell r="I278">
            <v>0</v>
          </cell>
          <cell r="J278">
            <v>0</v>
          </cell>
          <cell r="K278">
            <v>0</v>
          </cell>
          <cell r="L278">
            <v>0</v>
          </cell>
          <cell r="M278">
            <v>0</v>
          </cell>
          <cell r="N278">
            <v>0</v>
          </cell>
          <cell r="O278">
            <v>0</v>
          </cell>
          <cell r="P278">
            <v>0</v>
          </cell>
          <cell r="Q278">
            <v>35</v>
          </cell>
          <cell r="R278">
            <v>0</v>
          </cell>
          <cell r="S278">
            <v>0</v>
          </cell>
          <cell r="T278">
            <v>0</v>
          </cell>
          <cell r="U278">
            <v>0</v>
          </cell>
          <cell r="V278">
            <v>4255.26</v>
          </cell>
          <cell r="W278">
            <v>4220.26</v>
          </cell>
        </row>
        <row r="279">
          <cell r="A279" t="str">
            <v>Perdue Farms – Clark Rd.</v>
          </cell>
          <cell r="B279">
            <v>8</v>
          </cell>
          <cell r="C279">
            <v>37561</v>
          </cell>
          <cell r="D279">
            <v>37561</v>
          </cell>
          <cell r="E279">
            <v>11237</v>
          </cell>
          <cell r="F279">
            <v>4562.22</v>
          </cell>
          <cell r="G279">
            <v>0</v>
          </cell>
          <cell r="H279">
            <v>75</v>
          </cell>
          <cell r="I279">
            <v>0</v>
          </cell>
          <cell r="J279">
            <v>0</v>
          </cell>
          <cell r="K279">
            <v>0</v>
          </cell>
          <cell r="L279">
            <v>0</v>
          </cell>
          <cell r="M279">
            <v>0</v>
          </cell>
          <cell r="N279">
            <v>0</v>
          </cell>
          <cell r="O279">
            <v>0</v>
          </cell>
          <cell r="P279">
            <v>0</v>
          </cell>
          <cell r="Q279">
            <v>35</v>
          </cell>
          <cell r="R279">
            <v>0</v>
          </cell>
          <cell r="S279">
            <v>0</v>
          </cell>
          <cell r="T279">
            <v>0</v>
          </cell>
          <cell r="U279">
            <v>0</v>
          </cell>
          <cell r="V279">
            <v>4672.22</v>
          </cell>
          <cell r="W279">
            <v>4637.22</v>
          </cell>
        </row>
        <row r="280">
          <cell r="A280" t="str">
            <v>Perdue Farms – Clark Rd.</v>
          </cell>
          <cell r="B280">
            <v>8</v>
          </cell>
          <cell r="C280">
            <v>37591</v>
          </cell>
          <cell r="D280">
            <v>37591</v>
          </cell>
          <cell r="E280">
            <v>13110</v>
          </cell>
          <cell r="F280">
            <v>5322.66</v>
          </cell>
          <cell r="G280">
            <v>0</v>
          </cell>
          <cell r="H280">
            <v>75</v>
          </cell>
          <cell r="I280">
            <v>0</v>
          </cell>
          <cell r="J280">
            <v>0</v>
          </cell>
          <cell r="K280">
            <v>0</v>
          </cell>
          <cell r="L280">
            <v>0</v>
          </cell>
          <cell r="M280">
            <v>0</v>
          </cell>
          <cell r="N280">
            <v>0</v>
          </cell>
          <cell r="O280">
            <v>0</v>
          </cell>
          <cell r="P280">
            <v>0</v>
          </cell>
          <cell r="Q280">
            <v>35</v>
          </cell>
          <cell r="R280">
            <v>0</v>
          </cell>
          <cell r="S280">
            <v>0</v>
          </cell>
          <cell r="T280">
            <v>0</v>
          </cell>
          <cell r="U280">
            <v>0</v>
          </cell>
          <cell r="V280">
            <v>5432.66</v>
          </cell>
          <cell r="W280">
            <v>5397.66</v>
          </cell>
        </row>
        <row r="281">
          <cell r="A281" t="str">
            <v>Mid-States Rubber Products</v>
          </cell>
          <cell r="B281">
            <v>10</v>
          </cell>
          <cell r="C281">
            <v>37257</v>
          </cell>
          <cell r="D281">
            <v>37257</v>
          </cell>
          <cell r="E281">
            <v>3856</v>
          </cell>
          <cell r="F281">
            <v>1565.54</v>
          </cell>
          <cell r="G281">
            <v>0</v>
          </cell>
          <cell r="H281">
            <v>75</v>
          </cell>
          <cell r="I281">
            <v>0</v>
          </cell>
          <cell r="J281">
            <v>0</v>
          </cell>
          <cell r="K281">
            <v>0</v>
          </cell>
          <cell r="L281">
            <v>0</v>
          </cell>
          <cell r="M281">
            <v>-100.26</v>
          </cell>
          <cell r="N281">
            <v>3856</v>
          </cell>
          <cell r="O281">
            <v>11.57</v>
          </cell>
          <cell r="P281">
            <v>0</v>
          </cell>
          <cell r="Q281">
            <v>35</v>
          </cell>
          <cell r="R281">
            <v>0</v>
          </cell>
          <cell r="S281">
            <v>0</v>
          </cell>
          <cell r="T281">
            <v>0</v>
          </cell>
          <cell r="U281">
            <v>0</v>
          </cell>
          <cell r="V281">
            <v>1586.85</v>
          </cell>
          <cell r="W281">
            <v>1551.85</v>
          </cell>
        </row>
        <row r="282">
          <cell r="A282" t="str">
            <v>Mid-States Rubber Products</v>
          </cell>
          <cell r="B282">
            <v>10</v>
          </cell>
          <cell r="C282">
            <v>37288</v>
          </cell>
          <cell r="D282">
            <v>37288</v>
          </cell>
          <cell r="E282">
            <v>4241</v>
          </cell>
          <cell r="F282">
            <v>1721.85</v>
          </cell>
          <cell r="G282">
            <v>0</v>
          </cell>
          <cell r="H282">
            <v>75</v>
          </cell>
          <cell r="I282">
            <v>0</v>
          </cell>
          <cell r="J282">
            <v>0</v>
          </cell>
          <cell r="K282">
            <v>0</v>
          </cell>
          <cell r="L282">
            <v>0</v>
          </cell>
          <cell r="M282">
            <v>15.66</v>
          </cell>
          <cell r="N282">
            <v>3916</v>
          </cell>
          <cell r="O282">
            <v>-3.92</v>
          </cell>
          <cell r="P282">
            <v>0</v>
          </cell>
          <cell r="Q282">
            <v>35</v>
          </cell>
          <cell r="R282">
            <v>41.13000000000001</v>
          </cell>
          <cell r="S282">
            <v>10956.41</v>
          </cell>
          <cell r="T282">
            <v>325</v>
          </cell>
          <cell r="U282">
            <v>10956.41</v>
          </cell>
          <cell r="V282">
            <v>12841.129999999997</v>
          </cell>
          <cell r="W282">
            <v>1808.5900000000001</v>
          </cell>
        </row>
        <row r="283">
          <cell r="A283" t="str">
            <v>Mid-States Rubber Products</v>
          </cell>
          <cell r="B283">
            <v>10</v>
          </cell>
          <cell r="C283">
            <v>37316</v>
          </cell>
          <cell r="D283">
            <v>37316</v>
          </cell>
          <cell r="E283">
            <v>3930</v>
          </cell>
          <cell r="F283">
            <v>1595.58</v>
          </cell>
          <cell r="G283">
            <v>0</v>
          </cell>
          <cell r="H283">
            <v>75</v>
          </cell>
          <cell r="I283">
            <v>0</v>
          </cell>
          <cell r="J283">
            <v>0</v>
          </cell>
          <cell r="K283">
            <v>0</v>
          </cell>
          <cell r="L283">
            <v>0</v>
          </cell>
          <cell r="M283">
            <v>15.72</v>
          </cell>
          <cell r="N283">
            <v>3930</v>
          </cell>
          <cell r="O283">
            <v>-3.93</v>
          </cell>
          <cell r="P283">
            <v>0</v>
          </cell>
          <cell r="Q283">
            <v>35</v>
          </cell>
          <cell r="R283">
            <v>0</v>
          </cell>
          <cell r="S283">
            <v>0</v>
          </cell>
          <cell r="T283">
            <v>0</v>
          </cell>
          <cell r="U283">
            <v>0</v>
          </cell>
          <cell r="V283">
            <v>1717.37</v>
          </cell>
          <cell r="W283">
            <v>1682.37</v>
          </cell>
        </row>
        <row r="284">
          <cell r="A284" t="str">
            <v>Mid-States Rubber Products</v>
          </cell>
          <cell r="B284">
            <v>10</v>
          </cell>
          <cell r="C284">
            <v>37347</v>
          </cell>
          <cell r="D284">
            <v>37347</v>
          </cell>
          <cell r="E284">
            <v>3651</v>
          </cell>
          <cell r="F284">
            <v>1482.31</v>
          </cell>
          <cell r="G284">
            <v>0</v>
          </cell>
          <cell r="H284">
            <v>75</v>
          </cell>
          <cell r="I284">
            <v>0</v>
          </cell>
          <cell r="J284">
            <v>0</v>
          </cell>
          <cell r="K284">
            <v>0</v>
          </cell>
          <cell r="L284">
            <v>0</v>
          </cell>
          <cell r="M284">
            <v>14.6</v>
          </cell>
          <cell r="N284">
            <v>3651</v>
          </cell>
          <cell r="O284">
            <v>-3.65</v>
          </cell>
          <cell r="P284">
            <v>0</v>
          </cell>
          <cell r="Q284">
            <v>35</v>
          </cell>
          <cell r="R284">
            <v>0</v>
          </cell>
          <cell r="S284">
            <v>0</v>
          </cell>
          <cell r="T284">
            <v>0</v>
          </cell>
          <cell r="U284">
            <v>0</v>
          </cell>
          <cell r="V284">
            <v>1603.26</v>
          </cell>
          <cell r="W284">
            <v>1568.26</v>
          </cell>
        </row>
        <row r="285">
          <cell r="A285" t="str">
            <v>Mid-States Rubber Products</v>
          </cell>
          <cell r="B285">
            <v>10</v>
          </cell>
          <cell r="C285">
            <v>37377</v>
          </cell>
          <cell r="D285">
            <v>37377</v>
          </cell>
          <cell r="E285">
            <v>2760</v>
          </cell>
          <cell r="F285">
            <v>1120.56</v>
          </cell>
          <cell r="G285">
            <v>0</v>
          </cell>
          <cell r="H285">
            <v>75</v>
          </cell>
          <cell r="I285">
            <v>0</v>
          </cell>
          <cell r="J285">
            <v>0</v>
          </cell>
          <cell r="K285">
            <v>0</v>
          </cell>
          <cell r="L285">
            <v>0</v>
          </cell>
          <cell r="M285">
            <v>0</v>
          </cell>
          <cell r="N285">
            <v>0</v>
          </cell>
          <cell r="O285">
            <v>0</v>
          </cell>
          <cell r="P285">
            <v>0</v>
          </cell>
          <cell r="Q285">
            <v>35</v>
          </cell>
          <cell r="R285">
            <v>0</v>
          </cell>
          <cell r="S285">
            <v>0</v>
          </cell>
          <cell r="T285">
            <v>0</v>
          </cell>
          <cell r="U285">
            <v>0</v>
          </cell>
          <cell r="V285">
            <v>1230.56</v>
          </cell>
          <cell r="W285">
            <v>1195.56</v>
          </cell>
        </row>
        <row r="286">
          <cell r="A286" t="str">
            <v>Mid-States Rubber Products</v>
          </cell>
          <cell r="B286">
            <v>10</v>
          </cell>
          <cell r="C286">
            <v>37408</v>
          </cell>
          <cell r="D286">
            <v>37408</v>
          </cell>
          <cell r="E286">
            <v>1920</v>
          </cell>
          <cell r="F286">
            <v>779.52</v>
          </cell>
          <cell r="G286">
            <v>0</v>
          </cell>
          <cell r="H286">
            <v>75</v>
          </cell>
          <cell r="I286">
            <v>0</v>
          </cell>
          <cell r="J286">
            <v>0</v>
          </cell>
          <cell r="K286">
            <v>0</v>
          </cell>
          <cell r="L286">
            <v>0</v>
          </cell>
          <cell r="M286">
            <v>0</v>
          </cell>
          <cell r="N286">
            <v>0</v>
          </cell>
          <cell r="O286">
            <v>0</v>
          </cell>
          <cell r="P286">
            <v>0</v>
          </cell>
          <cell r="Q286">
            <v>35</v>
          </cell>
          <cell r="R286">
            <v>0</v>
          </cell>
          <cell r="S286">
            <v>0</v>
          </cell>
          <cell r="T286">
            <v>0</v>
          </cell>
          <cell r="U286">
            <v>0</v>
          </cell>
          <cell r="V286">
            <v>889.52</v>
          </cell>
          <cell r="W286">
            <v>854.52</v>
          </cell>
        </row>
        <row r="287">
          <cell r="A287" t="str">
            <v>Mid-States Rubber Products</v>
          </cell>
          <cell r="B287">
            <v>10</v>
          </cell>
          <cell r="C287">
            <v>37438</v>
          </cell>
          <cell r="D287">
            <v>37438</v>
          </cell>
          <cell r="E287">
            <v>2305</v>
          </cell>
          <cell r="F287">
            <v>935.83</v>
          </cell>
          <cell r="G287">
            <v>0</v>
          </cell>
          <cell r="H287">
            <v>75</v>
          </cell>
          <cell r="I287">
            <v>0</v>
          </cell>
          <cell r="J287">
            <v>0</v>
          </cell>
          <cell r="K287">
            <v>0</v>
          </cell>
          <cell r="L287">
            <v>0</v>
          </cell>
          <cell r="M287">
            <v>0</v>
          </cell>
          <cell r="N287">
            <v>0</v>
          </cell>
          <cell r="O287">
            <v>0</v>
          </cell>
          <cell r="P287">
            <v>0</v>
          </cell>
          <cell r="Q287">
            <v>35</v>
          </cell>
          <cell r="R287">
            <v>0</v>
          </cell>
          <cell r="S287">
            <v>889.52</v>
          </cell>
          <cell r="T287">
            <v>0</v>
          </cell>
          <cell r="U287">
            <v>0</v>
          </cell>
          <cell r="V287">
            <v>1935.35</v>
          </cell>
          <cell r="W287">
            <v>1010.83</v>
          </cell>
        </row>
        <row r="288">
          <cell r="A288" t="str">
            <v>Mid-States Rubber Products</v>
          </cell>
          <cell r="B288">
            <v>10</v>
          </cell>
          <cell r="C288">
            <v>37469</v>
          </cell>
          <cell r="D288">
            <v>37469</v>
          </cell>
          <cell r="E288">
            <v>2300</v>
          </cell>
          <cell r="F288">
            <v>933.8</v>
          </cell>
          <cell r="G288">
            <v>0</v>
          </cell>
          <cell r="H288">
            <v>75</v>
          </cell>
          <cell r="I288">
            <v>0</v>
          </cell>
          <cell r="J288">
            <v>0</v>
          </cell>
          <cell r="K288">
            <v>0</v>
          </cell>
          <cell r="L288">
            <v>0</v>
          </cell>
          <cell r="M288">
            <v>0</v>
          </cell>
          <cell r="N288">
            <v>0</v>
          </cell>
          <cell r="O288">
            <v>0</v>
          </cell>
          <cell r="P288">
            <v>0</v>
          </cell>
          <cell r="Q288">
            <v>35</v>
          </cell>
          <cell r="R288">
            <v>0</v>
          </cell>
          <cell r="S288">
            <v>0</v>
          </cell>
          <cell r="T288">
            <v>0</v>
          </cell>
          <cell r="U288">
            <v>0</v>
          </cell>
          <cell r="V288">
            <v>1043.8</v>
          </cell>
          <cell r="W288">
            <v>1008.8</v>
          </cell>
        </row>
        <row r="289">
          <cell r="A289" t="str">
            <v>Mid-States Rubber Products</v>
          </cell>
          <cell r="B289">
            <v>10</v>
          </cell>
          <cell r="C289">
            <v>37500</v>
          </cell>
          <cell r="D289">
            <v>37500</v>
          </cell>
          <cell r="E289">
            <v>2370</v>
          </cell>
          <cell r="F289">
            <v>962.22</v>
          </cell>
          <cell r="G289">
            <v>0</v>
          </cell>
          <cell r="H289">
            <v>75</v>
          </cell>
          <cell r="I289">
            <v>0</v>
          </cell>
          <cell r="J289">
            <v>0</v>
          </cell>
          <cell r="K289">
            <v>0</v>
          </cell>
          <cell r="L289">
            <v>0</v>
          </cell>
          <cell r="M289">
            <v>0</v>
          </cell>
          <cell r="N289">
            <v>0</v>
          </cell>
          <cell r="O289">
            <v>0</v>
          </cell>
          <cell r="P289">
            <v>0</v>
          </cell>
          <cell r="Q289">
            <v>35</v>
          </cell>
          <cell r="R289">
            <v>0</v>
          </cell>
          <cell r="S289">
            <v>0</v>
          </cell>
          <cell r="T289">
            <v>0</v>
          </cell>
          <cell r="U289">
            <v>0</v>
          </cell>
          <cell r="V289">
            <v>1072.22</v>
          </cell>
          <cell r="W289">
            <v>1037.22</v>
          </cell>
        </row>
        <row r="290">
          <cell r="A290" t="str">
            <v>Mid-States Rubber Products</v>
          </cell>
          <cell r="B290">
            <v>10</v>
          </cell>
          <cell r="C290">
            <v>37530</v>
          </cell>
          <cell r="D290">
            <v>37530</v>
          </cell>
          <cell r="E290">
            <v>3360</v>
          </cell>
          <cell r="F290">
            <v>1364.16</v>
          </cell>
          <cell r="G290">
            <v>0</v>
          </cell>
          <cell r="H290">
            <v>75</v>
          </cell>
          <cell r="I290">
            <v>0</v>
          </cell>
          <cell r="J290">
            <v>0</v>
          </cell>
          <cell r="K290">
            <v>0</v>
          </cell>
          <cell r="L290">
            <v>0</v>
          </cell>
          <cell r="M290">
            <v>0</v>
          </cell>
          <cell r="N290">
            <v>0</v>
          </cell>
          <cell r="O290">
            <v>0</v>
          </cell>
          <cell r="P290">
            <v>0</v>
          </cell>
          <cell r="Q290">
            <v>35</v>
          </cell>
          <cell r="R290">
            <v>0</v>
          </cell>
          <cell r="S290">
            <v>0</v>
          </cell>
          <cell r="T290">
            <v>0</v>
          </cell>
          <cell r="U290">
            <v>0</v>
          </cell>
          <cell r="V290">
            <v>1474.16</v>
          </cell>
          <cell r="W290">
            <v>1439.16</v>
          </cell>
        </row>
        <row r="291">
          <cell r="A291" t="str">
            <v>Mid-States Rubber Products</v>
          </cell>
          <cell r="B291">
            <v>10</v>
          </cell>
          <cell r="C291">
            <v>37561</v>
          </cell>
          <cell r="D291">
            <v>37561</v>
          </cell>
          <cell r="E291">
            <v>4375</v>
          </cell>
          <cell r="F291">
            <v>1776.25</v>
          </cell>
          <cell r="G291">
            <v>0</v>
          </cell>
          <cell r="H291">
            <v>75</v>
          </cell>
          <cell r="I291">
            <v>0</v>
          </cell>
          <cell r="J291">
            <v>0</v>
          </cell>
          <cell r="K291">
            <v>0</v>
          </cell>
          <cell r="L291">
            <v>0</v>
          </cell>
          <cell r="M291">
            <v>0</v>
          </cell>
          <cell r="N291">
            <v>0</v>
          </cell>
          <cell r="O291">
            <v>0</v>
          </cell>
          <cell r="P291">
            <v>0</v>
          </cell>
          <cell r="Q291">
            <v>35</v>
          </cell>
          <cell r="R291">
            <v>0</v>
          </cell>
          <cell r="S291">
            <v>0</v>
          </cell>
          <cell r="T291">
            <v>0</v>
          </cell>
          <cell r="U291">
            <v>0</v>
          </cell>
          <cell r="V291">
            <v>1886.25</v>
          </cell>
          <cell r="W291">
            <v>1851.25</v>
          </cell>
        </row>
        <row r="292">
          <cell r="A292" t="str">
            <v>Mid-States Rubber Products</v>
          </cell>
          <cell r="B292">
            <v>10</v>
          </cell>
          <cell r="C292">
            <v>37591</v>
          </cell>
          <cell r="D292">
            <v>37591</v>
          </cell>
          <cell r="E292">
            <v>4275</v>
          </cell>
          <cell r="F292">
            <v>1735.65</v>
          </cell>
          <cell r="G292">
            <v>0</v>
          </cell>
          <cell r="H292">
            <v>75</v>
          </cell>
          <cell r="I292">
            <v>0</v>
          </cell>
          <cell r="J292">
            <v>0</v>
          </cell>
          <cell r="K292">
            <v>0</v>
          </cell>
          <cell r="L292">
            <v>0</v>
          </cell>
          <cell r="M292">
            <v>0</v>
          </cell>
          <cell r="N292">
            <v>0</v>
          </cell>
          <cell r="O292">
            <v>0</v>
          </cell>
          <cell r="P292">
            <v>0</v>
          </cell>
          <cell r="Q292">
            <v>35</v>
          </cell>
          <cell r="R292">
            <v>0</v>
          </cell>
          <cell r="S292">
            <v>0</v>
          </cell>
          <cell r="T292">
            <v>0</v>
          </cell>
          <cell r="U292">
            <v>0</v>
          </cell>
          <cell r="V292">
            <v>1845.65</v>
          </cell>
          <cell r="W292">
            <v>1810.65</v>
          </cell>
        </row>
        <row r="293">
          <cell r="A293" t="str">
            <v>St. Mary’s Medical Center, St. Mary's Campus</v>
          </cell>
          <cell r="B293">
            <v>13</v>
          </cell>
          <cell r="C293">
            <v>37257</v>
          </cell>
          <cell r="D293">
            <v>37257</v>
          </cell>
          <cell r="E293">
            <v>13000</v>
          </cell>
          <cell r="F293">
            <v>5278</v>
          </cell>
          <cell r="G293">
            <v>0</v>
          </cell>
          <cell r="H293">
            <v>75</v>
          </cell>
          <cell r="I293">
            <v>0</v>
          </cell>
          <cell r="J293">
            <v>0</v>
          </cell>
          <cell r="K293">
            <v>0</v>
          </cell>
          <cell r="L293">
            <v>0</v>
          </cell>
          <cell r="M293">
            <v>0</v>
          </cell>
          <cell r="N293">
            <v>13000</v>
          </cell>
          <cell r="O293">
            <v>39</v>
          </cell>
          <cell r="P293">
            <v>0</v>
          </cell>
          <cell r="Q293">
            <v>35</v>
          </cell>
          <cell r="R293">
            <v>0</v>
          </cell>
          <cell r="S293">
            <v>0</v>
          </cell>
          <cell r="T293">
            <v>0</v>
          </cell>
          <cell r="U293">
            <v>0</v>
          </cell>
          <cell r="V293">
            <v>5427</v>
          </cell>
          <cell r="W293">
            <v>5392</v>
          </cell>
        </row>
        <row r="294">
          <cell r="A294" t="str">
            <v>St. Mary’s Medical Center, St. Mary's Campus</v>
          </cell>
          <cell r="B294">
            <v>13</v>
          </cell>
          <cell r="C294">
            <v>37288</v>
          </cell>
          <cell r="D294">
            <v>37288</v>
          </cell>
          <cell r="E294">
            <v>12651</v>
          </cell>
          <cell r="F294">
            <v>5136.3100000000004</v>
          </cell>
          <cell r="G294">
            <v>0</v>
          </cell>
          <cell r="H294">
            <v>75</v>
          </cell>
          <cell r="I294">
            <v>0</v>
          </cell>
          <cell r="J294">
            <v>0</v>
          </cell>
          <cell r="K294">
            <v>0</v>
          </cell>
          <cell r="L294">
            <v>0</v>
          </cell>
          <cell r="M294">
            <v>0</v>
          </cell>
          <cell r="N294">
            <v>12651</v>
          </cell>
          <cell r="O294">
            <v>-12.65</v>
          </cell>
          <cell r="P294">
            <v>0</v>
          </cell>
          <cell r="Q294">
            <v>35</v>
          </cell>
          <cell r="R294">
            <v>0</v>
          </cell>
          <cell r="S294">
            <v>0</v>
          </cell>
          <cell r="T294">
            <v>0</v>
          </cell>
          <cell r="U294">
            <v>0</v>
          </cell>
          <cell r="V294">
            <v>5233.66</v>
          </cell>
          <cell r="W294">
            <v>5198.66</v>
          </cell>
        </row>
        <row r="295">
          <cell r="A295" t="str">
            <v>St. Mary’s Medical Center, St. Mary's Campus</v>
          </cell>
          <cell r="B295">
            <v>13</v>
          </cell>
          <cell r="C295">
            <v>37316</v>
          </cell>
          <cell r="D295">
            <v>37316</v>
          </cell>
          <cell r="E295">
            <v>13119</v>
          </cell>
          <cell r="F295">
            <v>5326.31</v>
          </cell>
          <cell r="G295">
            <v>0</v>
          </cell>
          <cell r="H295">
            <v>75</v>
          </cell>
          <cell r="I295">
            <v>0</v>
          </cell>
          <cell r="J295">
            <v>0</v>
          </cell>
          <cell r="K295">
            <v>0</v>
          </cell>
          <cell r="L295">
            <v>0</v>
          </cell>
          <cell r="M295">
            <v>0</v>
          </cell>
          <cell r="N295">
            <v>13119</v>
          </cell>
          <cell r="O295">
            <v>-13.12</v>
          </cell>
          <cell r="P295">
            <v>0</v>
          </cell>
          <cell r="Q295">
            <v>35</v>
          </cell>
          <cell r="R295">
            <v>0</v>
          </cell>
          <cell r="S295">
            <v>0</v>
          </cell>
          <cell r="T295">
            <v>0</v>
          </cell>
          <cell r="U295">
            <v>0</v>
          </cell>
          <cell r="V295">
            <v>5423.19</v>
          </cell>
          <cell r="W295">
            <v>5388.19</v>
          </cell>
        </row>
        <row r="296">
          <cell r="A296" t="str">
            <v>St. Mary’s Medical Center, St. Mary's Campus</v>
          </cell>
          <cell r="B296">
            <v>13</v>
          </cell>
          <cell r="C296">
            <v>37347</v>
          </cell>
          <cell r="D296">
            <v>37347</v>
          </cell>
          <cell r="E296">
            <v>9122</v>
          </cell>
          <cell r="F296">
            <v>3703.53</v>
          </cell>
          <cell r="G296">
            <v>0</v>
          </cell>
          <cell r="H296">
            <v>75</v>
          </cell>
          <cell r="I296">
            <v>0</v>
          </cell>
          <cell r="J296">
            <v>0</v>
          </cell>
          <cell r="K296">
            <v>0</v>
          </cell>
          <cell r="L296">
            <v>0</v>
          </cell>
          <cell r="M296">
            <v>0</v>
          </cell>
          <cell r="N296">
            <v>9122</v>
          </cell>
          <cell r="O296">
            <v>-9.1199999999999992</v>
          </cell>
          <cell r="P296">
            <v>0</v>
          </cell>
          <cell r="Q296">
            <v>35</v>
          </cell>
          <cell r="R296">
            <v>0</v>
          </cell>
          <cell r="S296">
            <v>0</v>
          </cell>
          <cell r="T296">
            <v>0</v>
          </cell>
          <cell r="U296">
            <v>0</v>
          </cell>
          <cell r="V296">
            <v>3804.41</v>
          </cell>
          <cell r="W296">
            <v>3769.41</v>
          </cell>
        </row>
        <row r="297">
          <cell r="A297" t="str">
            <v>St. Mary’s Medical Center, St. Mary's Campus</v>
          </cell>
          <cell r="B297">
            <v>13</v>
          </cell>
          <cell r="C297">
            <v>37377</v>
          </cell>
          <cell r="D297">
            <v>37377</v>
          </cell>
          <cell r="E297">
            <v>9000</v>
          </cell>
          <cell r="F297">
            <v>3654</v>
          </cell>
          <cell r="G297">
            <v>0</v>
          </cell>
          <cell r="H297">
            <v>75</v>
          </cell>
          <cell r="I297">
            <v>0</v>
          </cell>
          <cell r="J297">
            <v>0</v>
          </cell>
          <cell r="K297">
            <v>0</v>
          </cell>
          <cell r="L297">
            <v>0</v>
          </cell>
          <cell r="M297">
            <v>0</v>
          </cell>
          <cell r="N297">
            <v>0</v>
          </cell>
          <cell r="O297">
            <v>0</v>
          </cell>
          <cell r="P297">
            <v>0</v>
          </cell>
          <cell r="Q297">
            <v>35</v>
          </cell>
          <cell r="R297">
            <v>0</v>
          </cell>
          <cell r="S297">
            <v>0</v>
          </cell>
          <cell r="T297">
            <v>0</v>
          </cell>
          <cell r="U297">
            <v>0</v>
          </cell>
          <cell r="V297">
            <v>3764</v>
          </cell>
          <cell r="W297">
            <v>3729</v>
          </cell>
        </row>
        <row r="298">
          <cell r="A298" t="str">
            <v>St. Mary’s Medical Center, St. Mary's Campus</v>
          </cell>
          <cell r="B298">
            <v>13</v>
          </cell>
          <cell r="C298">
            <v>37408</v>
          </cell>
          <cell r="D298">
            <v>37408</v>
          </cell>
          <cell r="E298">
            <v>7600</v>
          </cell>
          <cell r="F298">
            <v>3085.6</v>
          </cell>
          <cell r="G298">
            <v>0</v>
          </cell>
          <cell r="H298">
            <v>75</v>
          </cell>
          <cell r="I298">
            <v>0</v>
          </cell>
          <cell r="J298">
            <v>0</v>
          </cell>
          <cell r="K298">
            <v>0</v>
          </cell>
          <cell r="L298">
            <v>0</v>
          </cell>
          <cell r="M298">
            <v>0</v>
          </cell>
          <cell r="N298">
            <v>0</v>
          </cell>
          <cell r="O298">
            <v>0</v>
          </cell>
          <cell r="P298">
            <v>0</v>
          </cell>
          <cell r="Q298">
            <v>35</v>
          </cell>
          <cell r="R298">
            <v>0</v>
          </cell>
          <cell r="S298">
            <v>0</v>
          </cell>
          <cell r="T298">
            <v>0</v>
          </cell>
          <cell r="U298">
            <v>0</v>
          </cell>
          <cell r="V298">
            <v>3195.6</v>
          </cell>
          <cell r="W298">
            <v>3160.6</v>
          </cell>
        </row>
        <row r="299">
          <cell r="A299" t="str">
            <v>St. Mary’s Medical Center, St. Mary's Campus</v>
          </cell>
          <cell r="B299">
            <v>13</v>
          </cell>
          <cell r="C299">
            <v>37438</v>
          </cell>
          <cell r="D299">
            <v>37438</v>
          </cell>
          <cell r="E299">
            <v>6710</v>
          </cell>
          <cell r="F299">
            <v>2724.26</v>
          </cell>
          <cell r="G299">
            <v>0</v>
          </cell>
          <cell r="H299">
            <v>75</v>
          </cell>
          <cell r="I299">
            <v>0</v>
          </cell>
          <cell r="J299">
            <v>0</v>
          </cell>
          <cell r="K299">
            <v>0</v>
          </cell>
          <cell r="L299">
            <v>0</v>
          </cell>
          <cell r="M299">
            <v>0</v>
          </cell>
          <cell r="N299">
            <v>0</v>
          </cell>
          <cell r="O299">
            <v>0</v>
          </cell>
          <cell r="P299">
            <v>0</v>
          </cell>
          <cell r="Q299">
            <v>35</v>
          </cell>
          <cell r="R299">
            <v>0</v>
          </cell>
          <cell r="S299">
            <v>0</v>
          </cell>
          <cell r="T299">
            <v>0</v>
          </cell>
          <cell r="U299">
            <v>0</v>
          </cell>
          <cell r="V299">
            <v>2834.26</v>
          </cell>
          <cell r="W299">
            <v>2799.26</v>
          </cell>
        </row>
        <row r="300">
          <cell r="A300" t="str">
            <v>St. Mary’s Medical Center, St. Mary's Campus</v>
          </cell>
          <cell r="B300">
            <v>13</v>
          </cell>
          <cell r="C300">
            <v>37469</v>
          </cell>
          <cell r="D300">
            <v>37469</v>
          </cell>
          <cell r="E300">
            <v>5198</v>
          </cell>
          <cell r="F300">
            <v>2110.39</v>
          </cell>
          <cell r="G300">
            <v>0</v>
          </cell>
          <cell r="H300">
            <v>75</v>
          </cell>
          <cell r="I300">
            <v>0</v>
          </cell>
          <cell r="J300">
            <v>0</v>
          </cell>
          <cell r="K300">
            <v>0</v>
          </cell>
          <cell r="L300">
            <v>0</v>
          </cell>
          <cell r="M300">
            <v>0</v>
          </cell>
          <cell r="N300">
            <v>0</v>
          </cell>
          <cell r="O300">
            <v>0</v>
          </cell>
          <cell r="P300">
            <v>0</v>
          </cell>
          <cell r="Q300">
            <v>35</v>
          </cell>
          <cell r="R300">
            <v>0</v>
          </cell>
          <cell r="S300">
            <v>0</v>
          </cell>
          <cell r="T300">
            <v>0</v>
          </cell>
          <cell r="U300">
            <v>0</v>
          </cell>
          <cell r="V300">
            <v>2220.39</v>
          </cell>
          <cell r="W300">
            <v>2185.39</v>
          </cell>
        </row>
        <row r="301">
          <cell r="A301" t="str">
            <v>St. Mary’s Medical Center, St. Mary's Campus</v>
          </cell>
          <cell r="B301">
            <v>13</v>
          </cell>
          <cell r="C301">
            <v>37500</v>
          </cell>
          <cell r="D301">
            <v>37500</v>
          </cell>
          <cell r="E301">
            <v>7156</v>
          </cell>
          <cell r="F301">
            <v>2905.34</v>
          </cell>
          <cell r="G301">
            <v>0</v>
          </cell>
          <cell r="H301">
            <v>75</v>
          </cell>
          <cell r="I301">
            <v>0</v>
          </cell>
          <cell r="J301">
            <v>0</v>
          </cell>
          <cell r="K301">
            <v>0</v>
          </cell>
          <cell r="L301">
            <v>0</v>
          </cell>
          <cell r="M301">
            <v>0</v>
          </cell>
          <cell r="N301">
            <v>0</v>
          </cell>
          <cell r="O301">
            <v>0</v>
          </cell>
          <cell r="P301">
            <v>0</v>
          </cell>
          <cell r="Q301">
            <v>35</v>
          </cell>
          <cell r="R301">
            <v>0</v>
          </cell>
          <cell r="S301">
            <v>0</v>
          </cell>
          <cell r="T301">
            <v>0</v>
          </cell>
          <cell r="U301">
            <v>0</v>
          </cell>
          <cell r="V301">
            <v>3015.34</v>
          </cell>
          <cell r="W301">
            <v>2980.34</v>
          </cell>
        </row>
        <row r="302">
          <cell r="A302" t="str">
            <v>St. Mary’s Medical Center, St. Mary's Campus</v>
          </cell>
          <cell r="B302">
            <v>13</v>
          </cell>
          <cell r="C302">
            <v>37530</v>
          </cell>
          <cell r="D302">
            <v>37530</v>
          </cell>
          <cell r="E302">
            <v>9191</v>
          </cell>
          <cell r="F302">
            <v>3731.55</v>
          </cell>
          <cell r="G302">
            <v>0</v>
          </cell>
          <cell r="H302">
            <v>75</v>
          </cell>
          <cell r="I302">
            <v>0</v>
          </cell>
          <cell r="J302">
            <v>0</v>
          </cell>
          <cell r="K302">
            <v>0</v>
          </cell>
          <cell r="L302">
            <v>0</v>
          </cell>
          <cell r="M302">
            <v>0</v>
          </cell>
          <cell r="N302">
            <v>0</v>
          </cell>
          <cell r="O302">
            <v>0</v>
          </cell>
          <cell r="P302">
            <v>0</v>
          </cell>
          <cell r="Q302">
            <v>35</v>
          </cell>
          <cell r="R302">
            <v>0</v>
          </cell>
          <cell r="S302">
            <v>0</v>
          </cell>
          <cell r="T302">
            <v>0</v>
          </cell>
          <cell r="U302">
            <v>0</v>
          </cell>
          <cell r="V302">
            <v>3841.55</v>
          </cell>
          <cell r="W302">
            <v>3806.55</v>
          </cell>
        </row>
        <row r="303">
          <cell r="A303" t="str">
            <v>St. Mary’s Medical Center, St. Mary's Campus</v>
          </cell>
          <cell r="B303">
            <v>13</v>
          </cell>
          <cell r="C303">
            <v>37561</v>
          </cell>
          <cell r="D303">
            <v>37561</v>
          </cell>
          <cell r="E303">
            <v>13512</v>
          </cell>
          <cell r="F303">
            <v>5485.87</v>
          </cell>
          <cell r="G303">
            <v>0</v>
          </cell>
          <cell r="H303">
            <v>75</v>
          </cell>
          <cell r="I303">
            <v>0</v>
          </cell>
          <cell r="J303">
            <v>0</v>
          </cell>
          <cell r="K303">
            <v>0</v>
          </cell>
          <cell r="L303">
            <v>0</v>
          </cell>
          <cell r="M303">
            <v>0</v>
          </cell>
          <cell r="N303">
            <v>0</v>
          </cell>
          <cell r="O303">
            <v>0</v>
          </cell>
          <cell r="P303">
            <v>0</v>
          </cell>
          <cell r="Q303">
            <v>35</v>
          </cell>
          <cell r="R303">
            <v>0</v>
          </cell>
          <cell r="S303">
            <v>0</v>
          </cell>
          <cell r="T303">
            <v>0</v>
          </cell>
          <cell r="U303">
            <v>0</v>
          </cell>
          <cell r="V303">
            <v>5595.87</v>
          </cell>
          <cell r="W303">
            <v>5560.87</v>
          </cell>
        </row>
        <row r="304">
          <cell r="A304" t="str">
            <v>St. Mary’s Medical Center, St. Mary's Campus</v>
          </cell>
          <cell r="B304">
            <v>13</v>
          </cell>
          <cell r="C304">
            <v>37591</v>
          </cell>
          <cell r="D304">
            <v>37591</v>
          </cell>
          <cell r="E304">
            <v>19406</v>
          </cell>
          <cell r="F304">
            <v>7878.84</v>
          </cell>
          <cell r="G304">
            <v>0</v>
          </cell>
          <cell r="H304">
            <v>75</v>
          </cell>
          <cell r="I304">
            <v>0</v>
          </cell>
          <cell r="J304">
            <v>0</v>
          </cell>
          <cell r="K304">
            <v>0</v>
          </cell>
          <cell r="L304">
            <v>0</v>
          </cell>
          <cell r="M304">
            <v>0</v>
          </cell>
          <cell r="N304">
            <v>0</v>
          </cell>
          <cell r="O304">
            <v>0</v>
          </cell>
          <cell r="P304">
            <v>0</v>
          </cell>
          <cell r="Q304">
            <v>35</v>
          </cell>
          <cell r="R304">
            <v>0</v>
          </cell>
          <cell r="S304">
            <v>0</v>
          </cell>
          <cell r="T304">
            <v>0</v>
          </cell>
          <cell r="U304">
            <v>0</v>
          </cell>
          <cell r="V304">
            <v>7988.84</v>
          </cell>
          <cell r="W304">
            <v>7953.84</v>
          </cell>
        </row>
        <row r="305">
          <cell r="A305" t="str">
            <v>Deaconess Hospital, Inc.</v>
          </cell>
          <cell r="B305">
            <v>14</v>
          </cell>
          <cell r="C305">
            <v>37257</v>
          </cell>
          <cell r="D305">
            <v>37257</v>
          </cell>
          <cell r="E305">
            <v>16860</v>
          </cell>
          <cell r="F305">
            <v>6845.16</v>
          </cell>
          <cell r="G305">
            <v>0</v>
          </cell>
          <cell r="H305">
            <v>75</v>
          </cell>
          <cell r="I305">
            <v>0</v>
          </cell>
          <cell r="J305">
            <v>0</v>
          </cell>
          <cell r="K305">
            <v>0</v>
          </cell>
          <cell r="L305">
            <v>0</v>
          </cell>
          <cell r="M305">
            <v>0</v>
          </cell>
          <cell r="N305">
            <v>16860</v>
          </cell>
          <cell r="O305">
            <v>50.58</v>
          </cell>
          <cell r="P305">
            <v>0</v>
          </cell>
          <cell r="Q305">
            <v>35</v>
          </cell>
          <cell r="R305">
            <v>0</v>
          </cell>
          <cell r="S305">
            <v>0</v>
          </cell>
          <cell r="T305">
            <v>0</v>
          </cell>
          <cell r="U305">
            <v>0</v>
          </cell>
          <cell r="V305">
            <v>7005.74</v>
          </cell>
          <cell r="W305">
            <v>6970.74</v>
          </cell>
        </row>
        <row r="306">
          <cell r="A306" t="str">
            <v>Deaconess Hospital, Inc.</v>
          </cell>
          <cell r="B306">
            <v>14</v>
          </cell>
          <cell r="C306">
            <v>37288</v>
          </cell>
          <cell r="D306">
            <v>37288</v>
          </cell>
          <cell r="E306">
            <v>18396</v>
          </cell>
          <cell r="F306">
            <v>7468.78</v>
          </cell>
          <cell r="G306">
            <v>0</v>
          </cell>
          <cell r="H306">
            <v>75</v>
          </cell>
          <cell r="I306">
            <v>0</v>
          </cell>
          <cell r="J306">
            <v>0</v>
          </cell>
          <cell r="K306">
            <v>0</v>
          </cell>
          <cell r="L306">
            <v>0</v>
          </cell>
          <cell r="M306">
            <v>0</v>
          </cell>
          <cell r="N306">
            <v>18396</v>
          </cell>
          <cell r="O306">
            <v>-18.399999999999999</v>
          </cell>
          <cell r="P306">
            <v>0</v>
          </cell>
          <cell r="Q306">
            <v>35</v>
          </cell>
          <cell r="R306">
            <v>0</v>
          </cell>
          <cell r="S306">
            <v>0</v>
          </cell>
          <cell r="T306">
            <v>0</v>
          </cell>
          <cell r="U306">
            <v>0</v>
          </cell>
          <cell r="V306">
            <v>7560.38</v>
          </cell>
          <cell r="W306">
            <v>7525.38</v>
          </cell>
        </row>
        <row r="307">
          <cell r="A307" t="str">
            <v>Deaconess Hospital, Inc.</v>
          </cell>
          <cell r="B307">
            <v>14</v>
          </cell>
          <cell r="C307">
            <v>37316</v>
          </cell>
          <cell r="D307">
            <v>37316</v>
          </cell>
          <cell r="E307">
            <v>17515</v>
          </cell>
          <cell r="F307">
            <v>7111.09</v>
          </cell>
          <cell r="G307">
            <v>0</v>
          </cell>
          <cell r="H307">
            <v>75</v>
          </cell>
          <cell r="I307">
            <v>0</v>
          </cell>
          <cell r="J307">
            <v>0</v>
          </cell>
          <cell r="K307">
            <v>0</v>
          </cell>
          <cell r="L307">
            <v>0</v>
          </cell>
          <cell r="M307">
            <v>0</v>
          </cell>
          <cell r="N307">
            <v>17515</v>
          </cell>
          <cell r="O307">
            <v>-17.52</v>
          </cell>
          <cell r="P307">
            <v>0</v>
          </cell>
          <cell r="Q307">
            <v>35</v>
          </cell>
          <cell r="R307">
            <v>0</v>
          </cell>
          <cell r="S307">
            <v>0</v>
          </cell>
          <cell r="T307">
            <v>0</v>
          </cell>
          <cell r="U307">
            <v>0</v>
          </cell>
          <cell r="V307">
            <v>7203.57</v>
          </cell>
          <cell r="W307">
            <v>7168.57</v>
          </cell>
        </row>
        <row r="308">
          <cell r="A308" t="str">
            <v>Deaconess Hospital, Inc.</v>
          </cell>
          <cell r="B308">
            <v>14</v>
          </cell>
          <cell r="C308">
            <v>37347</v>
          </cell>
          <cell r="D308">
            <v>37347</v>
          </cell>
          <cell r="E308">
            <v>12500</v>
          </cell>
          <cell r="F308">
            <v>5075</v>
          </cell>
          <cell r="G308">
            <v>0</v>
          </cell>
          <cell r="H308">
            <v>75</v>
          </cell>
          <cell r="I308">
            <v>0</v>
          </cell>
          <cell r="J308">
            <v>0</v>
          </cell>
          <cell r="K308">
            <v>0</v>
          </cell>
          <cell r="L308">
            <v>0</v>
          </cell>
          <cell r="M308">
            <v>0</v>
          </cell>
          <cell r="N308">
            <v>12500</v>
          </cell>
          <cell r="O308">
            <v>-12.5</v>
          </cell>
          <cell r="P308">
            <v>0</v>
          </cell>
          <cell r="Q308">
            <v>35</v>
          </cell>
          <cell r="R308">
            <v>0</v>
          </cell>
          <cell r="S308">
            <v>0</v>
          </cell>
          <cell r="T308">
            <v>0</v>
          </cell>
          <cell r="U308">
            <v>0</v>
          </cell>
          <cell r="V308">
            <v>5172.5</v>
          </cell>
          <cell r="W308">
            <v>5137.5</v>
          </cell>
        </row>
        <row r="309">
          <cell r="A309" t="str">
            <v>Deaconess Hospital, Inc.</v>
          </cell>
          <cell r="B309">
            <v>14</v>
          </cell>
          <cell r="C309">
            <v>37377</v>
          </cell>
          <cell r="D309">
            <v>37377</v>
          </cell>
          <cell r="E309">
            <v>11100</v>
          </cell>
          <cell r="F309">
            <v>4506.6000000000004</v>
          </cell>
          <cell r="G309">
            <v>0</v>
          </cell>
          <cell r="H309">
            <v>75</v>
          </cell>
          <cell r="I309">
            <v>0</v>
          </cell>
          <cell r="J309">
            <v>0</v>
          </cell>
          <cell r="K309">
            <v>0</v>
          </cell>
          <cell r="L309">
            <v>0</v>
          </cell>
          <cell r="M309">
            <v>0</v>
          </cell>
          <cell r="N309">
            <v>0</v>
          </cell>
          <cell r="O309">
            <v>0</v>
          </cell>
          <cell r="P309">
            <v>0</v>
          </cell>
          <cell r="Q309">
            <v>35</v>
          </cell>
          <cell r="R309">
            <v>0</v>
          </cell>
          <cell r="S309">
            <v>0</v>
          </cell>
          <cell r="T309">
            <v>0</v>
          </cell>
          <cell r="U309">
            <v>0</v>
          </cell>
          <cell r="V309">
            <v>4616.6000000000004</v>
          </cell>
          <cell r="W309">
            <v>4581.6000000000004</v>
          </cell>
        </row>
        <row r="310">
          <cell r="A310" t="str">
            <v>Deaconess Hospital, Inc.</v>
          </cell>
          <cell r="B310">
            <v>14</v>
          </cell>
          <cell r="C310">
            <v>37408</v>
          </cell>
          <cell r="D310">
            <v>37408</v>
          </cell>
          <cell r="E310">
            <v>9700</v>
          </cell>
          <cell r="F310">
            <v>3938.2</v>
          </cell>
          <cell r="G310">
            <v>0</v>
          </cell>
          <cell r="H310">
            <v>75</v>
          </cell>
          <cell r="I310">
            <v>0</v>
          </cell>
          <cell r="J310">
            <v>0</v>
          </cell>
          <cell r="K310">
            <v>0</v>
          </cell>
          <cell r="L310">
            <v>0</v>
          </cell>
          <cell r="M310">
            <v>0</v>
          </cell>
          <cell r="N310">
            <v>0</v>
          </cell>
          <cell r="O310">
            <v>0</v>
          </cell>
          <cell r="P310">
            <v>0</v>
          </cell>
          <cell r="Q310">
            <v>35</v>
          </cell>
          <cell r="R310">
            <v>0</v>
          </cell>
          <cell r="S310">
            <v>0</v>
          </cell>
          <cell r="T310">
            <v>0</v>
          </cell>
          <cell r="U310">
            <v>0</v>
          </cell>
          <cell r="V310">
            <v>4048.2</v>
          </cell>
          <cell r="W310">
            <v>4013.2</v>
          </cell>
        </row>
        <row r="311">
          <cell r="A311" t="str">
            <v>Deaconess Hospital, Inc.</v>
          </cell>
          <cell r="B311">
            <v>14</v>
          </cell>
          <cell r="C311">
            <v>37438</v>
          </cell>
          <cell r="D311">
            <v>37438</v>
          </cell>
          <cell r="E311">
            <v>8700</v>
          </cell>
          <cell r="F311">
            <v>3532.2</v>
          </cell>
          <cell r="G311">
            <v>0</v>
          </cell>
          <cell r="H311">
            <v>75</v>
          </cell>
          <cell r="I311">
            <v>0</v>
          </cell>
          <cell r="J311">
            <v>0</v>
          </cell>
          <cell r="K311">
            <v>0</v>
          </cell>
          <cell r="L311">
            <v>0</v>
          </cell>
          <cell r="M311">
            <v>0</v>
          </cell>
          <cell r="N311">
            <v>0</v>
          </cell>
          <cell r="O311">
            <v>0</v>
          </cell>
          <cell r="P311">
            <v>0</v>
          </cell>
          <cell r="Q311">
            <v>35</v>
          </cell>
          <cell r="R311">
            <v>0</v>
          </cell>
          <cell r="S311">
            <v>0</v>
          </cell>
          <cell r="T311">
            <v>0</v>
          </cell>
          <cell r="U311">
            <v>0</v>
          </cell>
          <cell r="V311">
            <v>3642.2</v>
          </cell>
          <cell r="W311">
            <v>3607.2</v>
          </cell>
        </row>
        <row r="312">
          <cell r="A312" t="str">
            <v>Deaconess Hospital, Inc.</v>
          </cell>
          <cell r="B312">
            <v>14</v>
          </cell>
          <cell r="C312">
            <v>37469</v>
          </cell>
          <cell r="D312">
            <v>37469</v>
          </cell>
          <cell r="E312">
            <v>8500</v>
          </cell>
          <cell r="F312">
            <v>3451</v>
          </cell>
          <cell r="G312">
            <v>0</v>
          </cell>
          <cell r="H312">
            <v>75</v>
          </cell>
          <cell r="I312">
            <v>0</v>
          </cell>
          <cell r="J312">
            <v>0</v>
          </cell>
          <cell r="K312">
            <v>0</v>
          </cell>
          <cell r="L312">
            <v>0</v>
          </cell>
          <cell r="M312">
            <v>0</v>
          </cell>
          <cell r="N312">
            <v>0</v>
          </cell>
          <cell r="O312">
            <v>0</v>
          </cell>
          <cell r="P312">
            <v>0</v>
          </cell>
          <cell r="Q312">
            <v>35</v>
          </cell>
          <cell r="R312">
            <v>0</v>
          </cell>
          <cell r="S312">
            <v>0</v>
          </cell>
          <cell r="T312">
            <v>0</v>
          </cell>
          <cell r="U312">
            <v>0</v>
          </cell>
          <cell r="V312">
            <v>3561</v>
          </cell>
          <cell r="W312">
            <v>3526</v>
          </cell>
        </row>
        <row r="313">
          <cell r="A313" t="str">
            <v>Deaconess Hospital, Inc.</v>
          </cell>
          <cell r="B313">
            <v>14</v>
          </cell>
          <cell r="C313">
            <v>37500</v>
          </cell>
          <cell r="D313">
            <v>37500</v>
          </cell>
          <cell r="E313">
            <v>8910</v>
          </cell>
          <cell r="F313">
            <v>3617.46</v>
          </cell>
          <cell r="G313">
            <v>0</v>
          </cell>
          <cell r="H313">
            <v>75</v>
          </cell>
          <cell r="I313">
            <v>0</v>
          </cell>
          <cell r="J313">
            <v>0</v>
          </cell>
          <cell r="K313">
            <v>0</v>
          </cell>
          <cell r="L313">
            <v>0</v>
          </cell>
          <cell r="M313">
            <v>0</v>
          </cell>
          <cell r="N313">
            <v>0</v>
          </cell>
          <cell r="O313">
            <v>0</v>
          </cell>
          <cell r="P313">
            <v>0</v>
          </cell>
          <cell r="Q313">
            <v>35</v>
          </cell>
          <cell r="R313">
            <v>0</v>
          </cell>
          <cell r="S313">
            <v>0</v>
          </cell>
          <cell r="T313">
            <v>0</v>
          </cell>
          <cell r="U313">
            <v>0</v>
          </cell>
          <cell r="V313">
            <v>3727.46</v>
          </cell>
          <cell r="W313">
            <v>3692.46</v>
          </cell>
        </row>
        <row r="314">
          <cell r="A314" t="str">
            <v>Deaconess Hospital, Inc.</v>
          </cell>
          <cell r="B314">
            <v>14</v>
          </cell>
          <cell r="C314">
            <v>37530</v>
          </cell>
          <cell r="D314">
            <v>37530</v>
          </cell>
          <cell r="E314">
            <v>12900</v>
          </cell>
          <cell r="F314">
            <v>5237.3999999999996</v>
          </cell>
          <cell r="G314">
            <v>0</v>
          </cell>
          <cell r="H314">
            <v>75</v>
          </cell>
          <cell r="I314">
            <v>0</v>
          </cell>
          <cell r="J314">
            <v>0</v>
          </cell>
          <cell r="K314">
            <v>0</v>
          </cell>
          <cell r="L314">
            <v>0</v>
          </cell>
          <cell r="M314">
            <v>0</v>
          </cell>
          <cell r="N314">
            <v>0</v>
          </cell>
          <cell r="O314">
            <v>0</v>
          </cell>
          <cell r="P314">
            <v>0</v>
          </cell>
          <cell r="Q314">
            <v>35</v>
          </cell>
          <cell r="R314">
            <v>0</v>
          </cell>
          <cell r="S314">
            <v>0</v>
          </cell>
          <cell r="T314">
            <v>0</v>
          </cell>
          <cell r="U314">
            <v>0</v>
          </cell>
          <cell r="V314">
            <v>5347.4</v>
          </cell>
          <cell r="W314">
            <v>5312.4</v>
          </cell>
        </row>
        <row r="315">
          <cell r="A315" t="str">
            <v>Deaconess Hospital, Inc.</v>
          </cell>
          <cell r="B315">
            <v>14</v>
          </cell>
          <cell r="C315">
            <v>37561</v>
          </cell>
          <cell r="D315">
            <v>37561</v>
          </cell>
          <cell r="E315">
            <v>18300</v>
          </cell>
          <cell r="F315">
            <v>7429.8</v>
          </cell>
          <cell r="G315">
            <v>0</v>
          </cell>
          <cell r="H315">
            <v>75</v>
          </cell>
          <cell r="I315">
            <v>0</v>
          </cell>
          <cell r="J315">
            <v>0</v>
          </cell>
          <cell r="K315">
            <v>0</v>
          </cell>
          <cell r="L315">
            <v>0</v>
          </cell>
          <cell r="M315">
            <v>0</v>
          </cell>
          <cell r="N315">
            <v>0</v>
          </cell>
          <cell r="O315">
            <v>0</v>
          </cell>
          <cell r="P315">
            <v>0</v>
          </cell>
          <cell r="Q315">
            <v>35</v>
          </cell>
          <cell r="R315">
            <v>0</v>
          </cell>
          <cell r="S315">
            <v>0</v>
          </cell>
          <cell r="T315">
            <v>0</v>
          </cell>
          <cell r="U315">
            <v>0</v>
          </cell>
          <cell r="V315">
            <v>7539.8</v>
          </cell>
          <cell r="W315">
            <v>7504.8</v>
          </cell>
        </row>
        <row r="316">
          <cell r="A316" t="str">
            <v>Deaconess Hospital, Inc.</v>
          </cell>
          <cell r="B316">
            <v>14</v>
          </cell>
          <cell r="C316">
            <v>37591</v>
          </cell>
          <cell r="D316">
            <v>37591</v>
          </cell>
          <cell r="E316">
            <v>19000</v>
          </cell>
          <cell r="F316">
            <v>7714</v>
          </cell>
          <cell r="G316">
            <v>0</v>
          </cell>
          <cell r="H316">
            <v>75</v>
          </cell>
          <cell r="I316">
            <v>0</v>
          </cell>
          <cell r="J316">
            <v>0</v>
          </cell>
          <cell r="K316">
            <v>0</v>
          </cell>
          <cell r="L316">
            <v>0</v>
          </cell>
          <cell r="M316">
            <v>0</v>
          </cell>
          <cell r="N316">
            <v>0</v>
          </cell>
          <cell r="O316">
            <v>0</v>
          </cell>
          <cell r="P316">
            <v>0</v>
          </cell>
          <cell r="Q316">
            <v>35</v>
          </cell>
          <cell r="R316">
            <v>0</v>
          </cell>
          <cell r="S316">
            <v>0</v>
          </cell>
          <cell r="T316">
            <v>0</v>
          </cell>
          <cell r="U316">
            <v>0</v>
          </cell>
          <cell r="V316">
            <v>7824</v>
          </cell>
          <cell r="W316">
            <v>7789</v>
          </cell>
        </row>
        <row r="317">
          <cell r="A317" t="str">
            <v>Good Samaritan Hospital</v>
          </cell>
          <cell r="B317">
            <v>15</v>
          </cell>
          <cell r="C317">
            <v>37257</v>
          </cell>
          <cell r="D317">
            <v>37257</v>
          </cell>
          <cell r="E317">
            <v>11608</v>
          </cell>
          <cell r="F317">
            <v>4712.8500000000004</v>
          </cell>
          <cell r="G317">
            <v>0</v>
          </cell>
          <cell r="H317">
            <v>75</v>
          </cell>
          <cell r="I317">
            <v>0</v>
          </cell>
          <cell r="J317">
            <v>0</v>
          </cell>
          <cell r="K317">
            <v>0</v>
          </cell>
          <cell r="L317">
            <v>0</v>
          </cell>
          <cell r="M317">
            <v>-301.81</v>
          </cell>
          <cell r="N317">
            <v>11608</v>
          </cell>
          <cell r="O317">
            <v>34.82</v>
          </cell>
          <cell r="P317">
            <v>0</v>
          </cell>
          <cell r="Q317">
            <v>35</v>
          </cell>
          <cell r="R317">
            <v>0</v>
          </cell>
          <cell r="S317">
            <v>0</v>
          </cell>
          <cell r="T317">
            <v>0</v>
          </cell>
          <cell r="U317">
            <v>0</v>
          </cell>
          <cell r="V317">
            <v>4555.8599999999997</v>
          </cell>
          <cell r="W317">
            <v>4520.8599999999997</v>
          </cell>
        </row>
        <row r="318">
          <cell r="A318" t="str">
            <v>Good Samaritan Hospital</v>
          </cell>
          <cell r="B318">
            <v>15</v>
          </cell>
          <cell r="C318">
            <v>37288</v>
          </cell>
          <cell r="D318">
            <v>37288</v>
          </cell>
          <cell r="E318">
            <v>8721</v>
          </cell>
          <cell r="F318">
            <v>3540.73</v>
          </cell>
          <cell r="G318">
            <v>0</v>
          </cell>
          <cell r="H318">
            <v>75</v>
          </cell>
          <cell r="I318">
            <v>0</v>
          </cell>
          <cell r="J318">
            <v>0</v>
          </cell>
          <cell r="K318">
            <v>0</v>
          </cell>
          <cell r="L318">
            <v>0</v>
          </cell>
          <cell r="M318">
            <v>34.880000000000003</v>
          </cell>
          <cell r="N318">
            <v>8721</v>
          </cell>
          <cell r="O318">
            <v>-8.7200000000000006</v>
          </cell>
          <cell r="P318">
            <v>0</v>
          </cell>
          <cell r="Q318">
            <v>35</v>
          </cell>
          <cell r="R318">
            <v>0</v>
          </cell>
          <cell r="S318">
            <v>0</v>
          </cell>
          <cell r="T318">
            <v>0</v>
          </cell>
          <cell r="U318">
            <v>0</v>
          </cell>
          <cell r="V318">
            <v>3676.89</v>
          </cell>
          <cell r="W318">
            <v>3641.89</v>
          </cell>
        </row>
        <row r="319">
          <cell r="A319" t="str">
            <v>Good Samaritan Hospital</v>
          </cell>
          <cell r="B319">
            <v>15</v>
          </cell>
          <cell r="C319">
            <v>37316</v>
          </cell>
          <cell r="D319">
            <v>37316</v>
          </cell>
          <cell r="E319">
            <v>7750</v>
          </cell>
          <cell r="F319">
            <v>3146.5</v>
          </cell>
          <cell r="G319">
            <v>0</v>
          </cell>
          <cell r="H319">
            <v>75</v>
          </cell>
          <cell r="I319">
            <v>0</v>
          </cell>
          <cell r="J319">
            <v>0</v>
          </cell>
          <cell r="K319">
            <v>0</v>
          </cell>
          <cell r="L319">
            <v>0</v>
          </cell>
          <cell r="M319">
            <v>31</v>
          </cell>
          <cell r="N319">
            <v>7750</v>
          </cell>
          <cell r="O319">
            <v>-7.75</v>
          </cell>
          <cell r="P319">
            <v>0</v>
          </cell>
          <cell r="Q319">
            <v>35</v>
          </cell>
          <cell r="R319">
            <v>0</v>
          </cell>
          <cell r="S319">
            <v>0</v>
          </cell>
          <cell r="T319">
            <v>0</v>
          </cell>
          <cell r="U319">
            <v>0</v>
          </cell>
          <cell r="V319">
            <v>3279.75</v>
          </cell>
          <cell r="W319">
            <v>3244.75</v>
          </cell>
        </row>
        <row r="320">
          <cell r="A320" t="str">
            <v>Good Samaritan Hospital</v>
          </cell>
          <cell r="B320">
            <v>15</v>
          </cell>
          <cell r="C320">
            <v>37347</v>
          </cell>
          <cell r="D320">
            <v>37347</v>
          </cell>
          <cell r="E320">
            <v>7257</v>
          </cell>
          <cell r="F320">
            <v>2946.34</v>
          </cell>
          <cell r="G320">
            <v>0</v>
          </cell>
          <cell r="H320">
            <v>75</v>
          </cell>
          <cell r="I320">
            <v>0</v>
          </cell>
          <cell r="J320">
            <v>0</v>
          </cell>
          <cell r="K320">
            <v>0</v>
          </cell>
          <cell r="L320">
            <v>0</v>
          </cell>
          <cell r="M320">
            <v>29.03</v>
          </cell>
          <cell r="N320">
            <v>7257</v>
          </cell>
          <cell r="O320">
            <v>-7.26</v>
          </cell>
          <cell r="P320">
            <v>0</v>
          </cell>
          <cell r="Q320">
            <v>35</v>
          </cell>
          <cell r="R320">
            <v>0</v>
          </cell>
          <cell r="S320">
            <v>0</v>
          </cell>
          <cell r="T320">
            <v>0</v>
          </cell>
          <cell r="U320">
            <v>0</v>
          </cell>
          <cell r="V320">
            <v>3078.11</v>
          </cell>
          <cell r="W320">
            <v>3043.11</v>
          </cell>
        </row>
        <row r="321">
          <cell r="A321" t="str">
            <v>Good Samaritan Hospital</v>
          </cell>
          <cell r="B321">
            <v>15</v>
          </cell>
          <cell r="C321">
            <v>37377</v>
          </cell>
          <cell r="D321">
            <v>37377</v>
          </cell>
          <cell r="E321">
            <v>7634</v>
          </cell>
          <cell r="F321">
            <v>3099.4</v>
          </cell>
          <cell r="G321">
            <v>0</v>
          </cell>
          <cell r="H321">
            <v>75</v>
          </cell>
          <cell r="I321">
            <v>0</v>
          </cell>
          <cell r="J321">
            <v>0</v>
          </cell>
          <cell r="K321">
            <v>0</v>
          </cell>
          <cell r="L321">
            <v>0</v>
          </cell>
          <cell r="M321">
            <v>0</v>
          </cell>
          <cell r="N321">
            <v>0</v>
          </cell>
          <cell r="O321">
            <v>0</v>
          </cell>
          <cell r="P321">
            <v>0</v>
          </cell>
          <cell r="Q321">
            <v>35</v>
          </cell>
          <cell r="R321">
            <v>0</v>
          </cell>
          <cell r="S321">
            <v>0</v>
          </cell>
          <cell r="T321">
            <v>0</v>
          </cell>
          <cell r="U321">
            <v>0</v>
          </cell>
          <cell r="V321">
            <v>3209.4</v>
          </cell>
          <cell r="W321">
            <v>3174.4</v>
          </cell>
        </row>
        <row r="322">
          <cell r="A322" t="str">
            <v>Good Samaritan Hospital</v>
          </cell>
          <cell r="B322">
            <v>15</v>
          </cell>
          <cell r="C322">
            <v>37408</v>
          </cell>
          <cell r="D322">
            <v>37408</v>
          </cell>
          <cell r="E322">
            <v>6070</v>
          </cell>
          <cell r="F322">
            <v>2464.42</v>
          </cell>
          <cell r="G322">
            <v>0</v>
          </cell>
          <cell r="H322">
            <v>75</v>
          </cell>
          <cell r="I322">
            <v>0</v>
          </cell>
          <cell r="J322">
            <v>0</v>
          </cell>
          <cell r="K322">
            <v>0</v>
          </cell>
          <cell r="L322">
            <v>0</v>
          </cell>
          <cell r="M322">
            <v>0</v>
          </cell>
          <cell r="N322">
            <v>0</v>
          </cell>
          <cell r="O322">
            <v>0</v>
          </cell>
          <cell r="P322">
            <v>0</v>
          </cell>
          <cell r="Q322">
            <v>35</v>
          </cell>
          <cell r="R322">
            <v>0</v>
          </cell>
          <cell r="S322">
            <v>0</v>
          </cell>
          <cell r="T322">
            <v>0</v>
          </cell>
          <cell r="U322">
            <v>0</v>
          </cell>
          <cell r="V322">
            <v>2574.42</v>
          </cell>
          <cell r="W322">
            <v>2539.42</v>
          </cell>
        </row>
        <row r="323">
          <cell r="A323" t="str">
            <v>Good Samaritan Hospital</v>
          </cell>
          <cell r="B323">
            <v>15</v>
          </cell>
          <cell r="C323">
            <v>37438</v>
          </cell>
          <cell r="D323">
            <v>37438</v>
          </cell>
          <cell r="E323">
            <v>6265</v>
          </cell>
          <cell r="F323">
            <v>2543.59</v>
          </cell>
          <cell r="G323">
            <v>0</v>
          </cell>
          <cell r="H323">
            <v>75</v>
          </cell>
          <cell r="I323">
            <v>0</v>
          </cell>
          <cell r="J323">
            <v>0</v>
          </cell>
          <cell r="K323">
            <v>0</v>
          </cell>
          <cell r="L323">
            <v>0</v>
          </cell>
          <cell r="M323">
            <v>0</v>
          </cell>
          <cell r="N323">
            <v>0</v>
          </cell>
          <cell r="O323">
            <v>0</v>
          </cell>
          <cell r="P323">
            <v>0</v>
          </cell>
          <cell r="Q323">
            <v>35</v>
          </cell>
          <cell r="R323">
            <v>0</v>
          </cell>
          <cell r="S323">
            <v>0</v>
          </cell>
          <cell r="T323">
            <v>0</v>
          </cell>
          <cell r="U323">
            <v>0</v>
          </cell>
          <cell r="V323">
            <v>2653.59</v>
          </cell>
          <cell r="W323">
            <v>2618.59</v>
          </cell>
        </row>
        <row r="324">
          <cell r="A324" t="str">
            <v>Good Samaritan Hospital</v>
          </cell>
          <cell r="B324">
            <v>15</v>
          </cell>
          <cell r="C324">
            <v>37469</v>
          </cell>
          <cell r="D324">
            <v>37469</v>
          </cell>
          <cell r="E324">
            <v>5834</v>
          </cell>
          <cell r="F324">
            <v>2368.6</v>
          </cell>
          <cell r="G324">
            <v>0</v>
          </cell>
          <cell r="H324">
            <v>75</v>
          </cell>
          <cell r="I324">
            <v>0</v>
          </cell>
          <cell r="J324">
            <v>0</v>
          </cell>
          <cell r="K324">
            <v>0</v>
          </cell>
          <cell r="L324">
            <v>0</v>
          </cell>
          <cell r="M324">
            <v>0</v>
          </cell>
          <cell r="N324">
            <v>0</v>
          </cell>
          <cell r="O324">
            <v>0</v>
          </cell>
          <cell r="P324">
            <v>0</v>
          </cell>
          <cell r="Q324">
            <v>35</v>
          </cell>
          <cell r="R324">
            <v>0</v>
          </cell>
          <cell r="S324">
            <v>0</v>
          </cell>
          <cell r="T324">
            <v>0</v>
          </cell>
          <cell r="U324">
            <v>0</v>
          </cell>
          <cell r="V324">
            <v>2478.6</v>
          </cell>
          <cell r="W324">
            <v>2443.6</v>
          </cell>
        </row>
        <row r="325">
          <cell r="A325" t="str">
            <v>Good Samaritan Hospital</v>
          </cell>
          <cell r="B325">
            <v>15</v>
          </cell>
          <cell r="C325">
            <v>37500</v>
          </cell>
          <cell r="D325">
            <v>37500</v>
          </cell>
          <cell r="E325">
            <v>6850</v>
          </cell>
          <cell r="F325">
            <v>2781.1</v>
          </cell>
          <cell r="G325">
            <v>0</v>
          </cell>
          <cell r="H325">
            <v>75</v>
          </cell>
          <cell r="I325">
            <v>0</v>
          </cell>
          <cell r="J325">
            <v>0</v>
          </cell>
          <cell r="K325">
            <v>0</v>
          </cell>
          <cell r="L325">
            <v>0</v>
          </cell>
          <cell r="M325">
            <v>0</v>
          </cell>
          <cell r="N325">
            <v>0</v>
          </cell>
          <cell r="O325">
            <v>0</v>
          </cell>
          <cell r="P325">
            <v>0</v>
          </cell>
          <cell r="Q325">
            <v>35</v>
          </cell>
          <cell r="R325">
            <v>0</v>
          </cell>
          <cell r="S325">
            <v>0</v>
          </cell>
          <cell r="T325">
            <v>0</v>
          </cell>
          <cell r="U325">
            <v>0</v>
          </cell>
          <cell r="V325">
            <v>2891.1</v>
          </cell>
          <cell r="W325">
            <v>2856.1</v>
          </cell>
        </row>
        <row r="326">
          <cell r="A326" t="str">
            <v>Good Samaritan Hospital</v>
          </cell>
          <cell r="B326">
            <v>15</v>
          </cell>
          <cell r="C326">
            <v>37530</v>
          </cell>
          <cell r="D326">
            <v>37530</v>
          </cell>
          <cell r="E326">
            <v>8355</v>
          </cell>
          <cell r="F326">
            <v>3392.13</v>
          </cell>
          <cell r="G326">
            <v>0</v>
          </cell>
          <cell r="H326">
            <v>75</v>
          </cell>
          <cell r="I326">
            <v>0</v>
          </cell>
          <cell r="J326">
            <v>0</v>
          </cell>
          <cell r="K326">
            <v>0</v>
          </cell>
          <cell r="L326">
            <v>0</v>
          </cell>
          <cell r="M326">
            <v>0</v>
          </cell>
          <cell r="N326">
            <v>0</v>
          </cell>
          <cell r="O326">
            <v>0</v>
          </cell>
          <cell r="P326">
            <v>0</v>
          </cell>
          <cell r="Q326">
            <v>35</v>
          </cell>
          <cell r="R326">
            <v>0</v>
          </cell>
          <cell r="S326">
            <v>0</v>
          </cell>
          <cell r="T326">
            <v>0</v>
          </cell>
          <cell r="U326">
            <v>0</v>
          </cell>
          <cell r="V326">
            <v>3502.13</v>
          </cell>
          <cell r="W326">
            <v>3467.13</v>
          </cell>
        </row>
        <row r="327">
          <cell r="A327" t="str">
            <v>Good Samaritan Hospital</v>
          </cell>
          <cell r="B327">
            <v>15</v>
          </cell>
          <cell r="C327">
            <v>37561</v>
          </cell>
          <cell r="D327">
            <v>37561</v>
          </cell>
          <cell r="E327">
            <v>9110</v>
          </cell>
          <cell r="F327">
            <v>3698.66</v>
          </cell>
          <cell r="G327">
            <v>0</v>
          </cell>
          <cell r="H327">
            <v>75</v>
          </cell>
          <cell r="I327">
            <v>0</v>
          </cell>
          <cell r="J327">
            <v>0</v>
          </cell>
          <cell r="K327">
            <v>0</v>
          </cell>
          <cell r="L327">
            <v>0</v>
          </cell>
          <cell r="M327">
            <v>0</v>
          </cell>
          <cell r="N327">
            <v>0</v>
          </cell>
          <cell r="O327">
            <v>0</v>
          </cell>
          <cell r="P327">
            <v>0</v>
          </cell>
          <cell r="Q327">
            <v>35</v>
          </cell>
          <cell r="R327">
            <v>0</v>
          </cell>
          <cell r="S327">
            <v>0</v>
          </cell>
          <cell r="T327">
            <v>0</v>
          </cell>
          <cell r="U327">
            <v>0</v>
          </cell>
          <cell r="V327">
            <v>3808.66</v>
          </cell>
          <cell r="W327">
            <v>3773.66</v>
          </cell>
        </row>
        <row r="328">
          <cell r="A328" t="str">
            <v>Good Samaritan Hospital</v>
          </cell>
          <cell r="B328">
            <v>15</v>
          </cell>
          <cell r="C328">
            <v>37591</v>
          </cell>
          <cell r="D328">
            <v>37591</v>
          </cell>
          <cell r="E328">
            <v>13000</v>
          </cell>
          <cell r="F328">
            <v>5278</v>
          </cell>
          <cell r="G328">
            <v>0</v>
          </cell>
          <cell r="H328">
            <v>75</v>
          </cell>
          <cell r="I328">
            <v>0</v>
          </cell>
          <cell r="J328">
            <v>0</v>
          </cell>
          <cell r="K328">
            <v>0</v>
          </cell>
          <cell r="L328">
            <v>0</v>
          </cell>
          <cell r="M328">
            <v>0</v>
          </cell>
          <cell r="N328">
            <v>0</v>
          </cell>
          <cell r="O328">
            <v>0</v>
          </cell>
          <cell r="P328">
            <v>0</v>
          </cell>
          <cell r="Q328">
            <v>35</v>
          </cell>
          <cell r="R328">
            <v>0</v>
          </cell>
          <cell r="S328">
            <v>0</v>
          </cell>
          <cell r="T328">
            <v>0</v>
          </cell>
          <cell r="U328">
            <v>0</v>
          </cell>
          <cell r="V328">
            <v>5388</v>
          </cell>
          <cell r="W328">
            <v>5353</v>
          </cell>
        </row>
        <row r="329">
          <cell r="A329" t="str">
            <v>CountryMark Cooperative, Inc.</v>
          </cell>
          <cell r="B329">
            <v>16</v>
          </cell>
          <cell r="C329">
            <v>37257</v>
          </cell>
          <cell r="D329">
            <v>37257</v>
          </cell>
          <cell r="E329">
            <v>8500</v>
          </cell>
          <cell r="F329">
            <v>3451</v>
          </cell>
          <cell r="G329">
            <v>0</v>
          </cell>
          <cell r="H329">
            <v>75</v>
          </cell>
          <cell r="I329">
            <v>0</v>
          </cell>
          <cell r="J329">
            <v>0</v>
          </cell>
          <cell r="K329">
            <v>0</v>
          </cell>
          <cell r="L329">
            <v>0</v>
          </cell>
          <cell r="M329">
            <v>0</v>
          </cell>
          <cell r="N329">
            <v>8500</v>
          </cell>
          <cell r="O329">
            <v>25.5</v>
          </cell>
          <cell r="P329">
            <v>0</v>
          </cell>
          <cell r="Q329">
            <v>35</v>
          </cell>
          <cell r="R329">
            <v>1.75</v>
          </cell>
          <cell r="S329">
            <v>0</v>
          </cell>
          <cell r="T329">
            <v>0</v>
          </cell>
          <cell r="U329">
            <v>0</v>
          </cell>
          <cell r="V329">
            <v>3588.25</v>
          </cell>
          <cell r="W329">
            <v>3551.5</v>
          </cell>
        </row>
        <row r="330">
          <cell r="A330" t="str">
            <v>CountryMark Cooperative, Inc.</v>
          </cell>
          <cell r="B330">
            <v>16</v>
          </cell>
          <cell r="C330">
            <v>37288</v>
          </cell>
          <cell r="D330">
            <v>37288</v>
          </cell>
          <cell r="E330">
            <v>6000</v>
          </cell>
          <cell r="F330">
            <v>2436</v>
          </cell>
          <cell r="G330">
            <v>0</v>
          </cell>
          <cell r="H330">
            <v>75</v>
          </cell>
          <cell r="I330">
            <v>0</v>
          </cell>
          <cell r="J330">
            <v>0</v>
          </cell>
          <cell r="K330">
            <v>0</v>
          </cell>
          <cell r="L330">
            <v>0</v>
          </cell>
          <cell r="M330">
            <v>0</v>
          </cell>
          <cell r="N330">
            <v>6000</v>
          </cell>
          <cell r="O330">
            <v>-6</v>
          </cell>
          <cell r="P330">
            <v>0</v>
          </cell>
          <cell r="Q330">
            <v>35</v>
          </cell>
          <cell r="R330">
            <v>1.75</v>
          </cell>
          <cell r="S330">
            <v>0</v>
          </cell>
          <cell r="T330">
            <v>0</v>
          </cell>
          <cell r="U330">
            <v>0</v>
          </cell>
          <cell r="V330">
            <v>2541.75</v>
          </cell>
          <cell r="W330">
            <v>2505</v>
          </cell>
        </row>
        <row r="331">
          <cell r="A331" t="str">
            <v>CountryMark Cooperative, Inc.</v>
          </cell>
          <cell r="B331">
            <v>16</v>
          </cell>
          <cell r="C331">
            <v>37316</v>
          </cell>
          <cell r="D331">
            <v>37316</v>
          </cell>
          <cell r="E331">
            <v>6014</v>
          </cell>
          <cell r="F331">
            <v>2441.6799999999998</v>
          </cell>
          <cell r="G331">
            <v>0</v>
          </cell>
          <cell r="H331">
            <v>75</v>
          </cell>
          <cell r="I331">
            <v>0</v>
          </cell>
          <cell r="J331">
            <v>0</v>
          </cell>
          <cell r="K331">
            <v>0</v>
          </cell>
          <cell r="L331">
            <v>0</v>
          </cell>
          <cell r="M331">
            <v>0</v>
          </cell>
          <cell r="N331">
            <v>6014</v>
          </cell>
          <cell r="O331">
            <v>-6.01</v>
          </cell>
          <cell r="P331">
            <v>0</v>
          </cell>
          <cell r="Q331">
            <v>35</v>
          </cell>
          <cell r="R331">
            <v>1.75</v>
          </cell>
          <cell r="S331">
            <v>0</v>
          </cell>
          <cell r="T331">
            <v>0</v>
          </cell>
          <cell r="U331">
            <v>0</v>
          </cell>
          <cell r="V331">
            <v>2547.42</v>
          </cell>
          <cell r="W331">
            <v>2510.67</v>
          </cell>
        </row>
        <row r="332">
          <cell r="A332" t="str">
            <v>CountryMark Cooperative, Inc.</v>
          </cell>
          <cell r="B332">
            <v>16</v>
          </cell>
          <cell r="C332">
            <v>37347</v>
          </cell>
          <cell r="D332">
            <v>37347</v>
          </cell>
          <cell r="E332">
            <v>5223</v>
          </cell>
          <cell r="F332">
            <v>2120.54</v>
          </cell>
          <cell r="G332">
            <v>0</v>
          </cell>
          <cell r="H332">
            <v>75</v>
          </cell>
          <cell r="I332">
            <v>0</v>
          </cell>
          <cell r="J332">
            <v>0</v>
          </cell>
          <cell r="K332">
            <v>0</v>
          </cell>
          <cell r="L332">
            <v>0</v>
          </cell>
          <cell r="M332">
            <v>0</v>
          </cell>
          <cell r="N332">
            <v>5223</v>
          </cell>
          <cell r="O332">
            <v>-5.22</v>
          </cell>
          <cell r="P332">
            <v>0</v>
          </cell>
          <cell r="Q332">
            <v>35</v>
          </cell>
          <cell r="R332">
            <v>1.75</v>
          </cell>
          <cell r="S332">
            <v>0</v>
          </cell>
          <cell r="T332">
            <v>0</v>
          </cell>
          <cell r="U332">
            <v>0</v>
          </cell>
          <cell r="V332">
            <v>2227.0700000000002</v>
          </cell>
          <cell r="W332">
            <v>2190.3200000000002</v>
          </cell>
        </row>
        <row r="333">
          <cell r="A333" t="str">
            <v>CountryMark Cooperative, Inc.</v>
          </cell>
          <cell r="B333">
            <v>16</v>
          </cell>
          <cell r="C333">
            <v>37377</v>
          </cell>
          <cell r="D333">
            <v>37377</v>
          </cell>
          <cell r="E333">
            <v>7058</v>
          </cell>
          <cell r="F333">
            <v>2865.55</v>
          </cell>
          <cell r="G333">
            <v>0</v>
          </cell>
          <cell r="H333">
            <v>75</v>
          </cell>
          <cell r="I333">
            <v>0</v>
          </cell>
          <cell r="J333">
            <v>0</v>
          </cell>
          <cell r="K333">
            <v>0</v>
          </cell>
          <cell r="L333">
            <v>0</v>
          </cell>
          <cell r="M333">
            <v>0</v>
          </cell>
          <cell r="N333">
            <v>0</v>
          </cell>
          <cell r="O333">
            <v>0</v>
          </cell>
          <cell r="P333">
            <v>0</v>
          </cell>
          <cell r="Q333">
            <v>35</v>
          </cell>
          <cell r="R333">
            <v>1.75</v>
          </cell>
          <cell r="S333">
            <v>0</v>
          </cell>
          <cell r="T333">
            <v>0</v>
          </cell>
          <cell r="U333">
            <v>0</v>
          </cell>
          <cell r="V333">
            <v>2977.3</v>
          </cell>
          <cell r="W333">
            <v>2940.55</v>
          </cell>
        </row>
        <row r="334">
          <cell r="A334" t="str">
            <v>CountryMark Cooperative, Inc.</v>
          </cell>
          <cell r="B334">
            <v>16</v>
          </cell>
          <cell r="C334">
            <v>37408</v>
          </cell>
          <cell r="D334">
            <v>37408</v>
          </cell>
          <cell r="E334">
            <v>8507</v>
          </cell>
          <cell r="F334">
            <v>3453.84</v>
          </cell>
          <cell r="G334">
            <v>0</v>
          </cell>
          <cell r="H334">
            <v>75</v>
          </cell>
          <cell r="I334">
            <v>0</v>
          </cell>
          <cell r="J334">
            <v>0</v>
          </cell>
          <cell r="K334">
            <v>0</v>
          </cell>
          <cell r="L334">
            <v>0</v>
          </cell>
          <cell r="M334">
            <v>0</v>
          </cell>
          <cell r="N334">
            <v>0</v>
          </cell>
          <cell r="O334">
            <v>0</v>
          </cell>
          <cell r="P334">
            <v>0</v>
          </cell>
          <cell r="Q334">
            <v>35</v>
          </cell>
          <cell r="R334">
            <v>1.75</v>
          </cell>
          <cell r="S334">
            <v>0</v>
          </cell>
          <cell r="T334">
            <v>0</v>
          </cell>
          <cell r="U334">
            <v>0</v>
          </cell>
          <cell r="V334">
            <v>3565.59</v>
          </cell>
          <cell r="W334">
            <v>3528.84</v>
          </cell>
        </row>
        <row r="335">
          <cell r="A335" t="str">
            <v>CountryMark Cooperative, Inc.</v>
          </cell>
          <cell r="B335">
            <v>16</v>
          </cell>
          <cell r="C335">
            <v>37438</v>
          </cell>
          <cell r="D335">
            <v>37438</v>
          </cell>
          <cell r="E335">
            <v>5170</v>
          </cell>
          <cell r="F335">
            <v>2099.02</v>
          </cell>
          <cell r="G335">
            <v>0</v>
          </cell>
          <cell r="H335">
            <v>75</v>
          </cell>
          <cell r="I335">
            <v>0</v>
          </cell>
          <cell r="J335">
            <v>0</v>
          </cell>
          <cell r="K335">
            <v>0</v>
          </cell>
          <cell r="L335">
            <v>0</v>
          </cell>
          <cell r="M335">
            <v>0</v>
          </cell>
          <cell r="N335">
            <v>0</v>
          </cell>
          <cell r="O335">
            <v>0</v>
          </cell>
          <cell r="P335">
            <v>0</v>
          </cell>
          <cell r="Q335">
            <v>35</v>
          </cell>
          <cell r="R335">
            <v>1.75</v>
          </cell>
          <cell r="S335">
            <v>0</v>
          </cell>
          <cell r="T335">
            <v>0</v>
          </cell>
          <cell r="U335">
            <v>0</v>
          </cell>
          <cell r="V335">
            <v>2210.77</v>
          </cell>
          <cell r="W335">
            <v>2174.02</v>
          </cell>
        </row>
        <row r="336">
          <cell r="A336" t="str">
            <v>CountryMark Cooperative, Inc.</v>
          </cell>
          <cell r="B336">
            <v>16</v>
          </cell>
          <cell r="C336">
            <v>37469</v>
          </cell>
          <cell r="D336">
            <v>37469</v>
          </cell>
          <cell r="E336">
            <v>7343</v>
          </cell>
          <cell r="F336">
            <v>2981.26</v>
          </cell>
          <cell r="G336">
            <v>0</v>
          </cell>
          <cell r="H336">
            <v>75</v>
          </cell>
          <cell r="I336">
            <v>0</v>
          </cell>
          <cell r="J336">
            <v>0</v>
          </cell>
          <cell r="K336">
            <v>0</v>
          </cell>
          <cell r="L336">
            <v>0</v>
          </cell>
          <cell r="M336">
            <v>0</v>
          </cell>
          <cell r="N336">
            <v>0</v>
          </cell>
          <cell r="O336">
            <v>0</v>
          </cell>
          <cell r="P336">
            <v>0</v>
          </cell>
          <cell r="Q336">
            <v>35</v>
          </cell>
          <cell r="R336">
            <v>1.75</v>
          </cell>
          <cell r="S336">
            <v>0</v>
          </cell>
          <cell r="T336">
            <v>0</v>
          </cell>
          <cell r="U336">
            <v>0</v>
          </cell>
          <cell r="V336">
            <v>3093.01</v>
          </cell>
          <cell r="W336">
            <v>3056.26</v>
          </cell>
        </row>
        <row r="337">
          <cell r="A337" t="str">
            <v>CountryMark Cooperative, Inc.</v>
          </cell>
          <cell r="B337">
            <v>16</v>
          </cell>
          <cell r="C337">
            <v>37500</v>
          </cell>
          <cell r="D337">
            <v>37500</v>
          </cell>
          <cell r="E337">
            <v>2967</v>
          </cell>
          <cell r="F337">
            <v>1204.5999999999999</v>
          </cell>
          <cell r="G337">
            <v>0</v>
          </cell>
          <cell r="H337">
            <v>75</v>
          </cell>
          <cell r="I337">
            <v>0</v>
          </cell>
          <cell r="J337">
            <v>0</v>
          </cell>
          <cell r="K337">
            <v>0</v>
          </cell>
          <cell r="L337">
            <v>0</v>
          </cell>
          <cell r="M337">
            <v>0</v>
          </cell>
          <cell r="N337">
            <v>0</v>
          </cell>
          <cell r="O337">
            <v>0</v>
          </cell>
          <cell r="P337">
            <v>0</v>
          </cell>
          <cell r="Q337">
            <v>35</v>
          </cell>
          <cell r="R337">
            <v>1.75</v>
          </cell>
          <cell r="S337">
            <v>0</v>
          </cell>
          <cell r="T337">
            <v>0</v>
          </cell>
          <cell r="U337">
            <v>0</v>
          </cell>
          <cell r="V337">
            <v>1316.35</v>
          </cell>
          <cell r="W337">
            <v>1279.5999999999999</v>
          </cell>
        </row>
        <row r="338">
          <cell r="A338" t="str">
            <v>CountryMark Cooperative, Inc.</v>
          </cell>
          <cell r="B338">
            <v>16</v>
          </cell>
          <cell r="C338">
            <v>37530</v>
          </cell>
          <cell r="D338">
            <v>37530</v>
          </cell>
          <cell r="E338">
            <v>4347</v>
          </cell>
          <cell r="F338">
            <v>1764.88</v>
          </cell>
          <cell r="G338">
            <v>0</v>
          </cell>
          <cell r="H338">
            <v>75</v>
          </cell>
          <cell r="I338">
            <v>0</v>
          </cell>
          <cell r="J338">
            <v>0</v>
          </cell>
          <cell r="K338">
            <v>0</v>
          </cell>
          <cell r="L338">
            <v>0</v>
          </cell>
          <cell r="M338">
            <v>0</v>
          </cell>
          <cell r="N338">
            <v>0</v>
          </cell>
          <cell r="O338">
            <v>0</v>
          </cell>
          <cell r="P338">
            <v>0</v>
          </cell>
          <cell r="Q338">
            <v>35</v>
          </cell>
          <cell r="R338">
            <v>1.75</v>
          </cell>
          <cell r="S338">
            <v>0</v>
          </cell>
          <cell r="T338">
            <v>0</v>
          </cell>
          <cell r="U338">
            <v>0</v>
          </cell>
          <cell r="V338">
            <v>1876.63</v>
          </cell>
          <cell r="W338">
            <v>1839.88</v>
          </cell>
        </row>
        <row r="339">
          <cell r="A339" t="str">
            <v>CountryMark Cooperative, Inc.</v>
          </cell>
          <cell r="B339">
            <v>16</v>
          </cell>
          <cell r="C339">
            <v>37561</v>
          </cell>
          <cell r="D339">
            <v>37561</v>
          </cell>
          <cell r="E339">
            <v>4427</v>
          </cell>
          <cell r="F339">
            <v>1797.36</v>
          </cell>
          <cell r="G339">
            <v>0</v>
          </cell>
          <cell r="H339">
            <v>75</v>
          </cell>
          <cell r="I339">
            <v>0</v>
          </cell>
          <cell r="J339">
            <v>0</v>
          </cell>
          <cell r="K339">
            <v>0</v>
          </cell>
          <cell r="L339">
            <v>0</v>
          </cell>
          <cell r="M339">
            <v>0</v>
          </cell>
          <cell r="N339">
            <v>0</v>
          </cell>
          <cell r="O339">
            <v>0</v>
          </cell>
          <cell r="P339">
            <v>0</v>
          </cell>
          <cell r="Q339">
            <v>35</v>
          </cell>
          <cell r="R339">
            <v>1.75</v>
          </cell>
          <cell r="S339">
            <v>0</v>
          </cell>
          <cell r="T339">
            <v>0</v>
          </cell>
          <cell r="U339">
            <v>0</v>
          </cell>
          <cell r="V339">
            <v>1909.11</v>
          </cell>
          <cell r="W339">
            <v>1872.36</v>
          </cell>
        </row>
        <row r="340">
          <cell r="A340" t="str">
            <v>CountryMark Cooperative, Inc.</v>
          </cell>
          <cell r="B340">
            <v>16</v>
          </cell>
          <cell r="C340">
            <v>37591</v>
          </cell>
          <cell r="D340">
            <v>37591</v>
          </cell>
          <cell r="E340">
            <v>5000</v>
          </cell>
          <cell r="F340">
            <v>2030</v>
          </cell>
          <cell r="G340">
            <v>0</v>
          </cell>
          <cell r="H340">
            <v>75</v>
          </cell>
          <cell r="I340">
            <v>0</v>
          </cell>
          <cell r="J340">
            <v>0</v>
          </cell>
          <cell r="K340">
            <v>0</v>
          </cell>
          <cell r="L340">
            <v>0</v>
          </cell>
          <cell r="M340">
            <v>0</v>
          </cell>
          <cell r="N340">
            <v>0</v>
          </cell>
          <cell r="O340">
            <v>0</v>
          </cell>
          <cell r="P340">
            <v>0</v>
          </cell>
          <cell r="Q340">
            <v>35</v>
          </cell>
          <cell r="R340">
            <v>2.1</v>
          </cell>
          <cell r="S340">
            <v>0</v>
          </cell>
          <cell r="T340">
            <v>0</v>
          </cell>
          <cell r="U340">
            <v>0</v>
          </cell>
          <cell r="V340">
            <v>2142.1</v>
          </cell>
          <cell r="W340">
            <v>2105</v>
          </cell>
        </row>
        <row r="341">
          <cell r="A341" t="str">
            <v>Faultless Caster Corporation</v>
          </cell>
          <cell r="B341">
            <v>17</v>
          </cell>
          <cell r="C341">
            <v>37257</v>
          </cell>
          <cell r="D341">
            <v>37257</v>
          </cell>
          <cell r="E341">
            <v>9600</v>
          </cell>
          <cell r="F341">
            <v>3897.6</v>
          </cell>
          <cell r="G341">
            <v>0</v>
          </cell>
          <cell r="H341">
            <v>75</v>
          </cell>
          <cell r="I341">
            <v>0</v>
          </cell>
          <cell r="J341">
            <v>0</v>
          </cell>
          <cell r="K341">
            <v>0</v>
          </cell>
          <cell r="L341">
            <v>0</v>
          </cell>
          <cell r="M341">
            <v>0</v>
          </cell>
          <cell r="N341">
            <v>9600</v>
          </cell>
          <cell r="O341">
            <v>28.8</v>
          </cell>
          <cell r="P341">
            <v>0</v>
          </cell>
          <cell r="Q341">
            <v>35</v>
          </cell>
          <cell r="R341">
            <v>0</v>
          </cell>
          <cell r="S341">
            <v>0</v>
          </cell>
          <cell r="T341">
            <v>0</v>
          </cell>
          <cell r="U341">
            <v>0</v>
          </cell>
          <cell r="V341">
            <v>4036.4</v>
          </cell>
          <cell r="W341">
            <v>4001.4</v>
          </cell>
        </row>
        <row r="342">
          <cell r="A342" t="str">
            <v>Faultless Caster Corporation</v>
          </cell>
          <cell r="B342">
            <v>17</v>
          </cell>
          <cell r="C342">
            <v>37288</v>
          </cell>
          <cell r="D342">
            <v>37288</v>
          </cell>
          <cell r="E342">
            <v>5000</v>
          </cell>
          <cell r="F342">
            <v>2030</v>
          </cell>
          <cell r="G342">
            <v>0</v>
          </cell>
          <cell r="H342">
            <v>75</v>
          </cell>
          <cell r="I342">
            <v>0</v>
          </cell>
          <cell r="J342">
            <v>0</v>
          </cell>
          <cell r="K342">
            <v>0</v>
          </cell>
          <cell r="L342">
            <v>0</v>
          </cell>
          <cell r="M342">
            <v>0</v>
          </cell>
          <cell r="N342">
            <v>5000</v>
          </cell>
          <cell r="O342">
            <v>-5</v>
          </cell>
          <cell r="P342">
            <v>0</v>
          </cell>
          <cell r="Q342">
            <v>35</v>
          </cell>
          <cell r="R342">
            <v>0</v>
          </cell>
          <cell r="S342">
            <v>0</v>
          </cell>
          <cell r="T342">
            <v>0</v>
          </cell>
          <cell r="U342">
            <v>0</v>
          </cell>
          <cell r="V342">
            <v>2135</v>
          </cell>
          <cell r="W342">
            <v>2100</v>
          </cell>
        </row>
        <row r="343">
          <cell r="A343" t="str">
            <v>Faultless Caster Corporation</v>
          </cell>
          <cell r="B343">
            <v>17</v>
          </cell>
          <cell r="C343">
            <v>37316</v>
          </cell>
          <cell r="D343">
            <v>37316</v>
          </cell>
          <cell r="E343">
            <v>5301</v>
          </cell>
          <cell r="F343">
            <v>2152.21</v>
          </cell>
          <cell r="G343">
            <v>0</v>
          </cell>
          <cell r="H343">
            <v>75</v>
          </cell>
          <cell r="I343">
            <v>0</v>
          </cell>
          <cell r="J343">
            <v>0</v>
          </cell>
          <cell r="K343">
            <v>0</v>
          </cell>
          <cell r="L343">
            <v>0</v>
          </cell>
          <cell r="M343">
            <v>0</v>
          </cell>
          <cell r="N343">
            <v>5301</v>
          </cell>
          <cell r="O343">
            <v>-5.3</v>
          </cell>
          <cell r="P343">
            <v>0</v>
          </cell>
          <cell r="Q343">
            <v>35</v>
          </cell>
          <cell r="R343">
            <v>0</v>
          </cell>
          <cell r="S343">
            <v>0</v>
          </cell>
          <cell r="T343">
            <v>0</v>
          </cell>
          <cell r="U343">
            <v>0</v>
          </cell>
          <cell r="V343">
            <v>2256.91</v>
          </cell>
          <cell r="W343">
            <v>2221.91</v>
          </cell>
        </row>
        <row r="344">
          <cell r="A344" t="str">
            <v>Faultless Caster Corporation</v>
          </cell>
          <cell r="B344">
            <v>17</v>
          </cell>
          <cell r="C344">
            <v>37347</v>
          </cell>
          <cell r="D344">
            <v>37347</v>
          </cell>
          <cell r="E344">
            <v>4600</v>
          </cell>
          <cell r="F344">
            <v>1867.6</v>
          </cell>
          <cell r="G344">
            <v>0</v>
          </cell>
          <cell r="H344">
            <v>75</v>
          </cell>
          <cell r="I344">
            <v>0</v>
          </cell>
          <cell r="J344">
            <v>0</v>
          </cell>
          <cell r="K344">
            <v>0</v>
          </cell>
          <cell r="L344">
            <v>0</v>
          </cell>
          <cell r="M344">
            <v>0</v>
          </cell>
          <cell r="N344">
            <v>4600</v>
          </cell>
          <cell r="O344">
            <v>-4.5999999999999996</v>
          </cell>
          <cell r="P344">
            <v>0</v>
          </cell>
          <cell r="Q344">
            <v>35</v>
          </cell>
          <cell r="R344">
            <v>0</v>
          </cell>
          <cell r="S344">
            <v>0</v>
          </cell>
          <cell r="T344">
            <v>0</v>
          </cell>
          <cell r="U344">
            <v>0</v>
          </cell>
          <cell r="V344">
            <v>1973</v>
          </cell>
          <cell r="W344">
            <v>1938</v>
          </cell>
        </row>
        <row r="345">
          <cell r="A345" t="str">
            <v>Faultless Caster Corporation</v>
          </cell>
          <cell r="B345">
            <v>17</v>
          </cell>
          <cell r="C345">
            <v>37377</v>
          </cell>
          <cell r="D345">
            <v>37377</v>
          </cell>
          <cell r="E345">
            <v>2600</v>
          </cell>
          <cell r="F345">
            <v>1055.5999999999999</v>
          </cell>
          <cell r="G345">
            <v>0</v>
          </cell>
          <cell r="H345">
            <v>75</v>
          </cell>
          <cell r="I345">
            <v>0</v>
          </cell>
          <cell r="J345">
            <v>0</v>
          </cell>
          <cell r="K345">
            <v>0</v>
          </cell>
          <cell r="L345">
            <v>0</v>
          </cell>
          <cell r="M345">
            <v>0</v>
          </cell>
          <cell r="N345">
            <v>0</v>
          </cell>
          <cell r="O345">
            <v>0</v>
          </cell>
          <cell r="P345">
            <v>0</v>
          </cell>
          <cell r="Q345">
            <v>35</v>
          </cell>
          <cell r="R345">
            <v>0</v>
          </cell>
          <cell r="S345">
            <v>0</v>
          </cell>
          <cell r="T345">
            <v>0</v>
          </cell>
          <cell r="U345">
            <v>0</v>
          </cell>
          <cell r="V345">
            <v>1165.5999999999999</v>
          </cell>
          <cell r="W345">
            <v>1130.5999999999999</v>
          </cell>
        </row>
        <row r="346">
          <cell r="A346" t="str">
            <v>Faultless Caster Corporation</v>
          </cell>
          <cell r="B346">
            <v>17</v>
          </cell>
          <cell r="C346">
            <v>37408</v>
          </cell>
          <cell r="D346">
            <v>37408</v>
          </cell>
          <cell r="E346">
            <v>2800</v>
          </cell>
          <cell r="F346">
            <v>1136.8</v>
          </cell>
          <cell r="G346">
            <v>0</v>
          </cell>
          <cell r="H346">
            <v>75</v>
          </cell>
          <cell r="I346">
            <v>0</v>
          </cell>
          <cell r="J346">
            <v>0</v>
          </cell>
          <cell r="K346">
            <v>0</v>
          </cell>
          <cell r="L346">
            <v>0</v>
          </cell>
          <cell r="M346">
            <v>0</v>
          </cell>
          <cell r="N346">
            <v>0</v>
          </cell>
          <cell r="O346">
            <v>0</v>
          </cell>
          <cell r="P346">
            <v>0</v>
          </cell>
          <cell r="Q346">
            <v>35</v>
          </cell>
          <cell r="R346">
            <v>0</v>
          </cell>
          <cell r="S346">
            <v>0</v>
          </cell>
          <cell r="T346">
            <v>0</v>
          </cell>
          <cell r="U346">
            <v>0</v>
          </cell>
          <cell r="V346">
            <v>1246.8</v>
          </cell>
          <cell r="W346">
            <v>1211.8</v>
          </cell>
        </row>
        <row r="347">
          <cell r="A347" t="str">
            <v>Faultless Caster Corporation</v>
          </cell>
          <cell r="B347">
            <v>17</v>
          </cell>
          <cell r="C347">
            <v>37438</v>
          </cell>
          <cell r="D347">
            <v>37438</v>
          </cell>
          <cell r="E347">
            <v>0</v>
          </cell>
          <cell r="F347">
            <v>0</v>
          </cell>
          <cell r="G347">
            <v>0</v>
          </cell>
          <cell r="H347">
            <v>75</v>
          </cell>
          <cell r="I347">
            <v>0</v>
          </cell>
          <cell r="J347">
            <v>0</v>
          </cell>
          <cell r="K347">
            <v>0</v>
          </cell>
          <cell r="L347">
            <v>0</v>
          </cell>
          <cell r="M347">
            <v>0</v>
          </cell>
          <cell r="N347">
            <v>0</v>
          </cell>
          <cell r="O347">
            <v>0</v>
          </cell>
          <cell r="P347">
            <v>0</v>
          </cell>
          <cell r="Q347">
            <v>35</v>
          </cell>
          <cell r="R347">
            <v>0</v>
          </cell>
          <cell r="S347">
            <v>0</v>
          </cell>
          <cell r="T347">
            <v>0</v>
          </cell>
          <cell r="U347">
            <v>0</v>
          </cell>
          <cell r="V347">
            <v>110</v>
          </cell>
          <cell r="W347">
            <v>75</v>
          </cell>
        </row>
        <row r="348">
          <cell r="A348" t="str">
            <v>Faultless Caster Corporation</v>
          </cell>
          <cell r="B348">
            <v>17</v>
          </cell>
          <cell r="C348">
            <v>37469</v>
          </cell>
          <cell r="D348">
            <v>37469</v>
          </cell>
          <cell r="E348">
            <v>0</v>
          </cell>
          <cell r="F348">
            <v>0</v>
          </cell>
          <cell r="G348">
            <v>0</v>
          </cell>
          <cell r="H348">
            <v>75</v>
          </cell>
          <cell r="I348">
            <v>0</v>
          </cell>
          <cell r="J348">
            <v>0</v>
          </cell>
          <cell r="K348">
            <v>0</v>
          </cell>
          <cell r="L348">
            <v>0</v>
          </cell>
          <cell r="M348">
            <v>0</v>
          </cell>
          <cell r="N348">
            <v>0</v>
          </cell>
          <cell r="O348">
            <v>0</v>
          </cell>
          <cell r="P348">
            <v>0</v>
          </cell>
          <cell r="Q348">
            <v>35</v>
          </cell>
          <cell r="R348">
            <v>0</v>
          </cell>
          <cell r="S348">
            <v>0</v>
          </cell>
          <cell r="T348">
            <v>0</v>
          </cell>
          <cell r="U348">
            <v>0</v>
          </cell>
          <cell r="V348">
            <v>110</v>
          </cell>
          <cell r="W348">
            <v>75</v>
          </cell>
        </row>
        <row r="349">
          <cell r="A349" t="str">
            <v>Faultless Caster Corporation</v>
          </cell>
          <cell r="B349">
            <v>17</v>
          </cell>
          <cell r="C349">
            <v>37500</v>
          </cell>
          <cell r="D349">
            <v>37500</v>
          </cell>
          <cell r="E349">
            <v>0</v>
          </cell>
          <cell r="F349">
            <v>0</v>
          </cell>
          <cell r="G349">
            <v>0</v>
          </cell>
          <cell r="H349">
            <v>75</v>
          </cell>
          <cell r="I349">
            <v>0</v>
          </cell>
          <cell r="J349">
            <v>0</v>
          </cell>
          <cell r="K349">
            <v>0</v>
          </cell>
          <cell r="L349">
            <v>0</v>
          </cell>
          <cell r="M349">
            <v>0</v>
          </cell>
          <cell r="N349">
            <v>0</v>
          </cell>
          <cell r="O349">
            <v>0</v>
          </cell>
          <cell r="P349">
            <v>0</v>
          </cell>
          <cell r="Q349">
            <v>35</v>
          </cell>
          <cell r="R349">
            <v>0</v>
          </cell>
          <cell r="S349">
            <v>0</v>
          </cell>
          <cell r="T349">
            <v>0</v>
          </cell>
          <cell r="U349">
            <v>0</v>
          </cell>
          <cell r="V349">
            <v>110</v>
          </cell>
          <cell r="W349">
            <v>75</v>
          </cell>
        </row>
        <row r="350">
          <cell r="A350" t="str">
            <v>Faultless Caster Corporation</v>
          </cell>
          <cell r="B350">
            <v>17</v>
          </cell>
          <cell r="C350">
            <v>37530</v>
          </cell>
          <cell r="D350">
            <v>37530</v>
          </cell>
          <cell r="E350">
            <v>0</v>
          </cell>
          <cell r="F350">
            <v>0</v>
          </cell>
          <cell r="G350">
            <v>0</v>
          </cell>
          <cell r="H350">
            <v>75</v>
          </cell>
          <cell r="I350">
            <v>0</v>
          </cell>
          <cell r="J350">
            <v>0</v>
          </cell>
          <cell r="K350">
            <v>0</v>
          </cell>
          <cell r="L350">
            <v>0</v>
          </cell>
          <cell r="M350">
            <v>0</v>
          </cell>
          <cell r="N350">
            <v>0</v>
          </cell>
          <cell r="O350">
            <v>0</v>
          </cell>
          <cell r="P350">
            <v>0</v>
          </cell>
          <cell r="Q350">
            <v>35</v>
          </cell>
          <cell r="R350">
            <v>0</v>
          </cell>
          <cell r="S350">
            <v>0</v>
          </cell>
          <cell r="T350">
            <v>0</v>
          </cell>
          <cell r="U350">
            <v>0</v>
          </cell>
          <cell r="V350">
            <v>110</v>
          </cell>
          <cell r="W350">
            <v>75</v>
          </cell>
        </row>
        <row r="351">
          <cell r="A351" t="str">
            <v>Faultless Caster Corporation</v>
          </cell>
          <cell r="B351">
            <v>17</v>
          </cell>
          <cell r="C351">
            <v>37561</v>
          </cell>
          <cell r="D351">
            <v>37561</v>
          </cell>
          <cell r="E351">
            <v>624</v>
          </cell>
          <cell r="F351">
            <v>253.34</v>
          </cell>
          <cell r="G351">
            <v>0</v>
          </cell>
          <cell r="H351">
            <v>75</v>
          </cell>
          <cell r="I351">
            <v>0</v>
          </cell>
          <cell r="J351">
            <v>0</v>
          </cell>
          <cell r="K351">
            <v>0</v>
          </cell>
          <cell r="L351">
            <v>0</v>
          </cell>
          <cell r="M351">
            <v>0</v>
          </cell>
          <cell r="N351">
            <v>0</v>
          </cell>
          <cell r="O351">
            <v>0</v>
          </cell>
          <cell r="P351">
            <v>0</v>
          </cell>
          <cell r="Q351">
            <v>35</v>
          </cell>
          <cell r="R351">
            <v>0</v>
          </cell>
          <cell r="S351">
            <v>0</v>
          </cell>
          <cell r="T351">
            <v>0</v>
          </cell>
          <cell r="U351">
            <v>0</v>
          </cell>
          <cell r="V351">
            <v>363.34</v>
          </cell>
          <cell r="W351">
            <v>328.34</v>
          </cell>
        </row>
        <row r="352">
          <cell r="A352" t="str">
            <v>Faultless Caster Corporation</v>
          </cell>
          <cell r="B352">
            <v>17</v>
          </cell>
          <cell r="C352">
            <v>37591</v>
          </cell>
          <cell r="D352">
            <v>37591</v>
          </cell>
          <cell r="E352">
            <v>6258</v>
          </cell>
          <cell r="F352">
            <v>2540.75</v>
          </cell>
          <cell r="G352">
            <v>0</v>
          </cell>
          <cell r="H352">
            <v>75</v>
          </cell>
          <cell r="I352">
            <v>0</v>
          </cell>
          <cell r="J352">
            <v>0</v>
          </cell>
          <cell r="K352">
            <v>0</v>
          </cell>
          <cell r="L352">
            <v>0</v>
          </cell>
          <cell r="M352">
            <v>0</v>
          </cell>
          <cell r="N352">
            <v>0</v>
          </cell>
          <cell r="O352">
            <v>0</v>
          </cell>
          <cell r="P352">
            <v>0</v>
          </cell>
          <cell r="Q352">
            <v>35</v>
          </cell>
          <cell r="R352">
            <v>0</v>
          </cell>
          <cell r="S352">
            <v>0</v>
          </cell>
          <cell r="T352">
            <v>0</v>
          </cell>
          <cell r="U352">
            <v>0</v>
          </cell>
          <cell r="V352">
            <v>2650.75</v>
          </cell>
          <cell r="W352">
            <v>2615.75</v>
          </cell>
        </row>
        <row r="353">
          <cell r="A353" t="str">
            <v>Bootz Manufacturing Company</v>
          </cell>
          <cell r="B353">
            <v>21</v>
          </cell>
          <cell r="C353">
            <v>37257</v>
          </cell>
          <cell r="D353">
            <v>37257</v>
          </cell>
          <cell r="E353">
            <v>10590</v>
          </cell>
          <cell r="F353">
            <v>4299.54</v>
          </cell>
          <cell r="G353">
            <v>0</v>
          </cell>
          <cell r="H353">
            <v>75</v>
          </cell>
          <cell r="I353">
            <v>0</v>
          </cell>
          <cell r="J353">
            <v>0</v>
          </cell>
          <cell r="K353">
            <v>0</v>
          </cell>
          <cell r="L353">
            <v>0</v>
          </cell>
          <cell r="M353">
            <v>0</v>
          </cell>
          <cell r="N353">
            <v>10590</v>
          </cell>
          <cell r="O353">
            <v>31.77</v>
          </cell>
          <cell r="P353">
            <v>0</v>
          </cell>
          <cell r="Q353">
            <v>35</v>
          </cell>
          <cell r="R353">
            <v>0</v>
          </cell>
          <cell r="S353">
            <v>0</v>
          </cell>
          <cell r="T353">
            <v>0</v>
          </cell>
          <cell r="U353">
            <v>0</v>
          </cell>
          <cell r="V353">
            <v>4441.3100000000004</v>
          </cell>
          <cell r="W353">
            <v>4406.3100000000004</v>
          </cell>
        </row>
        <row r="354">
          <cell r="A354" t="str">
            <v>Bootz Manufacturing Company</v>
          </cell>
          <cell r="B354">
            <v>21</v>
          </cell>
          <cell r="C354">
            <v>37288</v>
          </cell>
          <cell r="D354">
            <v>37288</v>
          </cell>
          <cell r="E354">
            <v>10000</v>
          </cell>
          <cell r="F354">
            <v>4060</v>
          </cell>
          <cell r="G354">
            <v>0</v>
          </cell>
          <cell r="H354">
            <v>75</v>
          </cell>
          <cell r="I354">
            <v>0</v>
          </cell>
          <cell r="J354">
            <v>0</v>
          </cell>
          <cell r="K354">
            <v>0</v>
          </cell>
          <cell r="L354">
            <v>0</v>
          </cell>
          <cell r="M354">
            <v>0</v>
          </cell>
          <cell r="N354">
            <v>10000</v>
          </cell>
          <cell r="O354">
            <v>-10</v>
          </cell>
          <cell r="P354">
            <v>0</v>
          </cell>
          <cell r="Q354">
            <v>35</v>
          </cell>
          <cell r="R354">
            <v>0</v>
          </cell>
          <cell r="S354">
            <v>0</v>
          </cell>
          <cell r="T354">
            <v>0</v>
          </cell>
          <cell r="U354">
            <v>0</v>
          </cell>
          <cell r="V354">
            <v>4160</v>
          </cell>
          <cell r="W354">
            <v>4125</v>
          </cell>
        </row>
        <row r="355">
          <cell r="A355" t="str">
            <v>Bootz Manufacturing Company</v>
          </cell>
          <cell r="B355">
            <v>21</v>
          </cell>
          <cell r="C355">
            <v>37316</v>
          </cell>
          <cell r="D355">
            <v>37316</v>
          </cell>
          <cell r="E355">
            <v>9900</v>
          </cell>
          <cell r="F355">
            <v>4019.4</v>
          </cell>
          <cell r="G355">
            <v>0</v>
          </cell>
          <cell r="H355">
            <v>75</v>
          </cell>
          <cell r="I355">
            <v>0</v>
          </cell>
          <cell r="J355">
            <v>0</v>
          </cell>
          <cell r="K355">
            <v>0</v>
          </cell>
          <cell r="L355">
            <v>0</v>
          </cell>
          <cell r="M355">
            <v>0</v>
          </cell>
          <cell r="N355">
            <v>9900</v>
          </cell>
          <cell r="O355">
            <v>-9.9</v>
          </cell>
          <cell r="P355">
            <v>0</v>
          </cell>
          <cell r="Q355">
            <v>35</v>
          </cell>
          <cell r="R355">
            <v>0</v>
          </cell>
          <cell r="S355">
            <v>0</v>
          </cell>
          <cell r="T355">
            <v>0</v>
          </cell>
          <cell r="U355">
            <v>0</v>
          </cell>
          <cell r="V355">
            <v>4119.5</v>
          </cell>
          <cell r="W355">
            <v>4084.5</v>
          </cell>
        </row>
        <row r="356">
          <cell r="A356" t="str">
            <v>Bootz Manufacturing Company</v>
          </cell>
          <cell r="B356">
            <v>21</v>
          </cell>
          <cell r="C356">
            <v>37347</v>
          </cell>
          <cell r="D356">
            <v>37347</v>
          </cell>
          <cell r="E356">
            <v>10200</v>
          </cell>
          <cell r="F356">
            <v>4141.2</v>
          </cell>
          <cell r="G356">
            <v>0</v>
          </cell>
          <cell r="H356">
            <v>75</v>
          </cell>
          <cell r="I356">
            <v>0</v>
          </cell>
          <cell r="J356">
            <v>0</v>
          </cell>
          <cell r="K356">
            <v>0</v>
          </cell>
          <cell r="L356">
            <v>0</v>
          </cell>
          <cell r="M356">
            <v>0</v>
          </cell>
          <cell r="N356">
            <v>10200</v>
          </cell>
          <cell r="O356">
            <v>-10.199999999999999</v>
          </cell>
          <cell r="P356">
            <v>0</v>
          </cell>
          <cell r="Q356">
            <v>35</v>
          </cell>
          <cell r="R356">
            <v>0</v>
          </cell>
          <cell r="S356">
            <v>0</v>
          </cell>
          <cell r="T356">
            <v>0</v>
          </cell>
          <cell r="U356">
            <v>0</v>
          </cell>
          <cell r="V356">
            <v>4241</v>
          </cell>
          <cell r="W356">
            <v>4206</v>
          </cell>
        </row>
        <row r="357">
          <cell r="A357" t="str">
            <v>Bootz Manufacturing Company</v>
          </cell>
          <cell r="B357">
            <v>21</v>
          </cell>
          <cell r="C357">
            <v>37377</v>
          </cell>
          <cell r="D357">
            <v>37377</v>
          </cell>
          <cell r="E357">
            <v>9650</v>
          </cell>
          <cell r="F357">
            <v>3917.9</v>
          </cell>
          <cell r="G357">
            <v>0</v>
          </cell>
          <cell r="H357">
            <v>75</v>
          </cell>
          <cell r="I357">
            <v>0</v>
          </cell>
          <cell r="J357">
            <v>0</v>
          </cell>
          <cell r="K357">
            <v>0</v>
          </cell>
          <cell r="L357">
            <v>0</v>
          </cell>
          <cell r="M357">
            <v>0</v>
          </cell>
          <cell r="N357">
            <v>0</v>
          </cell>
          <cell r="O357">
            <v>0</v>
          </cell>
          <cell r="P357">
            <v>0</v>
          </cell>
          <cell r="Q357">
            <v>35</v>
          </cell>
          <cell r="R357">
            <v>0</v>
          </cell>
          <cell r="S357">
            <v>0</v>
          </cell>
          <cell r="T357">
            <v>0</v>
          </cell>
          <cell r="U357">
            <v>0</v>
          </cell>
          <cell r="V357">
            <v>4027.9</v>
          </cell>
          <cell r="W357">
            <v>3992.9</v>
          </cell>
        </row>
        <row r="358">
          <cell r="A358" t="str">
            <v>Bootz Manufacturing Company</v>
          </cell>
          <cell r="B358">
            <v>21</v>
          </cell>
          <cell r="C358">
            <v>37408</v>
          </cell>
          <cell r="D358">
            <v>37408</v>
          </cell>
          <cell r="E358">
            <v>10300</v>
          </cell>
          <cell r="F358">
            <v>4181.8</v>
          </cell>
          <cell r="G358">
            <v>0</v>
          </cell>
          <cell r="H358">
            <v>75</v>
          </cell>
          <cell r="I358">
            <v>0</v>
          </cell>
          <cell r="J358">
            <v>0</v>
          </cell>
          <cell r="K358">
            <v>0</v>
          </cell>
          <cell r="L358">
            <v>0</v>
          </cell>
          <cell r="M358">
            <v>0</v>
          </cell>
          <cell r="N358">
            <v>0</v>
          </cell>
          <cell r="O358">
            <v>0</v>
          </cell>
          <cell r="P358">
            <v>0</v>
          </cell>
          <cell r="Q358">
            <v>35</v>
          </cell>
          <cell r="R358">
            <v>0</v>
          </cell>
          <cell r="S358">
            <v>0</v>
          </cell>
          <cell r="T358">
            <v>0</v>
          </cell>
          <cell r="U358">
            <v>0</v>
          </cell>
          <cell r="V358">
            <v>4291.8</v>
          </cell>
          <cell r="W358">
            <v>4256.8</v>
          </cell>
        </row>
        <row r="359">
          <cell r="A359" t="str">
            <v>Bootz Manufacturing Company</v>
          </cell>
          <cell r="B359">
            <v>21</v>
          </cell>
          <cell r="C359">
            <v>37438</v>
          </cell>
          <cell r="D359">
            <v>37438</v>
          </cell>
          <cell r="E359">
            <v>9800</v>
          </cell>
          <cell r="F359">
            <v>3978.8</v>
          </cell>
          <cell r="G359">
            <v>0</v>
          </cell>
          <cell r="H359">
            <v>75</v>
          </cell>
          <cell r="I359">
            <v>0</v>
          </cell>
          <cell r="J359">
            <v>0</v>
          </cell>
          <cell r="K359">
            <v>0</v>
          </cell>
          <cell r="L359">
            <v>0</v>
          </cell>
          <cell r="M359">
            <v>0</v>
          </cell>
          <cell r="N359">
            <v>0</v>
          </cell>
          <cell r="O359">
            <v>0</v>
          </cell>
          <cell r="P359">
            <v>0</v>
          </cell>
          <cell r="Q359">
            <v>35</v>
          </cell>
          <cell r="R359">
            <v>0</v>
          </cell>
          <cell r="S359">
            <v>0</v>
          </cell>
          <cell r="T359">
            <v>0</v>
          </cell>
          <cell r="U359">
            <v>0</v>
          </cell>
          <cell r="V359">
            <v>4088.8</v>
          </cell>
          <cell r="W359">
            <v>4053.8</v>
          </cell>
        </row>
        <row r="360">
          <cell r="A360" t="str">
            <v>Bootz Manufacturing Company</v>
          </cell>
          <cell r="B360">
            <v>21</v>
          </cell>
          <cell r="C360">
            <v>37469</v>
          </cell>
          <cell r="D360">
            <v>37469</v>
          </cell>
          <cell r="E360">
            <v>9540</v>
          </cell>
          <cell r="F360">
            <v>3873.24</v>
          </cell>
          <cell r="G360">
            <v>0</v>
          </cell>
          <cell r="H360">
            <v>75</v>
          </cell>
          <cell r="I360">
            <v>0</v>
          </cell>
          <cell r="J360">
            <v>0</v>
          </cell>
          <cell r="K360">
            <v>0</v>
          </cell>
          <cell r="L360">
            <v>0</v>
          </cell>
          <cell r="M360">
            <v>0</v>
          </cell>
          <cell r="N360">
            <v>0</v>
          </cell>
          <cell r="O360">
            <v>0</v>
          </cell>
          <cell r="P360">
            <v>0</v>
          </cell>
          <cell r="Q360">
            <v>35</v>
          </cell>
          <cell r="R360">
            <v>0</v>
          </cell>
          <cell r="S360">
            <v>0</v>
          </cell>
          <cell r="T360">
            <v>0</v>
          </cell>
          <cell r="U360">
            <v>0</v>
          </cell>
          <cell r="V360">
            <v>3983.24</v>
          </cell>
          <cell r="W360">
            <v>3948.24</v>
          </cell>
        </row>
        <row r="361">
          <cell r="A361" t="str">
            <v>Bootz Manufacturing Company</v>
          </cell>
          <cell r="B361">
            <v>21</v>
          </cell>
          <cell r="C361">
            <v>37500</v>
          </cell>
          <cell r="D361">
            <v>37500</v>
          </cell>
          <cell r="E361">
            <v>9310</v>
          </cell>
          <cell r="F361">
            <v>3779.86</v>
          </cell>
          <cell r="G361">
            <v>0</v>
          </cell>
          <cell r="H361">
            <v>75</v>
          </cell>
          <cell r="I361">
            <v>0</v>
          </cell>
          <cell r="J361">
            <v>0</v>
          </cell>
          <cell r="K361">
            <v>0</v>
          </cell>
          <cell r="L361">
            <v>0</v>
          </cell>
          <cell r="M361">
            <v>0</v>
          </cell>
          <cell r="N361">
            <v>0</v>
          </cell>
          <cell r="O361">
            <v>0</v>
          </cell>
          <cell r="P361">
            <v>0</v>
          </cell>
          <cell r="Q361">
            <v>35</v>
          </cell>
          <cell r="R361">
            <v>0</v>
          </cell>
          <cell r="S361">
            <v>0</v>
          </cell>
          <cell r="T361">
            <v>0</v>
          </cell>
          <cell r="U361">
            <v>0</v>
          </cell>
          <cell r="V361">
            <v>3889.86</v>
          </cell>
          <cell r="W361">
            <v>3854.86</v>
          </cell>
        </row>
        <row r="362">
          <cell r="A362" t="str">
            <v>Bootz Manufacturing Company</v>
          </cell>
          <cell r="B362">
            <v>21</v>
          </cell>
          <cell r="C362">
            <v>37530</v>
          </cell>
          <cell r="D362">
            <v>37530</v>
          </cell>
          <cell r="E362">
            <v>11126</v>
          </cell>
          <cell r="F362">
            <v>4517.16</v>
          </cell>
          <cell r="G362">
            <v>0</v>
          </cell>
          <cell r="H362">
            <v>75</v>
          </cell>
          <cell r="I362">
            <v>0</v>
          </cell>
          <cell r="J362">
            <v>0</v>
          </cell>
          <cell r="K362">
            <v>0</v>
          </cell>
          <cell r="L362">
            <v>0</v>
          </cell>
          <cell r="M362">
            <v>0</v>
          </cell>
          <cell r="N362">
            <v>0</v>
          </cell>
          <cell r="O362">
            <v>0</v>
          </cell>
          <cell r="P362">
            <v>0</v>
          </cell>
          <cell r="Q362">
            <v>35</v>
          </cell>
          <cell r="R362">
            <v>0</v>
          </cell>
          <cell r="S362">
            <v>0</v>
          </cell>
          <cell r="T362">
            <v>0</v>
          </cell>
          <cell r="U362">
            <v>0</v>
          </cell>
          <cell r="V362">
            <v>4627.16</v>
          </cell>
          <cell r="W362">
            <v>4592.16</v>
          </cell>
        </row>
        <row r="363">
          <cell r="A363" t="str">
            <v>Bootz Manufacturing Company</v>
          </cell>
          <cell r="B363">
            <v>21</v>
          </cell>
          <cell r="C363">
            <v>37561</v>
          </cell>
          <cell r="D363">
            <v>37561</v>
          </cell>
          <cell r="E363">
            <v>11600</v>
          </cell>
          <cell r="F363">
            <v>4709.6000000000004</v>
          </cell>
          <cell r="G363">
            <v>0</v>
          </cell>
          <cell r="H363">
            <v>75</v>
          </cell>
          <cell r="I363">
            <v>0</v>
          </cell>
          <cell r="J363">
            <v>0</v>
          </cell>
          <cell r="K363">
            <v>0</v>
          </cell>
          <cell r="L363">
            <v>0</v>
          </cell>
          <cell r="M363">
            <v>0</v>
          </cell>
          <cell r="N363">
            <v>0</v>
          </cell>
          <cell r="O363">
            <v>0</v>
          </cell>
          <cell r="P363">
            <v>0</v>
          </cell>
          <cell r="Q363">
            <v>35</v>
          </cell>
          <cell r="R363">
            <v>0</v>
          </cell>
          <cell r="S363">
            <v>0</v>
          </cell>
          <cell r="T363">
            <v>0</v>
          </cell>
          <cell r="U363">
            <v>0</v>
          </cell>
          <cell r="V363">
            <v>4819.6000000000004</v>
          </cell>
          <cell r="W363">
            <v>4784.6000000000004</v>
          </cell>
        </row>
        <row r="364">
          <cell r="A364" t="str">
            <v>Bootz Manufacturing Company</v>
          </cell>
          <cell r="B364">
            <v>21</v>
          </cell>
          <cell r="C364">
            <v>37591</v>
          </cell>
          <cell r="D364">
            <v>37591</v>
          </cell>
          <cell r="E364">
            <v>11005</v>
          </cell>
          <cell r="F364">
            <v>4468.03</v>
          </cell>
          <cell r="G364">
            <v>0</v>
          </cell>
          <cell r="H364">
            <v>75</v>
          </cell>
          <cell r="I364">
            <v>0</v>
          </cell>
          <cell r="J364">
            <v>0</v>
          </cell>
          <cell r="K364">
            <v>0</v>
          </cell>
          <cell r="L364">
            <v>0</v>
          </cell>
          <cell r="M364">
            <v>0</v>
          </cell>
          <cell r="N364">
            <v>0</v>
          </cell>
          <cell r="O364">
            <v>0</v>
          </cell>
          <cell r="P364">
            <v>0</v>
          </cell>
          <cell r="Q364">
            <v>35</v>
          </cell>
          <cell r="R364">
            <v>0</v>
          </cell>
          <cell r="S364">
            <v>0</v>
          </cell>
          <cell r="T364">
            <v>0</v>
          </cell>
          <cell r="U364">
            <v>0</v>
          </cell>
          <cell r="V364">
            <v>4578.03</v>
          </cell>
          <cell r="W364">
            <v>4543.03</v>
          </cell>
        </row>
        <row r="365">
          <cell r="A365" t="str">
            <v>Silgan Container Corp.(Am Nat’l Can)</v>
          </cell>
          <cell r="B365">
            <v>22</v>
          </cell>
          <cell r="C365">
            <v>37257</v>
          </cell>
          <cell r="D365">
            <v>37257</v>
          </cell>
          <cell r="E365">
            <v>21850</v>
          </cell>
          <cell r="F365">
            <v>8871.1</v>
          </cell>
          <cell r="G365">
            <v>0</v>
          </cell>
          <cell r="H365">
            <v>75</v>
          </cell>
          <cell r="I365">
            <v>0</v>
          </cell>
          <cell r="J365">
            <v>0</v>
          </cell>
          <cell r="K365">
            <v>0</v>
          </cell>
          <cell r="L365">
            <v>0</v>
          </cell>
          <cell r="M365">
            <v>0</v>
          </cell>
          <cell r="N365">
            <v>21850</v>
          </cell>
          <cell r="O365">
            <v>65.55</v>
          </cell>
          <cell r="P365">
            <v>0</v>
          </cell>
          <cell r="Q365">
            <v>35</v>
          </cell>
          <cell r="R365">
            <v>0</v>
          </cell>
          <cell r="S365">
            <v>0</v>
          </cell>
          <cell r="T365">
            <v>0</v>
          </cell>
          <cell r="U365">
            <v>0</v>
          </cell>
          <cell r="V365">
            <v>9046.65</v>
          </cell>
          <cell r="W365">
            <v>9011.65</v>
          </cell>
        </row>
        <row r="366">
          <cell r="A366" t="str">
            <v>Silgan Container Corp.(Am Nat’l Can)</v>
          </cell>
          <cell r="B366">
            <v>22</v>
          </cell>
          <cell r="C366">
            <v>37288</v>
          </cell>
          <cell r="D366">
            <v>37288</v>
          </cell>
          <cell r="E366">
            <v>16800</v>
          </cell>
          <cell r="F366">
            <v>6820.8</v>
          </cell>
          <cell r="G366">
            <v>0</v>
          </cell>
          <cell r="H366">
            <v>75</v>
          </cell>
          <cell r="I366">
            <v>0</v>
          </cell>
          <cell r="J366">
            <v>0</v>
          </cell>
          <cell r="K366">
            <v>0</v>
          </cell>
          <cell r="L366">
            <v>0</v>
          </cell>
          <cell r="M366">
            <v>0</v>
          </cell>
          <cell r="N366">
            <v>16800</v>
          </cell>
          <cell r="O366">
            <v>-16.8</v>
          </cell>
          <cell r="P366">
            <v>0</v>
          </cell>
          <cell r="Q366">
            <v>35</v>
          </cell>
          <cell r="R366">
            <v>0</v>
          </cell>
          <cell r="S366">
            <v>-5168.54</v>
          </cell>
          <cell r="T366">
            <v>0</v>
          </cell>
          <cell r="U366">
            <v>0</v>
          </cell>
          <cell r="V366">
            <v>1745.46</v>
          </cell>
          <cell r="W366">
            <v>6879</v>
          </cell>
        </row>
        <row r="367">
          <cell r="A367" t="str">
            <v>Silgan Container Corp.(Am Nat’l Can)</v>
          </cell>
          <cell r="B367">
            <v>22</v>
          </cell>
          <cell r="C367">
            <v>37316</v>
          </cell>
          <cell r="D367">
            <v>37316</v>
          </cell>
          <cell r="E367">
            <v>21100</v>
          </cell>
          <cell r="F367">
            <v>8566.6</v>
          </cell>
          <cell r="G367">
            <v>0</v>
          </cell>
          <cell r="H367">
            <v>75</v>
          </cell>
          <cell r="I367">
            <v>0</v>
          </cell>
          <cell r="J367">
            <v>0</v>
          </cell>
          <cell r="K367">
            <v>0</v>
          </cell>
          <cell r="L367">
            <v>0</v>
          </cell>
          <cell r="M367">
            <v>0</v>
          </cell>
          <cell r="N367">
            <v>21100</v>
          </cell>
          <cell r="O367">
            <v>-21.1</v>
          </cell>
          <cell r="P367">
            <v>0</v>
          </cell>
          <cell r="Q367">
            <v>35</v>
          </cell>
          <cell r="R367">
            <v>0</v>
          </cell>
          <cell r="S367">
            <v>0</v>
          </cell>
          <cell r="T367">
            <v>0</v>
          </cell>
          <cell r="U367">
            <v>0</v>
          </cell>
          <cell r="V367">
            <v>8655.5</v>
          </cell>
          <cell r="W367">
            <v>8620.5</v>
          </cell>
        </row>
        <row r="368">
          <cell r="A368" t="str">
            <v>Silgan Container Corp.(Am Nat’l Can)</v>
          </cell>
          <cell r="B368">
            <v>22</v>
          </cell>
          <cell r="C368">
            <v>37347</v>
          </cell>
          <cell r="D368">
            <v>37347</v>
          </cell>
          <cell r="E368">
            <v>14690</v>
          </cell>
          <cell r="F368">
            <v>5964.14</v>
          </cell>
          <cell r="G368">
            <v>0</v>
          </cell>
          <cell r="H368">
            <v>75</v>
          </cell>
          <cell r="I368">
            <v>0</v>
          </cell>
          <cell r="J368">
            <v>0</v>
          </cell>
          <cell r="K368">
            <v>0</v>
          </cell>
          <cell r="L368">
            <v>0</v>
          </cell>
          <cell r="M368">
            <v>0</v>
          </cell>
          <cell r="N368">
            <v>14690</v>
          </cell>
          <cell r="O368">
            <v>-14.690000000000001</v>
          </cell>
          <cell r="P368">
            <v>0</v>
          </cell>
          <cell r="Q368">
            <v>35</v>
          </cell>
          <cell r="R368">
            <v>0</v>
          </cell>
          <cell r="S368">
            <v>8655.5</v>
          </cell>
          <cell r="T368">
            <v>0</v>
          </cell>
          <cell r="U368">
            <v>0</v>
          </cell>
          <cell r="V368">
            <v>14714.95</v>
          </cell>
          <cell r="W368">
            <v>6024.4500000000007</v>
          </cell>
        </row>
        <row r="369">
          <cell r="A369" t="str">
            <v>Silgan Container Corp.(Am Nat’l Can)</v>
          </cell>
          <cell r="B369">
            <v>22</v>
          </cell>
          <cell r="C369">
            <v>37377</v>
          </cell>
          <cell r="D369">
            <v>37377</v>
          </cell>
          <cell r="E369">
            <v>13950</v>
          </cell>
          <cell r="F369">
            <v>5663.7</v>
          </cell>
          <cell r="G369">
            <v>0</v>
          </cell>
          <cell r="H369">
            <v>75</v>
          </cell>
          <cell r="I369">
            <v>0</v>
          </cell>
          <cell r="J369">
            <v>0</v>
          </cell>
          <cell r="K369">
            <v>0</v>
          </cell>
          <cell r="L369">
            <v>0</v>
          </cell>
          <cell r="M369">
            <v>0</v>
          </cell>
          <cell r="N369">
            <v>0</v>
          </cell>
          <cell r="O369">
            <v>0</v>
          </cell>
          <cell r="P369">
            <v>0</v>
          </cell>
          <cell r="Q369">
            <v>35</v>
          </cell>
          <cell r="R369">
            <v>0</v>
          </cell>
          <cell r="S369">
            <v>14714.95</v>
          </cell>
          <cell r="T369">
            <v>0</v>
          </cell>
          <cell r="U369">
            <v>0</v>
          </cell>
          <cell r="V369">
            <v>20488.650000000001</v>
          </cell>
          <cell r="W369">
            <v>5738.7</v>
          </cell>
        </row>
        <row r="370">
          <cell r="A370" t="str">
            <v>Silgan Container Corp.(Am Nat’l Can)</v>
          </cell>
          <cell r="B370">
            <v>22</v>
          </cell>
          <cell r="C370">
            <v>37408</v>
          </cell>
          <cell r="D370">
            <v>37408</v>
          </cell>
          <cell r="E370">
            <v>10360</v>
          </cell>
          <cell r="F370">
            <v>4206.16</v>
          </cell>
          <cell r="G370">
            <v>0</v>
          </cell>
          <cell r="H370">
            <v>75</v>
          </cell>
          <cell r="I370">
            <v>0</v>
          </cell>
          <cell r="J370">
            <v>0</v>
          </cell>
          <cell r="K370">
            <v>0</v>
          </cell>
          <cell r="L370">
            <v>0</v>
          </cell>
          <cell r="M370">
            <v>0</v>
          </cell>
          <cell r="N370">
            <v>0</v>
          </cell>
          <cell r="O370">
            <v>0</v>
          </cell>
          <cell r="P370">
            <v>0</v>
          </cell>
          <cell r="Q370">
            <v>35</v>
          </cell>
          <cell r="R370">
            <v>0</v>
          </cell>
          <cell r="S370">
            <v>8655.5</v>
          </cell>
          <cell r="T370">
            <v>0</v>
          </cell>
          <cell r="U370">
            <v>0</v>
          </cell>
          <cell r="V370">
            <v>12971.66</v>
          </cell>
          <cell r="W370">
            <v>4281.16</v>
          </cell>
        </row>
        <row r="371">
          <cell r="A371" t="str">
            <v>Silgan Container Corp.(Am Nat’l Can)</v>
          </cell>
          <cell r="B371">
            <v>22</v>
          </cell>
          <cell r="C371">
            <v>37438</v>
          </cell>
          <cell r="D371">
            <v>37438</v>
          </cell>
          <cell r="E371">
            <v>7550</v>
          </cell>
          <cell r="F371">
            <v>3065.3</v>
          </cell>
          <cell r="G371">
            <v>0</v>
          </cell>
          <cell r="H371">
            <v>75</v>
          </cell>
          <cell r="I371">
            <v>0</v>
          </cell>
          <cell r="J371">
            <v>0</v>
          </cell>
          <cell r="K371">
            <v>0</v>
          </cell>
          <cell r="L371">
            <v>0</v>
          </cell>
          <cell r="M371">
            <v>0</v>
          </cell>
          <cell r="N371">
            <v>0</v>
          </cell>
          <cell r="O371">
            <v>0</v>
          </cell>
          <cell r="P371">
            <v>0</v>
          </cell>
          <cell r="Q371">
            <v>35</v>
          </cell>
          <cell r="R371">
            <v>0</v>
          </cell>
          <cell r="S371">
            <v>0</v>
          </cell>
          <cell r="T371">
            <v>0</v>
          </cell>
          <cell r="U371">
            <v>0</v>
          </cell>
          <cell r="V371">
            <v>3175.3</v>
          </cell>
          <cell r="W371">
            <v>3140.3</v>
          </cell>
        </row>
        <row r="372">
          <cell r="A372" t="str">
            <v>Silgan Container Corp.(Am Nat’l Can)</v>
          </cell>
          <cell r="B372">
            <v>22</v>
          </cell>
          <cell r="C372">
            <v>37469</v>
          </cell>
          <cell r="D372">
            <v>37469</v>
          </cell>
          <cell r="E372">
            <v>17500</v>
          </cell>
          <cell r="F372">
            <v>7105</v>
          </cell>
          <cell r="G372">
            <v>0</v>
          </cell>
          <cell r="H372">
            <v>75</v>
          </cell>
          <cell r="I372">
            <v>0</v>
          </cell>
          <cell r="J372">
            <v>0</v>
          </cell>
          <cell r="K372">
            <v>0</v>
          </cell>
          <cell r="L372">
            <v>0</v>
          </cell>
          <cell r="M372">
            <v>0</v>
          </cell>
          <cell r="N372">
            <v>0</v>
          </cell>
          <cell r="O372">
            <v>0</v>
          </cell>
          <cell r="P372">
            <v>0</v>
          </cell>
          <cell r="Q372">
            <v>35</v>
          </cell>
          <cell r="R372">
            <v>0</v>
          </cell>
          <cell r="S372">
            <v>0</v>
          </cell>
          <cell r="T372">
            <v>0</v>
          </cell>
          <cell r="U372">
            <v>0</v>
          </cell>
          <cell r="V372">
            <v>7215</v>
          </cell>
          <cell r="W372">
            <v>7180</v>
          </cell>
        </row>
        <row r="373">
          <cell r="A373" t="str">
            <v>Silgan Container Corp.(Am Nat’l Can)</v>
          </cell>
          <cell r="B373">
            <v>22</v>
          </cell>
          <cell r="C373">
            <v>37500</v>
          </cell>
          <cell r="D373">
            <v>37500</v>
          </cell>
          <cell r="E373">
            <v>10859</v>
          </cell>
          <cell r="F373">
            <v>4408.75</v>
          </cell>
          <cell r="G373">
            <v>0</v>
          </cell>
          <cell r="H373">
            <v>75</v>
          </cell>
          <cell r="I373">
            <v>0</v>
          </cell>
          <cell r="J373">
            <v>0</v>
          </cell>
          <cell r="K373">
            <v>0</v>
          </cell>
          <cell r="L373">
            <v>0</v>
          </cell>
          <cell r="M373">
            <v>0</v>
          </cell>
          <cell r="N373">
            <v>0</v>
          </cell>
          <cell r="O373">
            <v>0</v>
          </cell>
          <cell r="P373">
            <v>0</v>
          </cell>
          <cell r="Q373">
            <v>35</v>
          </cell>
          <cell r="R373">
            <v>140.79</v>
          </cell>
          <cell r="S373">
            <v>3779.6</v>
          </cell>
          <cell r="T373">
            <v>859</v>
          </cell>
          <cell r="U373">
            <v>3779.6</v>
          </cell>
          <cell r="V373">
            <v>8439.14</v>
          </cell>
          <cell r="W373">
            <v>4483.75</v>
          </cell>
        </row>
        <row r="374">
          <cell r="A374" t="str">
            <v>Silgan Container Corp.(Am Nat’l Can)</v>
          </cell>
          <cell r="B374">
            <v>22</v>
          </cell>
          <cell r="C374">
            <v>37530</v>
          </cell>
          <cell r="D374">
            <v>37530</v>
          </cell>
          <cell r="E374">
            <v>16600</v>
          </cell>
          <cell r="F374">
            <v>6739.6</v>
          </cell>
          <cell r="G374">
            <v>0</v>
          </cell>
          <cell r="H374">
            <v>75</v>
          </cell>
          <cell r="I374">
            <v>0</v>
          </cell>
          <cell r="J374">
            <v>0</v>
          </cell>
          <cell r="K374">
            <v>0</v>
          </cell>
          <cell r="L374">
            <v>0</v>
          </cell>
          <cell r="M374">
            <v>0</v>
          </cell>
          <cell r="N374">
            <v>0</v>
          </cell>
          <cell r="O374">
            <v>0</v>
          </cell>
          <cell r="P374">
            <v>0</v>
          </cell>
          <cell r="Q374">
            <v>35</v>
          </cell>
          <cell r="R374">
            <v>0</v>
          </cell>
          <cell r="S374">
            <v>0</v>
          </cell>
          <cell r="T374">
            <v>0</v>
          </cell>
          <cell r="U374">
            <v>0</v>
          </cell>
          <cell r="V374">
            <v>6849.6</v>
          </cell>
          <cell r="W374">
            <v>6814.6</v>
          </cell>
        </row>
        <row r="375">
          <cell r="A375" t="str">
            <v>Silgan Container Corp.(Am Nat’l Can)</v>
          </cell>
          <cell r="B375">
            <v>22</v>
          </cell>
          <cell r="C375">
            <v>37561</v>
          </cell>
          <cell r="D375">
            <v>37561</v>
          </cell>
          <cell r="E375">
            <v>16399</v>
          </cell>
          <cell r="F375">
            <v>6657.99</v>
          </cell>
          <cell r="G375">
            <v>0</v>
          </cell>
          <cell r="H375">
            <v>75</v>
          </cell>
          <cell r="I375">
            <v>0</v>
          </cell>
          <cell r="J375">
            <v>0</v>
          </cell>
          <cell r="K375">
            <v>0</v>
          </cell>
          <cell r="L375">
            <v>0</v>
          </cell>
          <cell r="M375">
            <v>0</v>
          </cell>
          <cell r="N375">
            <v>0</v>
          </cell>
          <cell r="O375">
            <v>0</v>
          </cell>
          <cell r="P375">
            <v>0</v>
          </cell>
          <cell r="Q375">
            <v>35</v>
          </cell>
          <cell r="R375">
            <v>0</v>
          </cell>
          <cell r="S375">
            <v>0</v>
          </cell>
          <cell r="T375">
            <v>0</v>
          </cell>
          <cell r="U375">
            <v>0</v>
          </cell>
          <cell r="V375">
            <v>6767.99</v>
          </cell>
          <cell r="W375">
            <v>6732.99</v>
          </cell>
        </row>
        <row r="376">
          <cell r="A376" t="str">
            <v>Silgan Container Corp.(Am Nat’l Can)</v>
          </cell>
          <cell r="B376">
            <v>22</v>
          </cell>
          <cell r="C376">
            <v>37591</v>
          </cell>
          <cell r="D376">
            <v>37591</v>
          </cell>
          <cell r="E376">
            <v>12000</v>
          </cell>
          <cell r="F376">
            <v>4872</v>
          </cell>
          <cell r="G376">
            <v>0</v>
          </cell>
          <cell r="H376">
            <v>75</v>
          </cell>
          <cell r="I376">
            <v>0</v>
          </cell>
          <cell r="J376">
            <v>0</v>
          </cell>
          <cell r="K376">
            <v>0</v>
          </cell>
          <cell r="L376">
            <v>0</v>
          </cell>
          <cell r="M376">
            <v>0</v>
          </cell>
          <cell r="N376">
            <v>0</v>
          </cell>
          <cell r="O376">
            <v>0</v>
          </cell>
          <cell r="P376">
            <v>0</v>
          </cell>
          <cell r="Q376">
            <v>35</v>
          </cell>
          <cell r="R376">
            <v>0</v>
          </cell>
          <cell r="S376">
            <v>0</v>
          </cell>
          <cell r="T376">
            <v>0</v>
          </cell>
          <cell r="U376">
            <v>0</v>
          </cell>
          <cell r="V376">
            <v>4982</v>
          </cell>
          <cell r="W376">
            <v>4947</v>
          </cell>
        </row>
        <row r="377">
          <cell r="A377" t="str">
            <v>University of Southern Indiana</v>
          </cell>
          <cell r="B377">
            <v>23</v>
          </cell>
          <cell r="C377">
            <v>37257</v>
          </cell>
          <cell r="D377">
            <v>37257</v>
          </cell>
          <cell r="E377">
            <v>13944</v>
          </cell>
          <cell r="F377">
            <v>5661.26</v>
          </cell>
          <cell r="G377">
            <v>0</v>
          </cell>
          <cell r="H377">
            <v>75</v>
          </cell>
          <cell r="I377">
            <v>0</v>
          </cell>
          <cell r="J377">
            <v>0</v>
          </cell>
          <cell r="K377">
            <v>0</v>
          </cell>
          <cell r="L377">
            <v>0</v>
          </cell>
          <cell r="M377">
            <v>0</v>
          </cell>
          <cell r="N377">
            <v>13944</v>
          </cell>
          <cell r="O377">
            <v>41.83</v>
          </cell>
          <cell r="P377">
            <v>0</v>
          </cell>
          <cell r="Q377">
            <v>35</v>
          </cell>
          <cell r="R377">
            <v>0</v>
          </cell>
          <cell r="S377">
            <v>0</v>
          </cell>
          <cell r="T377">
            <v>0</v>
          </cell>
          <cell r="U377">
            <v>0</v>
          </cell>
          <cell r="V377">
            <v>5813.09</v>
          </cell>
          <cell r="W377">
            <v>5778.09</v>
          </cell>
        </row>
        <row r="378">
          <cell r="A378" t="str">
            <v>University of Southern Indiana</v>
          </cell>
          <cell r="B378">
            <v>23</v>
          </cell>
          <cell r="C378">
            <v>37288</v>
          </cell>
          <cell r="D378">
            <v>37288</v>
          </cell>
          <cell r="E378">
            <v>9985</v>
          </cell>
          <cell r="F378">
            <v>4053.91</v>
          </cell>
          <cell r="G378">
            <v>0</v>
          </cell>
          <cell r="H378">
            <v>75</v>
          </cell>
          <cell r="I378">
            <v>0</v>
          </cell>
          <cell r="J378">
            <v>0</v>
          </cell>
          <cell r="K378">
            <v>0</v>
          </cell>
          <cell r="L378">
            <v>0</v>
          </cell>
          <cell r="M378">
            <v>0</v>
          </cell>
          <cell r="N378">
            <v>9985</v>
          </cell>
          <cell r="O378">
            <v>-9.98</v>
          </cell>
          <cell r="P378">
            <v>0</v>
          </cell>
          <cell r="Q378">
            <v>35</v>
          </cell>
          <cell r="R378">
            <v>0</v>
          </cell>
          <cell r="S378">
            <v>0</v>
          </cell>
          <cell r="T378">
            <v>0</v>
          </cell>
          <cell r="U378">
            <v>0</v>
          </cell>
          <cell r="V378">
            <v>4153.93</v>
          </cell>
          <cell r="W378">
            <v>4118.93</v>
          </cell>
        </row>
        <row r="379">
          <cell r="A379" t="str">
            <v>University of Southern Indiana</v>
          </cell>
          <cell r="B379">
            <v>23</v>
          </cell>
          <cell r="C379">
            <v>37316</v>
          </cell>
          <cell r="D379">
            <v>37316</v>
          </cell>
          <cell r="E379">
            <v>9393</v>
          </cell>
          <cell r="F379">
            <v>3813.56</v>
          </cell>
          <cell r="G379">
            <v>0</v>
          </cell>
          <cell r="H379">
            <v>75</v>
          </cell>
          <cell r="I379">
            <v>0</v>
          </cell>
          <cell r="J379">
            <v>0</v>
          </cell>
          <cell r="K379">
            <v>0</v>
          </cell>
          <cell r="L379">
            <v>0</v>
          </cell>
          <cell r="M379">
            <v>0</v>
          </cell>
          <cell r="N379">
            <v>9393</v>
          </cell>
          <cell r="O379">
            <v>-9.39</v>
          </cell>
          <cell r="P379">
            <v>0</v>
          </cell>
          <cell r="Q379">
            <v>35</v>
          </cell>
          <cell r="R379">
            <v>0</v>
          </cell>
          <cell r="S379">
            <v>0</v>
          </cell>
          <cell r="T379">
            <v>0</v>
          </cell>
          <cell r="U379">
            <v>0</v>
          </cell>
          <cell r="V379">
            <v>3914.17</v>
          </cell>
          <cell r="W379">
            <v>3879.17</v>
          </cell>
        </row>
        <row r="380">
          <cell r="A380" t="str">
            <v>University of Southern Indiana</v>
          </cell>
          <cell r="B380">
            <v>23</v>
          </cell>
          <cell r="C380">
            <v>37347</v>
          </cell>
          <cell r="D380">
            <v>37347</v>
          </cell>
          <cell r="E380">
            <v>8400</v>
          </cell>
          <cell r="F380">
            <v>3410.4</v>
          </cell>
          <cell r="G380">
            <v>0</v>
          </cell>
          <cell r="H380">
            <v>75</v>
          </cell>
          <cell r="I380">
            <v>0</v>
          </cell>
          <cell r="J380">
            <v>0</v>
          </cell>
          <cell r="K380">
            <v>0</v>
          </cell>
          <cell r="L380">
            <v>0</v>
          </cell>
          <cell r="M380">
            <v>0</v>
          </cell>
          <cell r="N380">
            <v>8400</v>
          </cell>
          <cell r="O380">
            <v>-8.4</v>
          </cell>
          <cell r="P380">
            <v>0</v>
          </cell>
          <cell r="Q380">
            <v>35</v>
          </cell>
          <cell r="R380">
            <v>0</v>
          </cell>
          <cell r="S380">
            <v>0</v>
          </cell>
          <cell r="T380">
            <v>0</v>
          </cell>
          <cell r="U380">
            <v>0</v>
          </cell>
          <cell r="V380">
            <v>3512</v>
          </cell>
          <cell r="W380">
            <v>3477</v>
          </cell>
        </row>
        <row r="381">
          <cell r="A381" t="str">
            <v>University of Southern Indiana</v>
          </cell>
          <cell r="B381">
            <v>23</v>
          </cell>
          <cell r="C381">
            <v>37377</v>
          </cell>
          <cell r="D381">
            <v>37377</v>
          </cell>
          <cell r="E381">
            <v>6800</v>
          </cell>
          <cell r="F381">
            <v>2760.8</v>
          </cell>
          <cell r="G381">
            <v>0</v>
          </cell>
          <cell r="H381">
            <v>75</v>
          </cell>
          <cell r="I381">
            <v>0</v>
          </cell>
          <cell r="J381">
            <v>0</v>
          </cell>
          <cell r="K381">
            <v>0</v>
          </cell>
          <cell r="L381">
            <v>0</v>
          </cell>
          <cell r="M381">
            <v>0</v>
          </cell>
          <cell r="N381">
            <v>0</v>
          </cell>
          <cell r="O381">
            <v>0</v>
          </cell>
          <cell r="P381">
            <v>0</v>
          </cell>
          <cell r="Q381">
            <v>35</v>
          </cell>
          <cell r="R381">
            <v>0</v>
          </cell>
          <cell r="S381">
            <v>0</v>
          </cell>
          <cell r="T381">
            <v>0</v>
          </cell>
          <cell r="U381">
            <v>0</v>
          </cell>
          <cell r="V381">
            <v>2870.8</v>
          </cell>
          <cell r="W381">
            <v>2835.8</v>
          </cell>
        </row>
        <row r="382">
          <cell r="A382" t="str">
            <v>University of Southern Indiana</v>
          </cell>
          <cell r="B382">
            <v>23</v>
          </cell>
          <cell r="C382">
            <v>37408</v>
          </cell>
          <cell r="D382">
            <v>37408</v>
          </cell>
          <cell r="E382">
            <v>5300</v>
          </cell>
          <cell r="F382">
            <v>2151.8000000000002</v>
          </cell>
          <cell r="G382">
            <v>0</v>
          </cell>
          <cell r="H382">
            <v>75</v>
          </cell>
          <cell r="I382">
            <v>0</v>
          </cell>
          <cell r="J382">
            <v>0</v>
          </cell>
          <cell r="K382">
            <v>0</v>
          </cell>
          <cell r="L382">
            <v>0</v>
          </cell>
          <cell r="M382">
            <v>0</v>
          </cell>
          <cell r="N382">
            <v>0</v>
          </cell>
          <cell r="O382">
            <v>0</v>
          </cell>
          <cell r="P382">
            <v>0</v>
          </cell>
          <cell r="Q382">
            <v>35</v>
          </cell>
          <cell r="R382">
            <v>0</v>
          </cell>
          <cell r="S382">
            <v>0</v>
          </cell>
          <cell r="T382">
            <v>0</v>
          </cell>
          <cell r="U382">
            <v>0</v>
          </cell>
          <cell r="V382">
            <v>2261.8000000000002</v>
          </cell>
          <cell r="W382">
            <v>2226.8000000000002</v>
          </cell>
        </row>
        <row r="383">
          <cell r="A383" t="str">
            <v>University of Southern Indiana</v>
          </cell>
          <cell r="B383">
            <v>23</v>
          </cell>
          <cell r="C383">
            <v>37438</v>
          </cell>
          <cell r="D383">
            <v>37438</v>
          </cell>
          <cell r="E383">
            <v>5400</v>
          </cell>
          <cell r="F383">
            <v>2192.4</v>
          </cell>
          <cell r="G383">
            <v>0</v>
          </cell>
          <cell r="H383">
            <v>75</v>
          </cell>
          <cell r="I383">
            <v>0</v>
          </cell>
          <cell r="J383">
            <v>0</v>
          </cell>
          <cell r="K383">
            <v>0</v>
          </cell>
          <cell r="L383">
            <v>0</v>
          </cell>
          <cell r="M383">
            <v>0</v>
          </cell>
          <cell r="N383">
            <v>0</v>
          </cell>
          <cell r="O383">
            <v>0</v>
          </cell>
          <cell r="P383">
            <v>0</v>
          </cell>
          <cell r="Q383">
            <v>35</v>
          </cell>
          <cell r="R383">
            <v>0</v>
          </cell>
          <cell r="S383">
            <v>0</v>
          </cell>
          <cell r="T383">
            <v>0</v>
          </cell>
          <cell r="U383">
            <v>0</v>
          </cell>
          <cell r="V383">
            <v>2302.4</v>
          </cell>
          <cell r="W383">
            <v>2267.4</v>
          </cell>
        </row>
        <row r="384">
          <cell r="A384" t="str">
            <v>University of Southern Indiana</v>
          </cell>
          <cell r="B384">
            <v>23</v>
          </cell>
          <cell r="C384">
            <v>37469</v>
          </cell>
          <cell r="D384">
            <v>37469</v>
          </cell>
          <cell r="E384">
            <v>5100</v>
          </cell>
          <cell r="F384">
            <v>2070.6</v>
          </cell>
          <cell r="G384">
            <v>0</v>
          </cell>
          <cell r="H384">
            <v>75</v>
          </cell>
          <cell r="I384">
            <v>0</v>
          </cell>
          <cell r="J384">
            <v>0</v>
          </cell>
          <cell r="K384">
            <v>0</v>
          </cell>
          <cell r="L384">
            <v>0</v>
          </cell>
          <cell r="M384">
            <v>0</v>
          </cell>
          <cell r="N384">
            <v>0</v>
          </cell>
          <cell r="O384">
            <v>0</v>
          </cell>
          <cell r="P384">
            <v>0</v>
          </cell>
          <cell r="Q384">
            <v>35</v>
          </cell>
          <cell r="R384">
            <v>0</v>
          </cell>
          <cell r="S384">
            <v>0</v>
          </cell>
          <cell r="T384">
            <v>0</v>
          </cell>
          <cell r="U384">
            <v>0</v>
          </cell>
          <cell r="V384">
            <v>2180.6</v>
          </cell>
          <cell r="W384">
            <v>2145.6</v>
          </cell>
        </row>
        <row r="385">
          <cell r="A385" t="str">
            <v>University of Southern Indiana</v>
          </cell>
          <cell r="B385">
            <v>23</v>
          </cell>
          <cell r="C385">
            <v>37500</v>
          </cell>
          <cell r="D385">
            <v>37500</v>
          </cell>
          <cell r="E385">
            <v>6390</v>
          </cell>
          <cell r="F385">
            <v>2594.34</v>
          </cell>
          <cell r="G385">
            <v>0</v>
          </cell>
          <cell r="H385">
            <v>75</v>
          </cell>
          <cell r="I385">
            <v>0</v>
          </cell>
          <cell r="J385">
            <v>0</v>
          </cell>
          <cell r="K385">
            <v>0</v>
          </cell>
          <cell r="L385">
            <v>0</v>
          </cell>
          <cell r="M385">
            <v>0</v>
          </cell>
          <cell r="N385">
            <v>0</v>
          </cell>
          <cell r="O385">
            <v>0</v>
          </cell>
          <cell r="P385">
            <v>0</v>
          </cell>
          <cell r="Q385">
            <v>35</v>
          </cell>
          <cell r="R385">
            <v>0</v>
          </cell>
          <cell r="S385">
            <v>0</v>
          </cell>
          <cell r="T385">
            <v>0</v>
          </cell>
          <cell r="U385">
            <v>0</v>
          </cell>
          <cell r="V385">
            <v>2704.34</v>
          </cell>
          <cell r="W385">
            <v>2669.34</v>
          </cell>
        </row>
        <row r="386">
          <cell r="A386" t="str">
            <v>University of Southern Indiana</v>
          </cell>
          <cell r="B386">
            <v>23</v>
          </cell>
          <cell r="C386">
            <v>37530</v>
          </cell>
          <cell r="D386">
            <v>37530</v>
          </cell>
          <cell r="E386">
            <v>8000</v>
          </cell>
          <cell r="F386">
            <v>3248</v>
          </cell>
          <cell r="G386">
            <v>0</v>
          </cell>
          <cell r="H386">
            <v>75</v>
          </cell>
          <cell r="I386">
            <v>0</v>
          </cell>
          <cell r="J386">
            <v>0</v>
          </cell>
          <cell r="K386">
            <v>0</v>
          </cell>
          <cell r="L386">
            <v>0</v>
          </cell>
          <cell r="M386">
            <v>0</v>
          </cell>
          <cell r="N386">
            <v>0</v>
          </cell>
          <cell r="O386">
            <v>0</v>
          </cell>
          <cell r="P386">
            <v>0</v>
          </cell>
          <cell r="Q386">
            <v>35</v>
          </cell>
          <cell r="R386">
            <v>0</v>
          </cell>
          <cell r="S386">
            <v>0</v>
          </cell>
          <cell r="T386">
            <v>0</v>
          </cell>
          <cell r="U386">
            <v>0</v>
          </cell>
          <cell r="V386">
            <v>3358</v>
          </cell>
          <cell r="W386">
            <v>3323</v>
          </cell>
        </row>
        <row r="387">
          <cell r="A387" t="str">
            <v>University of Southern Indiana</v>
          </cell>
          <cell r="B387">
            <v>23</v>
          </cell>
          <cell r="C387">
            <v>37561</v>
          </cell>
          <cell r="D387">
            <v>37561</v>
          </cell>
          <cell r="E387">
            <v>11000</v>
          </cell>
          <cell r="F387">
            <v>4466</v>
          </cell>
          <cell r="G387">
            <v>0</v>
          </cell>
          <cell r="H387">
            <v>75</v>
          </cell>
          <cell r="I387">
            <v>0</v>
          </cell>
          <cell r="J387">
            <v>0</v>
          </cell>
          <cell r="K387">
            <v>0</v>
          </cell>
          <cell r="L387">
            <v>0</v>
          </cell>
          <cell r="M387">
            <v>0</v>
          </cell>
          <cell r="N387">
            <v>0</v>
          </cell>
          <cell r="O387">
            <v>0</v>
          </cell>
          <cell r="P387">
            <v>0</v>
          </cell>
          <cell r="Q387">
            <v>35</v>
          </cell>
          <cell r="R387">
            <v>0</v>
          </cell>
          <cell r="S387">
            <v>0</v>
          </cell>
          <cell r="T387">
            <v>0</v>
          </cell>
          <cell r="U387">
            <v>0</v>
          </cell>
          <cell r="V387">
            <v>4576</v>
          </cell>
          <cell r="W387">
            <v>4541</v>
          </cell>
        </row>
        <row r="388">
          <cell r="A388" t="str">
            <v>University of Southern Indiana</v>
          </cell>
          <cell r="B388">
            <v>23</v>
          </cell>
          <cell r="C388">
            <v>37591</v>
          </cell>
          <cell r="D388">
            <v>37591</v>
          </cell>
          <cell r="E388">
            <v>16000</v>
          </cell>
          <cell r="F388">
            <v>6496</v>
          </cell>
          <cell r="G388">
            <v>0</v>
          </cell>
          <cell r="H388">
            <v>75</v>
          </cell>
          <cell r="I388">
            <v>0</v>
          </cell>
          <cell r="J388">
            <v>0</v>
          </cell>
          <cell r="K388">
            <v>0</v>
          </cell>
          <cell r="L388">
            <v>0</v>
          </cell>
          <cell r="M388">
            <v>0</v>
          </cell>
          <cell r="N388">
            <v>0</v>
          </cell>
          <cell r="O388">
            <v>0</v>
          </cell>
          <cell r="P388">
            <v>0</v>
          </cell>
          <cell r="Q388">
            <v>35</v>
          </cell>
          <cell r="R388">
            <v>0</v>
          </cell>
          <cell r="S388">
            <v>0</v>
          </cell>
          <cell r="T388">
            <v>0</v>
          </cell>
          <cell r="U388">
            <v>0</v>
          </cell>
          <cell r="V388">
            <v>6606</v>
          </cell>
          <cell r="W388">
            <v>6571</v>
          </cell>
        </row>
        <row r="389">
          <cell r="A389" t="str">
            <v>Guardian Automotive Trim (Windsor)</v>
          </cell>
          <cell r="B389">
            <v>24</v>
          </cell>
          <cell r="C389">
            <v>37257</v>
          </cell>
          <cell r="D389">
            <v>37257</v>
          </cell>
          <cell r="E389">
            <v>20000</v>
          </cell>
          <cell r="F389">
            <v>8120</v>
          </cell>
          <cell r="G389">
            <v>0</v>
          </cell>
          <cell r="H389">
            <v>75</v>
          </cell>
          <cell r="I389">
            <v>0</v>
          </cell>
          <cell r="J389">
            <v>0</v>
          </cell>
          <cell r="K389">
            <v>0</v>
          </cell>
          <cell r="L389">
            <v>0</v>
          </cell>
          <cell r="M389">
            <v>0</v>
          </cell>
          <cell r="N389">
            <v>20000</v>
          </cell>
          <cell r="O389">
            <v>60</v>
          </cell>
          <cell r="P389">
            <v>0</v>
          </cell>
          <cell r="Q389">
            <v>35</v>
          </cell>
          <cell r="R389">
            <v>0</v>
          </cell>
          <cell r="S389">
            <v>0</v>
          </cell>
          <cell r="T389">
            <v>0</v>
          </cell>
          <cell r="U389">
            <v>0</v>
          </cell>
          <cell r="V389">
            <v>8290</v>
          </cell>
          <cell r="W389">
            <v>8255</v>
          </cell>
        </row>
        <row r="390">
          <cell r="A390" t="str">
            <v>Guardian Automotive Trim (Windsor)</v>
          </cell>
          <cell r="B390">
            <v>24</v>
          </cell>
          <cell r="C390">
            <v>37288</v>
          </cell>
          <cell r="D390">
            <v>37288</v>
          </cell>
          <cell r="E390">
            <v>17364</v>
          </cell>
          <cell r="F390">
            <v>7049.78</v>
          </cell>
          <cell r="G390">
            <v>0</v>
          </cell>
          <cell r="H390">
            <v>75</v>
          </cell>
          <cell r="I390">
            <v>0</v>
          </cell>
          <cell r="J390">
            <v>0</v>
          </cell>
          <cell r="K390">
            <v>0</v>
          </cell>
          <cell r="L390">
            <v>0</v>
          </cell>
          <cell r="M390">
            <v>0</v>
          </cell>
          <cell r="N390">
            <v>17364</v>
          </cell>
          <cell r="O390">
            <v>-17.36</v>
          </cell>
          <cell r="P390">
            <v>0</v>
          </cell>
          <cell r="Q390">
            <v>35</v>
          </cell>
          <cell r="R390">
            <v>0</v>
          </cell>
          <cell r="S390">
            <v>0</v>
          </cell>
          <cell r="T390">
            <v>0</v>
          </cell>
          <cell r="U390">
            <v>0</v>
          </cell>
          <cell r="V390">
            <v>7142.42</v>
          </cell>
          <cell r="W390">
            <v>7107.42</v>
          </cell>
        </row>
        <row r="391">
          <cell r="A391" t="str">
            <v>Guardian Automotive Trim (Windsor)</v>
          </cell>
          <cell r="B391">
            <v>24</v>
          </cell>
          <cell r="C391">
            <v>37316</v>
          </cell>
          <cell r="D391">
            <v>37316</v>
          </cell>
          <cell r="E391">
            <v>16669</v>
          </cell>
          <cell r="F391">
            <v>6767.61</v>
          </cell>
          <cell r="G391">
            <v>0</v>
          </cell>
          <cell r="H391">
            <v>75</v>
          </cell>
          <cell r="I391">
            <v>0</v>
          </cell>
          <cell r="J391">
            <v>0</v>
          </cell>
          <cell r="K391">
            <v>0</v>
          </cell>
          <cell r="L391">
            <v>0</v>
          </cell>
          <cell r="M391">
            <v>0</v>
          </cell>
          <cell r="N391">
            <v>16669</v>
          </cell>
          <cell r="O391">
            <v>-16.670000000000002</v>
          </cell>
          <cell r="P391">
            <v>0</v>
          </cell>
          <cell r="Q391">
            <v>35</v>
          </cell>
          <cell r="R391">
            <v>0</v>
          </cell>
          <cell r="S391">
            <v>0</v>
          </cell>
          <cell r="T391">
            <v>0</v>
          </cell>
          <cell r="U391">
            <v>0</v>
          </cell>
          <cell r="V391">
            <v>6860.94</v>
          </cell>
          <cell r="W391">
            <v>6825.94</v>
          </cell>
        </row>
        <row r="392">
          <cell r="A392" t="str">
            <v>Guardian Automotive Trim (Windsor)</v>
          </cell>
          <cell r="B392">
            <v>24</v>
          </cell>
          <cell r="C392">
            <v>37347</v>
          </cell>
          <cell r="D392">
            <v>37347</v>
          </cell>
          <cell r="E392">
            <v>10667</v>
          </cell>
          <cell r="F392">
            <v>4330.8</v>
          </cell>
          <cell r="G392">
            <v>0</v>
          </cell>
          <cell r="H392">
            <v>75</v>
          </cell>
          <cell r="I392">
            <v>0</v>
          </cell>
          <cell r="J392">
            <v>0</v>
          </cell>
          <cell r="K392">
            <v>0</v>
          </cell>
          <cell r="L392">
            <v>0</v>
          </cell>
          <cell r="M392">
            <v>0</v>
          </cell>
          <cell r="N392">
            <v>10667</v>
          </cell>
          <cell r="O392">
            <v>-10.67</v>
          </cell>
          <cell r="P392">
            <v>0</v>
          </cell>
          <cell r="Q392">
            <v>35</v>
          </cell>
          <cell r="R392">
            <v>0</v>
          </cell>
          <cell r="S392">
            <v>0</v>
          </cell>
          <cell r="T392">
            <v>0</v>
          </cell>
          <cell r="U392">
            <v>0</v>
          </cell>
          <cell r="V392">
            <v>4430.13</v>
          </cell>
          <cell r="W392">
            <v>4395.13</v>
          </cell>
        </row>
        <row r="393">
          <cell r="A393" t="str">
            <v>Guardian Automotive Trim (Windsor)</v>
          </cell>
          <cell r="B393">
            <v>24</v>
          </cell>
          <cell r="C393">
            <v>37377</v>
          </cell>
          <cell r="D393">
            <v>37377</v>
          </cell>
          <cell r="E393">
            <v>9750</v>
          </cell>
          <cell r="F393">
            <v>3958.5</v>
          </cell>
          <cell r="G393">
            <v>0</v>
          </cell>
          <cell r="H393">
            <v>75</v>
          </cell>
          <cell r="I393">
            <v>0</v>
          </cell>
          <cell r="J393">
            <v>0</v>
          </cell>
          <cell r="K393">
            <v>0</v>
          </cell>
          <cell r="L393">
            <v>0</v>
          </cell>
          <cell r="M393">
            <v>0</v>
          </cell>
          <cell r="N393">
            <v>0</v>
          </cell>
          <cell r="O393">
            <v>0</v>
          </cell>
          <cell r="P393">
            <v>0</v>
          </cell>
          <cell r="Q393">
            <v>35</v>
          </cell>
          <cell r="R393">
            <v>0</v>
          </cell>
          <cell r="S393">
            <v>0</v>
          </cell>
          <cell r="T393">
            <v>0</v>
          </cell>
          <cell r="U393">
            <v>0</v>
          </cell>
          <cell r="V393">
            <v>4068.5</v>
          </cell>
          <cell r="W393">
            <v>4033.5</v>
          </cell>
        </row>
        <row r="394">
          <cell r="A394" t="str">
            <v>Guardian Automotive Trim (Windsor)</v>
          </cell>
          <cell r="B394">
            <v>24</v>
          </cell>
          <cell r="C394">
            <v>37408</v>
          </cell>
          <cell r="D394">
            <v>37408</v>
          </cell>
          <cell r="E394">
            <v>5855</v>
          </cell>
          <cell r="F394">
            <v>2377.13</v>
          </cell>
          <cell r="G394">
            <v>0</v>
          </cell>
          <cell r="H394">
            <v>75</v>
          </cell>
          <cell r="I394">
            <v>0</v>
          </cell>
          <cell r="J394">
            <v>0</v>
          </cell>
          <cell r="K394">
            <v>0</v>
          </cell>
          <cell r="L394">
            <v>0</v>
          </cell>
          <cell r="M394">
            <v>0</v>
          </cell>
          <cell r="N394">
            <v>0</v>
          </cell>
          <cell r="O394">
            <v>0</v>
          </cell>
          <cell r="P394">
            <v>0</v>
          </cell>
          <cell r="Q394">
            <v>35</v>
          </cell>
          <cell r="R394">
            <v>0</v>
          </cell>
          <cell r="S394">
            <v>0</v>
          </cell>
          <cell r="T394">
            <v>0</v>
          </cell>
          <cell r="U394">
            <v>0</v>
          </cell>
          <cell r="V394">
            <v>2487.13</v>
          </cell>
          <cell r="W394">
            <v>2452.13</v>
          </cell>
        </row>
        <row r="395">
          <cell r="A395" t="str">
            <v>Guardian Automotive Trim (Windsor)</v>
          </cell>
          <cell r="B395">
            <v>24</v>
          </cell>
          <cell r="C395">
            <v>37438</v>
          </cell>
          <cell r="D395">
            <v>37438</v>
          </cell>
          <cell r="E395">
            <v>4740</v>
          </cell>
          <cell r="F395">
            <v>1924.44</v>
          </cell>
          <cell r="G395">
            <v>0</v>
          </cell>
          <cell r="H395">
            <v>75</v>
          </cell>
          <cell r="I395">
            <v>0</v>
          </cell>
          <cell r="J395">
            <v>0</v>
          </cell>
          <cell r="K395">
            <v>0</v>
          </cell>
          <cell r="L395">
            <v>0</v>
          </cell>
          <cell r="M395">
            <v>0</v>
          </cell>
          <cell r="N395">
            <v>0</v>
          </cell>
          <cell r="O395">
            <v>0</v>
          </cell>
          <cell r="P395">
            <v>0</v>
          </cell>
          <cell r="Q395">
            <v>35</v>
          </cell>
          <cell r="R395">
            <v>0</v>
          </cell>
          <cell r="S395">
            <v>0</v>
          </cell>
          <cell r="T395">
            <v>0</v>
          </cell>
          <cell r="U395">
            <v>0</v>
          </cell>
          <cell r="V395">
            <v>2034.44</v>
          </cell>
          <cell r="W395">
            <v>1999.44</v>
          </cell>
        </row>
        <row r="396">
          <cell r="A396" t="str">
            <v>Guardian Automotive Trim (Windsor)</v>
          </cell>
          <cell r="B396">
            <v>24</v>
          </cell>
          <cell r="C396">
            <v>37469</v>
          </cell>
          <cell r="D396">
            <v>37469</v>
          </cell>
          <cell r="E396">
            <v>5846</v>
          </cell>
          <cell r="F396">
            <v>2373.48</v>
          </cell>
          <cell r="G396">
            <v>0</v>
          </cell>
          <cell r="H396">
            <v>75</v>
          </cell>
          <cell r="I396">
            <v>0</v>
          </cell>
          <cell r="J396">
            <v>0</v>
          </cell>
          <cell r="K396">
            <v>0</v>
          </cell>
          <cell r="L396">
            <v>0</v>
          </cell>
          <cell r="M396">
            <v>0</v>
          </cell>
          <cell r="N396">
            <v>0</v>
          </cell>
          <cell r="O396">
            <v>0</v>
          </cell>
          <cell r="P396">
            <v>0</v>
          </cell>
          <cell r="Q396">
            <v>35</v>
          </cell>
          <cell r="R396">
            <v>0</v>
          </cell>
          <cell r="S396">
            <v>0</v>
          </cell>
          <cell r="T396">
            <v>0</v>
          </cell>
          <cell r="U396">
            <v>0</v>
          </cell>
          <cell r="V396">
            <v>2483.48</v>
          </cell>
          <cell r="W396">
            <v>2448.48</v>
          </cell>
        </row>
        <row r="397">
          <cell r="A397" t="str">
            <v>Guardian Automotive Trim (Windsor)</v>
          </cell>
          <cell r="B397">
            <v>24</v>
          </cell>
          <cell r="C397">
            <v>37500</v>
          </cell>
          <cell r="D397">
            <v>37500</v>
          </cell>
          <cell r="E397">
            <v>6680</v>
          </cell>
          <cell r="F397">
            <v>2712.08</v>
          </cell>
          <cell r="G397">
            <v>0</v>
          </cell>
          <cell r="H397">
            <v>75</v>
          </cell>
          <cell r="I397">
            <v>0</v>
          </cell>
          <cell r="J397">
            <v>0</v>
          </cell>
          <cell r="K397">
            <v>0</v>
          </cell>
          <cell r="L397">
            <v>0</v>
          </cell>
          <cell r="M397">
            <v>0</v>
          </cell>
          <cell r="N397">
            <v>0</v>
          </cell>
          <cell r="O397">
            <v>0</v>
          </cell>
          <cell r="P397">
            <v>0</v>
          </cell>
          <cell r="Q397">
            <v>35</v>
          </cell>
          <cell r="R397">
            <v>0</v>
          </cell>
          <cell r="S397">
            <v>0</v>
          </cell>
          <cell r="T397">
            <v>0</v>
          </cell>
          <cell r="U397">
            <v>0</v>
          </cell>
          <cell r="V397">
            <v>2822.08</v>
          </cell>
          <cell r="W397">
            <v>2787.08</v>
          </cell>
        </row>
        <row r="398">
          <cell r="A398" t="str">
            <v>Guardian Automotive Trim (Windsor)</v>
          </cell>
          <cell r="B398">
            <v>24</v>
          </cell>
          <cell r="C398">
            <v>37530</v>
          </cell>
          <cell r="D398">
            <v>37530</v>
          </cell>
          <cell r="E398">
            <v>10585</v>
          </cell>
          <cell r="F398">
            <v>4297.51</v>
          </cell>
          <cell r="G398">
            <v>0</v>
          </cell>
          <cell r="H398">
            <v>75</v>
          </cell>
          <cell r="I398">
            <v>0</v>
          </cell>
          <cell r="J398">
            <v>0</v>
          </cell>
          <cell r="K398">
            <v>0</v>
          </cell>
          <cell r="L398">
            <v>0</v>
          </cell>
          <cell r="M398">
            <v>0</v>
          </cell>
          <cell r="N398">
            <v>0</v>
          </cell>
          <cell r="O398">
            <v>0</v>
          </cell>
          <cell r="P398">
            <v>0</v>
          </cell>
          <cell r="Q398">
            <v>35</v>
          </cell>
          <cell r="R398">
            <v>0</v>
          </cell>
          <cell r="S398">
            <v>0</v>
          </cell>
          <cell r="T398">
            <v>0</v>
          </cell>
          <cell r="U398">
            <v>0</v>
          </cell>
          <cell r="V398">
            <v>4407.51</v>
          </cell>
          <cell r="W398">
            <v>4372.51</v>
          </cell>
        </row>
        <row r="399">
          <cell r="A399" t="str">
            <v>Guardian Automotive Trim (Windsor)</v>
          </cell>
          <cell r="B399">
            <v>24</v>
          </cell>
          <cell r="C399">
            <v>37561</v>
          </cell>
          <cell r="D399">
            <v>37561</v>
          </cell>
          <cell r="E399">
            <v>14935</v>
          </cell>
          <cell r="F399">
            <v>6063.61</v>
          </cell>
          <cell r="G399">
            <v>0</v>
          </cell>
          <cell r="H399">
            <v>75</v>
          </cell>
          <cell r="I399">
            <v>0</v>
          </cell>
          <cell r="J399">
            <v>0</v>
          </cell>
          <cell r="K399">
            <v>0</v>
          </cell>
          <cell r="L399">
            <v>0</v>
          </cell>
          <cell r="M399">
            <v>0</v>
          </cell>
          <cell r="N399">
            <v>0</v>
          </cell>
          <cell r="O399">
            <v>0</v>
          </cell>
          <cell r="P399">
            <v>0</v>
          </cell>
          <cell r="Q399">
            <v>35</v>
          </cell>
          <cell r="R399">
            <v>0</v>
          </cell>
          <cell r="S399">
            <v>0</v>
          </cell>
          <cell r="T399">
            <v>0</v>
          </cell>
          <cell r="U399">
            <v>0</v>
          </cell>
          <cell r="V399">
            <v>6173.61</v>
          </cell>
          <cell r="W399">
            <v>6138.61</v>
          </cell>
        </row>
        <row r="400">
          <cell r="A400" t="str">
            <v>Guardian Automotive Trim (Windsor)</v>
          </cell>
          <cell r="B400">
            <v>24</v>
          </cell>
          <cell r="C400">
            <v>37591</v>
          </cell>
          <cell r="D400">
            <v>37591</v>
          </cell>
          <cell r="E400">
            <v>19648</v>
          </cell>
          <cell r="F400">
            <v>7977.09</v>
          </cell>
          <cell r="G400">
            <v>0</v>
          </cell>
          <cell r="H400">
            <v>75</v>
          </cell>
          <cell r="I400">
            <v>0</v>
          </cell>
          <cell r="J400">
            <v>0</v>
          </cell>
          <cell r="K400">
            <v>0</v>
          </cell>
          <cell r="L400">
            <v>0</v>
          </cell>
          <cell r="M400">
            <v>0</v>
          </cell>
          <cell r="N400">
            <v>0</v>
          </cell>
          <cell r="O400">
            <v>0</v>
          </cell>
          <cell r="P400">
            <v>0</v>
          </cell>
          <cell r="Q400">
            <v>35</v>
          </cell>
          <cell r="R400">
            <v>0</v>
          </cell>
          <cell r="S400">
            <v>0</v>
          </cell>
          <cell r="T400">
            <v>0</v>
          </cell>
          <cell r="U400">
            <v>0</v>
          </cell>
          <cell r="V400">
            <v>8087.09</v>
          </cell>
          <cell r="W400">
            <v>8052.09</v>
          </cell>
        </row>
        <row r="401">
          <cell r="A401" t="str">
            <v>Kerry Ingredients (Modern Maid)</v>
          </cell>
          <cell r="B401">
            <v>25</v>
          </cell>
          <cell r="C401">
            <v>37257</v>
          </cell>
          <cell r="D401">
            <v>37257</v>
          </cell>
          <cell r="E401">
            <v>9317</v>
          </cell>
          <cell r="F401">
            <v>3782.7</v>
          </cell>
          <cell r="G401">
            <v>0</v>
          </cell>
          <cell r="H401">
            <v>75</v>
          </cell>
          <cell r="I401">
            <v>0</v>
          </cell>
          <cell r="J401">
            <v>0</v>
          </cell>
          <cell r="K401">
            <v>0</v>
          </cell>
          <cell r="L401">
            <v>0</v>
          </cell>
          <cell r="M401">
            <v>0</v>
          </cell>
          <cell r="N401">
            <v>9317</v>
          </cell>
          <cell r="O401">
            <v>27.95</v>
          </cell>
          <cell r="P401">
            <v>0</v>
          </cell>
          <cell r="Q401">
            <v>35</v>
          </cell>
          <cell r="R401">
            <v>0</v>
          </cell>
          <cell r="S401">
            <v>0</v>
          </cell>
          <cell r="T401">
            <v>0</v>
          </cell>
          <cell r="U401">
            <v>0</v>
          </cell>
          <cell r="V401">
            <v>3920.65</v>
          </cell>
          <cell r="W401">
            <v>3885.65</v>
          </cell>
        </row>
        <row r="402">
          <cell r="A402" t="str">
            <v>Kerry Ingredients (Modern Maid)</v>
          </cell>
          <cell r="B402">
            <v>25</v>
          </cell>
          <cell r="C402">
            <v>37288</v>
          </cell>
          <cell r="D402">
            <v>37288</v>
          </cell>
          <cell r="E402">
            <v>8260</v>
          </cell>
          <cell r="F402">
            <v>3353.56</v>
          </cell>
          <cell r="G402">
            <v>0</v>
          </cell>
          <cell r="H402">
            <v>75</v>
          </cell>
          <cell r="I402">
            <v>0</v>
          </cell>
          <cell r="J402">
            <v>0</v>
          </cell>
          <cell r="K402">
            <v>0</v>
          </cell>
          <cell r="L402">
            <v>0</v>
          </cell>
          <cell r="M402">
            <v>0</v>
          </cell>
          <cell r="N402">
            <v>8260</v>
          </cell>
          <cell r="O402">
            <v>-8.26</v>
          </cell>
          <cell r="P402">
            <v>0</v>
          </cell>
          <cell r="Q402">
            <v>35</v>
          </cell>
          <cell r="R402">
            <v>0</v>
          </cell>
          <cell r="S402">
            <v>0</v>
          </cell>
          <cell r="T402">
            <v>0</v>
          </cell>
          <cell r="U402">
            <v>0</v>
          </cell>
          <cell r="V402">
            <v>3455.3</v>
          </cell>
          <cell r="W402">
            <v>3420.3</v>
          </cell>
        </row>
        <row r="403">
          <cell r="A403" t="str">
            <v>Kerry Ingredients (Modern Maid)</v>
          </cell>
          <cell r="B403">
            <v>25</v>
          </cell>
          <cell r="C403">
            <v>37316</v>
          </cell>
          <cell r="D403">
            <v>37316</v>
          </cell>
          <cell r="E403">
            <v>7598</v>
          </cell>
          <cell r="F403">
            <v>3084.79</v>
          </cell>
          <cell r="G403">
            <v>0</v>
          </cell>
          <cell r="H403">
            <v>75</v>
          </cell>
          <cell r="I403">
            <v>0</v>
          </cell>
          <cell r="J403">
            <v>0</v>
          </cell>
          <cell r="K403">
            <v>0</v>
          </cell>
          <cell r="L403">
            <v>0</v>
          </cell>
          <cell r="M403">
            <v>0</v>
          </cell>
          <cell r="N403">
            <v>7598</v>
          </cell>
          <cell r="O403">
            <v>-7.6</v>
          </cell>
          <cell r="P403">
            <v>0</v>
          </cell>
          <cell r="Q403">
            <v>35</v>
          </cell>
          <cell r="R403">
            <v>0</v>
          </cell>
          <cell r="S403">
            <v>0</v>
          </cell>
          <cell r="T403">
            <v>0</v>
          </cell>
          <cell r="U403">
            <v>0</v>
          </cell>
          <cell r="V403">
            <v>3187.19</v>
          </cell>
          <cell r="W403">
            <v>3152.19</v>
          </cell>
        </row>
        <row r="404">
          <cell r="A404" t="str">
            <v>Kerry Ingredients (Modern Maid)</v>
          </cell>
          <cell r="B404">
            <v>25</v>
          </cell>
          <cell r="C404">
            <v>37347</v>
          </cell>
          <cell r="D404">
            <v>37347</v>
          </cell>
          <cell r="E404">
            <v>7879</v>
          </cell>
          <cell r="F404">
            <v>3198.87</v>
          </cell>
          <cell r="G404">
            <v>0</v>
          </cell>
          <cell r="H404">
            <v>75</v>
          </cell>
          <cell r="I404">
            <v>0</v>
          </cell>
          <cell r="J404">
            <v>0</v>
          </cell>
          <cell r="K404">
            <v>0</v>
          </cell>
          <cell r="L404">
            <v>0</v>
          </cell>
          <cell r="M404">
            <v>0</v>
          </cell>
          <cell r="N404">
            <v>7879</v>
          </cell>
          <cell r="O404">
            <v>-7.88</v>
          </cell>
          <cell r="P404">
            <v>0</v>
          </cell>
          <cell r="Q404">
            <v>35</v>
          </cell>
          <cell r="R404">
            <v>0</v>
          </cell>
          <cell r="S404">
            <v>0</v>
          </cell>
          <cell r="T404">
            <v>0</v>
          </cell>
          <cell r="U404">
            <v>0</v>
          </cell>
          <cell r="V404">
            <v>3300.99</v>
          </cell>
          <cell r="W404">
            <v>3265.99</v>
          </cell>
        </row>
        <row r="405">
          <cell r="A405" t="str">
            <v>Kerry Ingredients (Modern Maid)</v>
          </cell>
          <cell r="B405">
            <v>25</v>
          </cell>
          <cell r="C405">
            <v>37377</v>
          </cell>
          <cell r="D405">
            <v>37377</v>
          </cell>
          <cell r="E405">
            <v>7521</v>
          </cell>
          <cell r="F405">
            <v>3053.53</v>
          </cell>
          <cell r="G405">
            <v>0</v>
          </cell>
          <cell r="H405">
            <v>75</v>
          </cell>
          <cell r="I405">
            <v>0</v>
          </cell>
          <cell r="J405">
            <v>0</v>
          </cell>
          <cell r="K405">
            <v>0</v>
          </cell>
          <cell r="L405">
            <v>0</v>
          </cell>
          <cell r="M405">
            <v>0</v>
          </cell>
          <cell r="N405">
            <v>0</v>
          </cell>
          <cell r="O405">
            <v>0</v>
          </cell>
          <cell r="P405">
            <v>0</v>
          </cell>
          <cell r="Q405">
            <v>35</v>
          </cell>
          <cell r="R405">
            <v>0</v>
          </cell>
          <cell r="S405">
            <v>0</v>
          </cell>
          <cell r="T405">
            <v>0</v>
          </cell>
          <cell r="U405">
            <v>0</v>
          </cell>
          <cell r="V405">
            <v>3163.53</v>
          </cell>
          <cell r="W405">
            <v>3128.53</v>
          </cell>
        </row>
        <row r="406">
          <cell r="A406" t="str">
            <v>Kerry Ingredients (Modern Maid)</v>
          </cell>
          <cell r="B406">
            <v>25</v>
          </cell>
          <cell r="C406">
            <v>37408</v>
          </cell>
          <cell r="D406">
            <v>37408</v>
          </cell>
          <cell r="E406">
            <v>7402</v>
          </cell>
          <cell r="F406">
            <v>3005.21</v>
          </cell>
          <cell r="G406">
            <v>0</v>
          </cell>
          <cell r="H406">
            <v>75</v>
          </cell>
          <cell r="I406">
            <v>0</v>
          </cell>
          <cell r="J406">
            <v>0</v>
          </cell>
          <cell r="K406">
            <v>0</v>
          </cell>
          <cell r="L406">
            <v>0</v>
          </cell>
          <cell r="M406">
            <v>0</v>
          </cell>
          <cell r="N406">
            <v>0</v>
          </cell>
          <cell r="O406">
            <v>0</v>
          </cell>
          <cell r="P406">
            <v>0</v>
          </cell>
          <cell r="Q406">
            <v>35</v>
          </cell>
          <cell r="R406">
            <v>0</v>
          </cell>
          <cell r="S406">
            <v>0</v>
          </cell>
          <cell r="T406">
            <v>0</v>
          </cell>
          <cell r="U406">
            <v>0</v>
          </cell>
          <cell r="V406">
            <v>3115.21</v>
          </cell>
          <cell r="W406">
            <v>3080.21</v>
          </cell>
        </row>
        <row r="407">
          <cell r="A407" t="str">
            <v>Kerry Ingredients (Modern Maid)</v>
          </cell>
          <cell r="B407">
            <v>25</v>
          </cell>
          <cell r="C407">
            <v>37438</v>
          </cell>
          <cell r="D407">
            <v>37438</v>
          </cell>
          <cell r="E407">
            <v>6000</v>
          </cell>
          <cell r="F407">
            <v>2436</v>
          </cell>
          <cell r="G407">
            <v>0</v>
          </cell>
          <cell r="H407">
            <v>75</v>
          </cell>
          <cell r="I407">
            <v>0</v>
          </cell>
          <cell r="J407">
            <v>0</v>
          </cell>
          <cell r="K407">
            <v>0</v>
          </cell>
          <cell r="L407">
            <v>0</v>
          </cell>
          <cell r="M407">
            <v>0</v>
          </cell>
          <cell r="N407">
            <v>0</v>
          </cell>
          <cell r="O407">
            <v>0</v>
          </cell>
          <cell r="P407">
            <v>0</v>
          </cell>
          <cell r="Q407">
            <v>35</v>
          </cell>
          <cell r="R407">
            <v>0</v>
          </cell>
          <cell r="S407">
            <v>0</v>
          </cell>
          <cell r="T407">
            <v>0</v>
          </cell>
          <cell r="U407">
            <v>0</v>
          </cell>
          <cell r="V407">
            <v>2546</v>
          </cell>
          <cell r="W407">
            <v>2511</v>
          </cell>
        </row>
        <row r="408">
          <cell r="A408" t="str">
            <v>Kerry Ingredients (Modern Maid)</v>
          </cell>
          <cell r="B408">
            <v>25</v>
          </cell>
          <cell r="C408">
            <v>37469</v>
          </cell>
          <cell r="D408">
            <v>37469</v>
          </cell>
          <cell r="E408">
            <v>6133</v>
          </cell>
          <cell r="F408">
            <v>2490</v>
          </cell>
          <cell r="G408">
            <v>0</v>
          </cell>
          <cell r="H408">
            <v>75</v>
          </cell>
          <cell r="I408">
            <v>0</v>
          </cell>
          <cell r="J408">
            <v>0</v>
          </cell>
          <cell r="K408">
            <v>0</v>
          </cell>
          <cell r="L408">
            <v>0</v>
          </cell>
          <cell r="M408">
            <v>0</v>
          </cell>
          <cell r="N408">
            <v>0</v>
          </cell>
          <cell r="O408">
            <v>0</v>
          </cell>
          <cell r="P408">
            <v>0</v>
          </cell>
          <cell r="Q408">
            <v>35</v>
          </cell>
          <cell r="R408">
            <v>0</v>
          </cell>
          <cell r="S408">
            <v>0</v>
          </cell>
          <cell r="T408">
            <v>0</v>
          </cell>
          <cell r="U408">
            <v>0</v>
          </cell>
          <cell r="V408">
            <v>2600</v>
          </cell>
          <cell r="W408">
            <v>2565</v>
          </cell>
        </row>
        <row r="409">
          <cell r="A409" t="str">
            <v>Kerry Ingredients (Modern Maid)</v>
          </cell>
          <cell r="B409">
            <v>25</v>
          </cell>
          <cell r="C409">
            <v>37500</v>
          </cell>
          <cell r="D409">
            <v>37500</v>
          </cell>
          <cell r="E409">
            <v>5537</v>
          </cell>
          <cell r="F409">
            <v>2248.02</v>
          </cell>
          <cell r="G409">
            <v>0</v>
          </cell>
          <cell r="H409">
            <v>75</v>
          </cell>
          <cell r="I409">
            <v>0</v>
          </cell>
          <cell r="J409">
            <v>0</v>
          </cell>
          <cell r="K409">
            <v>0</v>
          </cell>
          <cell r="L409">
            <v>0</v>
          </cell>
          <cell r="M409">
            <v>0</v>
          </cell>
          <cell r="N409">
            <v>0</v>
          </cell>
          <cell r="O409">
            <v>0</v>
          </cell>
          <cell r="P409">
            <v>0</v>
          </cell>
          <cell r="Q409">
            <v>35</v>
          </cell>
          <cell r="R409">
            <v>0</v>
          </cell>
          <cell r="S409">
            <v>0</v>
          </cell>
          <cell r="T409">
            <v>0</v>
          </cell>
          <cell r="U409">
            <v>0</v>
          </cell>
          <cell r="V409">
            <v>2358.02</v>
          </cell>
          <cell r="W409">
            <v>2323.02</v>
          </cell>
        </row>
        <row r="410">
          <cell r="A410" t="str">
            <v>Kerry Ingredients (Modern Maid)</v>
          </cell>
          <cell r="B410">
            <v>25</v>
          </cell>
          <cell r="C410">
            <v>37530</v>
          </cell>
          <cell r="D410">
            <v>37530</v>
          </cell>
          <cell r="E410">
            <v>7709</v>
          </cell>
          <cell r="F410">
            <v>3129.85</v>
          </cell>
          <cell r="G410">
            <v>0</v>
          </cell>
          <cell r="H410">
            <v>75</v>
          </cell>
          <cell r="I410">
            <v>0</v>
          </cell>
          <cell r="J410">
            <v>0</v>
          </cell>
          <cell r="K410">
            <v>0</v>
          </cell>
          <cell r="L410">
            <v>0</v>
          </cell>
          <cell r="M410">
            <v>0</v>
          </cell>
          <cell r="N410">
            <v>0</v>
          </cell>
          <cell r="O410">
            <v>0</v>
          </cell>
          <cell r="P410">
            <v>0</v>
          </cell>
          <cell r="Q410">
            <v>35</v>
          </cell>
          <cell r="R410">
            <v>0</v>
          </cell>
          <cell r="S410">
            <v>0</v>
          </cell>
          <cell r="T410">
            <v>0</v>
          </cell>
          <cell r="U410">
            <v>0</v>
          </cell>
          <cell r="V410">
            <v>3239.85</v>
          </cell>
          <cell r="W410">
            <v>3204.85</v>
          </cell>
        </row>
        <row r="411">
          <cell r="A411" t="str">
            <v>Kerry Ingredients (Modern Maid)</v>
          </cell>
          <cell r="B411">
            <v>25</v>
          </cell>
          <cell r="C411">
            <v>37561</v>
          </cell>
          <cell r="D411">
            <v>37561</v>
          </cell>
          <cell r="E411">
            <v>8022</v>
          </cell>
          <cell r="F411">
            <v>3256.93</v>
          </cell>
          <cell r="G411">
            <v>0</v>
          </cell>
          <cell r="H411">
            <v>75</v>
          </cell>
          <cell r="I411">
            <v>0</v>
          </cell>
          <cell r="J411">
            <v>0</v>
          </cell>
          <cell r="K411">
            <v>0</v>
          </cell>
          <cell r="L411">
            <v>0</v>
          </cell>
          <cell r="M411">
            <v>0</v>
          </cell>
          <cell r="N411">
            <v>0</v>
          </cell>
          <cell r="O411">
            <v>0</v>
          </cell>
          <cell r="P411">
            <v>0</v>
          </cell>
          <cell r="Q411">
            <v>35</v>
          </cell>
          <cell r="R411">
            <v>0</v>
          </cell>
          <cell r="S411">
            <v>0</v>
          </cell>
          <cell r="T411">
            <v>0</v>
          </cell>
          <cell r="U411">
            <v>0</v>
          </cell>
          <cell r="V411">
            <v>3366.93</v>
          </cell>
          <cell r="W411">
            <v>3331.93</v>
          </cell>
        </row>
        <row r="412">
          <cell r="A412" t="str">
            <v>Kerry Ingredients (Modern Maid)</v>
          </cell>
          <cell r="B412">
            <v>25</v>
          </cell>
          <cell r="C412">
            <v>37591</v>
          </cell>
          <cell r="D412">
            <v>37591</v>
          </cell>
          <cell r="E412">
            <v>7292</v>
          </cell>
          <cell r="F412">
            <v>2960.55</v>
          </cell>
          <cell r="G412">
            <v>0</v>
          </cell>
          <cell r="H412">
            <v>75</v>
          </cell>
          <cell r="I412">
            <v>0</v>
          </cell>
          <cell r="J412">
            <v>0</v>
          </cell>
          <cell r="K412">
            <v>0</v>
          </cell>
          <cell r="L412">
            <v>0</v>
          </cell>
          <cell r="M412">
            <v>0</v>
          </cell>
          <cell r="N412">
            <v>0</v>
          </cell>
          <cell r="O412">
            <v>0</v>
          </cell>
          <cell r="P412">
            <v>0</v>
          </cell>
          <cell r="Q412">
            <v>35</v>
          </cell>
          <cell r="R412">
            <v>0</v>
          </cell>
          <cell r="S412">
            <v>0</v>
          </cell>
          <cell r="T412">
            <v>0</v>
          </cell>
          <cell r="U412">
            <v>0</v>
          </cell>
          <cell r="V412">
            <v>3070.55</v>
          </cell>
          <cell r="W412">
            <v>3035.55</v>
          </cell>
        </row>
        <row r="413">
          <cell r="A413" t="str">
            <v>Whirlpool Corporation</v>
          </cell>
          <cell r="B413">
            <v>26</v>
          </cell>
          <cell r="C413">
            <v>37257</v>
          </cell>
          <cell r="D413">
            <v>37257</v>
          </cell>
          <cell r="E413">
            <v>31000</v>
          </cell>
          <cell r="F413">
            <v>12586</v>
          </cell>
          <cell r="G413">
            <v>0</v>
          </cell>
          <cell r="H413">
            <v>75</v>
          </cell>
          <cell r="I413">
            <v>0</v>
          </cell>
          <cell r="J413">
            <v>0</v>
          </cell>
          <cell r="K413">
            <v>0</v>
          </cell>
          <cell r="L413">
            <v>0</v>
          </cell>
          <cell r="M413">
            <v>0</v>
          </cell>
          <cell r="N413">
            <v>31000</v>
          </cell>
          <cell r="O413">
            <v>93</v>
          </cell>
          <cell r="P413">
            <v>0</v>
          </cell>
          <cell r="Q413">
            <v>35</v>
          </cell>
          <cell r="R413">
            <v>0</v>
          </cell>
          <cell r="S413">
            <v>0</v>
          </cell>
          <cell r="T413">
            <v>0</v>
          </cell>
          <cell r="U413">
            <v>0</v>
          </cell>
          <cell r="V413">
            <v>12789</v>
          </cell>
          <cell r="W413">
            <v>12754</v>
          </cell>
        </row>
        <row r="414">
          <cell r="A414" t="str">
            <v>Whirlpool Corporation</v>
          </cell>
          <cell r="B414">
            <v>26</v>
          </cell>
          <cell r="C414">
            <v>37288</v>
          </cell>
          <cell r="D414">
            <v>37288</v>
          </cell>
          <cell r="E414">
            <v>28000</v>
          </cell>
          <cell r="F414">
            <v>11368</v>
          </cell>
          <cell r="G414">
            <v>0</v>
          </cell>
          <cell r="H414">
            <v>75</v>
          </cell>
          <cell r="I414">
            <v>0</v>
          </cell>
          <cell r="J414">
            <v>0</v>
          </cell>
          <cell r="K414">
            <v>0</v>
          </cell>
          <cell r="L414">
            <v>0</v>
          </cell>
          <cell r="M414">
            <v>0</v>
          </cell>
          <cell r="N414">
            <v>28000</v>
          </cell>
          <cell r="O414">
            <v>-28</v>
          </cell>
          <cell r="P414">
            <v>0</v>
          </cell>
          <cell r="Q414">
            <v>35</v>
          </cell>
          <cell r="R414">
            <v>0</v>
          </cell>
          <cell r="S414">
            <v>0</v>
          </cell>
          <cell r="T414">
            <v>0</v>
          </cell>
          <cell r="U414">
            <v>0</v>
          </cell>
          <cell r="V414">
            <v>11450</v>
          </cell>
          <cell r="W414">
            <v>11415</v>
          </cell>
        </row>
        <row r="415">
          <cell r="A415" t="str">
            <v>Whirlpool Corporation</v>
          </cell>
          <cell r="B415">
            <v>26</v>
          </cell>
          <cell r="C415">
            <v>37316</v>
          </cell>
          <cell r="D415">
            <v>37316</v>
          </cell>
          <cell r="E415">
            <v>31000</v>
          </cell>
          <cell r="F415">
            <v>12586</v>
          </cell>
          <cell r="G415">
            <v>0</v>
          </cell>
          <cell r="H415">
            <v>75</v>
          </cell>
          <cell r="I415">
            <v>0</v>
          </cell>
          <cell r="J415">
            <v>0</v>
          </cell>
          <cell r="K415">
            <v>0</v>
          </cell>
          <cell r="L415">
            <v>0</v>
          </cell>
          <cell r="M415">
            <v>0</v>
          </cell>
          <cell r="N415">
            <v>31000</v>
          </cell>
          <cell r="O415">
            <v>-31</v>
          </cell>
          <cell r="P415">
            <v>0</v>
          </cell>
          <cell r="Q415">
            <v>35</v>
          </cell>
          <cell r="R415">
            <v>0</v>
          </cell>
          <cell r="S415">
            <v>0</v>
          </cell>
          <cell r="T415">
            <v>0</v>
          </cell>
          <cell r="U415">
            <v>0</v>
          </cell>
          <cell r="V415">
            <v>12665</v>
          </cell>
          <cell r="W415">
            <v>12630</v>
          </cell>
        </row>
        <row r="416">
          <cell r="A416" t="str">
            <v>Whirlpool Corporation</v>
          </cell>
          <cell r="B416">
            <v>26</v>
          </cell>
          <cell r="C416">
            <v>37347</v>
          </cell>
          <cell r="D416">
            <v>37347</v>
          </cell>
          <cell r="E416">
            <v>25000</v>
          </cell>
          <cell r="F416">
            <v>10150</v>
          </cell>
          <cell r="G416">
            <v>0</v>
          </cell>
          <cell r="H416">
            <v>75</v>
          </cell>
          <cell r="I416">
            <v>0</v>
          </cell>
          <cell r="J416">
            <v>0</v>
          </cell>
          <cell r="K416">
            <v>0</v>
          </cell>
          <cell r="L416">
            <v>0</v>
          </cell>
          <cell r="M416">
            <v>0</v>
          </cell>
          <cell r="N416">
            <v>25000</v>
          </cell>
          <cell r="O416">
            <v>-25</v>
          </cell>
          <cell r="P416">
            <v>0</v>
          </cell>
          <cell r="Q416">
            <v>35</v>
          </cell>
          <cell r="R416">
            <v>0</v>
          </cell>
          <cell r="S416">
            <v>0</v>
          </cell>
          <cell r="T416">
            <v>0</v>
          </cell>
          <cell r="U416">
            <v>0</v>
          </cell>
          <cell r="V416">
            <v>10235</v>
          </cell>
          <cell r="W416">
            <v>10200</v>
          </cell>
        </row>
        <row r="417">
          <cell r="A417" t="str">
            <v>Whirlpool Corporation</v>
          </cell>
          <cell r="B417">
            <v>26</v>
          </cell>
          <cell r="C417">
            <v>37377</v>
          </cell>
          <cell r="D417">
            <v>37377</v>
          </cell>
          <cell r="E417">
            <v>20000</v>
          </cell>
          <cell r="F417">
            <v>8120</v>
          </cell>
          <cell r="G417">
            <v>0</v>
          </cell>
          <cell r="H417">
            <v>75</v>
          </cell>
          <cell r="I417">
            <v>0</v>
          </cell>
          <cell r="J417">
            <v>0</v>
          </cell>
          <cell r="K417">
            <v>0</v>
          </cell>
          <cell r="L417">
            <v>0</v>
          </cell>
          <cell r="M417">
            <v>0</v>
          </cell>
          <cell r="N417">
            <v>0</v>
          </cell>
          <cell r="O417">
            <v>0</v>
          </cell>
          <cell r="P417">
            <v>0</v>
          </cell>
          <cell r="Q417">
            <v>35</v>
          </cell>
          <cell r="R417">
            <v>0</v>
          </cell>
          <cell r="S417">
            <v>0</v>
          </cell>
          <cell r="T417">
            <v>0</v>
          </cell>
          <cell r="U417">
            <v>0</v>
          </cell>
          <cell r="V417">
            <v>8230</v>
          </cell>
          <cell r="W417">
            <v>8195</v>
          </cell>
        </row>
        <row r="418">
          <cell r="A418" t="str">
            <v>Whirlpool Corporation</v>
          </cell>
          <cell r="B418">
            <v>26</v>
          </cell>
          <cell r="C418">
            <v>37408</v>
          </cell>
          <cell r="D418">
            <v>37408</v>
          </cell>
          <cell r="E418">
            <v>20000</v>
          </cell>
          <cell r="F418">
            <v>8120</v>
          </cell>
          <cell r="G418">
            <v>0</v>
          </cell>
          <cell r="H418">
            <v>75</v>
          </cell>
          <cell r="I418">
            <v>0</v>
          </cell>
          <cell r="J418">
            <v>0</v>
          </cell>
          <cell r="K418">
            <v>0</v>
          </cell>
          <cell r="L418">
            <v>0</v>
          </cell>
          <cell r="M418">
            <v>0</v>
          </cell>
          <cell r="N418">
            <v>0</v>
          </cell>
          <cell r="O418">
            <v>0</v>
          </cell>
          <cell r="P418">
            <v>0</v>
          </cell>
          <cell r="Q418">
            <v>35</v>
          </cell>
          <cell r="R418">
            <v>0</v>
          </cell>
          <cell r="S418">
            <v>0</v>
          </cell>
          <cell r="T418">
            <v>0</v>
          </cell>
          <cell r="U418">
            <v>0</v>
          </cell>
          <cell r="V418">
            <v>8230</v>
          </cell>
          <cell r="W418">
            <v>8195</v>
          </cell>
        </row>
        <row r="419">
          <cell r="A419" t="str">
            <v>Whirlpool Corporation</v>
          </cell>
          <cell r="B419">
            <v>26</v>
          </cell>
          <cell r="C419">
            <v>37438</v>
          </cell>
          <cell r="D419">
            <v>37438</v>
          </cell>
          <cell r="E419">
            <v>20000</v>
          </cell>
          <cell r="F419">
            <v>8120</v>
          </cell>
          <cell r="G419">
            <v>0</v>
          </cell>
          <cell r="H419">
            <v>75</v>
          </cell>
          <cell r="I419">
            <v>0</v>
          </cell>
          <cell r="J419">
            <v>0</v>
          </cell>
          <cell r="K419">
            <v>0</v>
          </cell>
          <cell r="L419">
            <v>0</v>
          </cell>
          <cell r="M419">
            <v>0</v>
          </cell>
          <cell r="N419">
            <v>0</v>
          </cell>
          <cell r="O419">
            <v>0</v>
          </cell>
          <cell r="P419">
            <v>0</v>
          </cell>
          <cell r="Q419">
            <v>35</v>
          </cell>
          <cell r="R419">
            <v>0</v>
          </cell>
          <cell r="S419">
            <v>0</v>
          </cell>
          <cell r="T419">
            <v>0</v>
          </cell>
          <cell r="U419">
            <v>0</v>
          </cell>
          <cell r="V419">
            <v>8230</v>
          </cell>
          <cell r="W419">
            <v>8195</v>
          </cell>
        </row>
        <row r="420">
          <cell r="A420" t="str">
            <v>Whirlpool Corporation</v>
          </cell>
          <cell r="B420">
            <v>26</v>
          </cell>
          <cell r="C420">
            <v>37469</v>
          </cell>
          <cell r="D420">
            <v>37469</v>
          </cell>
          <cell r="E420">
            <v>20000</v>
          </cell>
          <cell r="F420">
            <v>8120</v>
          </cell>
          <cell r="G420">
            <v>0</v>
          </cell>
          <cell r="H420">
            <v>75</v>
          </cell>
          <cell r="I420">
            <v>0</v>
          </cell>
          <cell r="J420">
            <v>0</v>
          </cell>
          <cell r="K420">
            <v>0</v>
          </cell>
          <cell r="L420">
            <v>0</v>
          </cell>
          <cell r="M420">
            <v>0</v>
          </cell>
          <cell r="N420">
            <v>0</v>
          </cell>
          <cell r="O420">
            <v>0</v>
          </cell>
          <cell r="P420">
            <v>0</v>
          </cell>
          <cell r="Q420">
            <v>35</v>
          </cell>
          <cell r="R420">
            <v>0</v>
          </cell>
          <cell r="S420">
            <v>0</v>
          </cell>
          <cell r="T420">
            <v>0</v>
          </cell>
          <cell r="U420">
            <v>0</v>
          </cell>
          <cell r="V420">
            <v>8230</v>
          </cell>
          <cell r="W420">
            <v>8195</v>
          </cell>
        </row>
        <row r="421">
          <cell r="A421" t="str">
            <v>Whirlpool Corporation</v>
          </cell>
          <cell r="B421">
            <v>26</v>
          </cell>
          <cell r="C421">
            <v>37500</v>
          </cell>
          <cell r="D421">
            <v>37500</v>
          </cell>
          <cell r="E421">
            <v>20000</v>
          </cell>
          <cell r="F421">
            <v>8120</v>
          </cell>
          <cell r="G421">
            <v>0</v>
          </cell>
          <cell r="H421">
            <v>75</v>
          </cell>
          <cell r="I421">
            <v>0</v>
          </cell>
          <cell r="J421">
            <v>0</v>
          </cell>
          <cell r="K421">
            <v>0</v>
          </cell>
          <cell r="L421">
            <v>0</v>
          </cell>
          <cell r="M421">
            <v>0</v>
          </cell>
          <cell r="N421">
            <v>0</v>
          </cell>
          <cell r="O421">
            <v>0</v>
          </cell>
          <cell r="P421">
            <v>0</v>
          </cell>
          <cell r="Q421">
            <v>35</v>
          </cell>
          <cell r="R421">
            <v>0</v>
          </cell>
          <cell r="S421">
            <v>0</v>
          </cell>
          <cell r="T421">
            <v>0</v>
          </cell>
          <cell r="U421">
            <v>0</v>
          </cell>
          <cell r="V421">
            <v>8230</v>
          </cell>
          <cell r="W421">
            <v>8195</v>
          </cell>
        </row>
        <row r="422">
          <cell r="A422" t="str">
            <v>Whirlpool Corporation</v>
          </cell>
          <cell r="B422">
            <v>26</v>
          </cell>
          <cell r="C422">
            <v>37530</v>
          </cell>
          <cell r="D422">
            <v>37530</v>
          </cell>
          <cell r="E422">
            <v>25000</v>
          </cell>
          <cell r="F422">
            <v>10150</v>
          </cell>
          <cell r="G422">
            <v>0</v>
          </cell>
          <cell r="H422">
            <v>75</v>
          </cell>
          <cell r="I422">
            <v>0</v>
          </cell>
          <cell r="J422">
            <v>0</v>
          </cell>
          <cell r="K422">
            <v>0</v>
          </cell>
          <cell r="L422">
            <v>0</v>
          </cell>
          <cell r="M422">
            <v>0</v>
          </cell>
          <cell r="N422">
            <v>0</v>
          </cell>
          <cell r="O422">
            <v>0</v>
          </cell>
          <cell r="P422">
            <v>0</v>
          </cell>
          <cell r="Q422">
            <v>35</v>
          </cell>
          <cell r="R422">
            <v>0</v>
          </cell>
          <cell r="S422">
            <v>0</v>
          </cell>
          <cell r="T422">
            <v>0</v>
          </cell>
          <cell r="U422">
            <v>0</v>
          </cell>
          <cell r="V422">
            <v>10260</v>
          </cell>
          <cell r="W422">
            <v>10225</v>
          </cell>
        </row>
        <row r="423">
          <cell r="A423" t="str">
            <v>Whirlpool Corporation</v>
          </cell>
          <cell r="B423">
            <v>26</v>
          </cell>
          <cell r="C423">
            <v>37561</v>
          </cell>
          <cell r="D423">
            <v>37561</v>
          </cell>
          <cell r="E423">
            <v>32000</v>
          </cell>
          <cell r="F423">
            <v>12992</v>
          </cell>
          <cell r="G423">
            <v>0</v>
          </cell>
          <cell r="H423">
            <v>75</v>
          </cell>
          <cell r="I423">
            <v>0</v>
          </cell>
          <cell r="J423">
            <v>0</v>
          </cell>
          <cell r="K423">
            <v>0</v>
          </cell>
          <cell r="L423">
            <v>0</v>
          </cell>
          <cell r="M423">
            <v>0</v>
          </cell>
          <cell r="N423">
            <v>0</v>
          </cell>
          <cell r="O423">
            <v>0</v>
          </cell>
          <cell r="P423">
            <v>0</v>
          </cell>
          <cell r="Q423">
            <v>35</v>
          </cell>
          <cell r="R423">
            <v>0</v>
          </cell>
          <cell r="S423">
            <v>0</v>
          </cell>
          <cell r="T423">
            <v>0</v>
          </cell>
          <cell r="U423">
            <v>0</v>
          </cell>
          <cell r="V423">
            <v>13102</v>
          </cell>
          <cell r="W423">
            <v>13067</v>
          </cell>
        </row>
        <row r="424">
          <cell r="A424" t="str">
            <v>Whirlpool Corporation</v>
          </cell>
          <cell r="B424">
            <v>26</v>
          </cell>
          <cell r="C424">
            <v>37591</v>
          </cell>
          <cell r="D424">
            <v>37591</v>
          </cell>
          <cell r="E424">
            <v>42000</v>
          </cell>
          <cell r="F424">
            <v>17052</v>
          </cell>
          <cell r="G424">
            <v>0</v>
          </cell>
          <cell r="H424">
            <v>75</v>
          </cell>
          <cell r="I424">
            <v>0</v>
          </cell>
          <cell r="J424">
            <v>0</v>
          </cell>
          <cell r="K424">
            <v>0</v>
          </cell>
          <cell r="L424">
            <v>0</v>
          </cell>
          <cell r="M424">
            <v>0</v>
          </cell>
          <cell r="N424">
            <v>0</v>
          </cell>
          <cell r="O424">
            <v>0</v>
          </cell>
          <cell r="P424">
            <v>0</v>
          </cell>
          <cell r="Q424">
            <v>35</v>
          </cell>
          <cell r="R424">
            <v>0</v>
          </cell>
          <cell r="S424">
            <v>0</v>
          </cell>
          <cell r="T424">
            <v>0</v>
          </cell>
          <cell r="U424">
            <v>0</v>
          </cell>
          <cell r="V424">
            <v>17162</v>
          </cell>
          <cell r="W424">
            <v>17127</v>
          </cell>
        </row>
        <row r="425">
          <cell r="A425" t="str">
            <v>Mead Johnson – Mt. Vernon Plant</v>
          </cell>
          <cell r="B425">
            <v>27</v>
          </cell>
          <cell r="C425">
            <v>37257</v>
          </cell>
          <cell r="D425">
            <v>37257</v>
          </cell>
          <cell r="E425">
            <v>13200</v>
          </cell>
          <cell r="F425">
            <v>5359.2</v>
          </cell>
          <cell r="G425">
            <v>0</v>
          </cell>
          <cell r="H425">
            <v>75</v>
          </cell>
          <cell r="I425">
            <v>0</v>
          </cell>
          <cell r="J425">
            <v>0</v>
          </cell>
          <cell r="K425">
            <v>0</v>
          </cell>
          <cell r="L425">
            <v>0</v>
          </cell>
          <cell r="M425">
            <v>0</v>
          </cell>
          <cell r="N425">
            <v>13200</v>
          </cell>
          <cell r="O425">
            <v>39.6</v>
          </cell>
          <cell r="P425">
            <v>0</v>
          </cell>
          <cell r="Q425">
            <v>35</v>
          </cell>
          <cell r="R425">
            <v>1.75</v>
          </cell>
          <cell r="S425">
            <v>0</v>
          </cell>
          <cell r="T425">
            <v>0</v>
          </cell>
          <cell r="U425">
            <v>0</v>
          </cell>
          <cell r="V425">
            <v>5510.55</v>
          </cell>
          <cell r="W425">
            <v>5473.8</v>
          </cell>
        </row>
        <row r="426">
          <cell r="A426" t="str">
            <v>Mead Johnson – Mt. Vernon Plant</v>
          </cell>
          <cell r="B426">
            <v>27</v>
          </cell>
          <cell r="C426">
            <v>37288</v>
          </cell>
          <cell r="D426">
            <v>37288</v>
          </cell>
          <cell r="E426">
            <v>12000</v>
          </cell>
          <cell r="F426">
            <v>4872</v>
          </cell>
          <cell r="G426">
            <v>0</v>
          </cell>
          <cell r="H426">
            <v>75</v>
          </cell>
          <cell r="I426">
            <v>0</v>
          </cell>
          <cell r="J426">
            <v>0</v>
          </cell>
          <cell r="K426">
            <v>0</v>
          </cell>
          <cell r="L426">
            <v>0</v>
          </cell>
          <cell r="M426">
            <v>0</v>
          </cell>
          <cell r="N426">
            <v>12000</v>
          </cell>
          <cell r="O426">
            <v>-12</v>
          </cell>
          <cell r="P426">
            <v>0</v>
          </cell>
          <cell r="Q426">
            <v>35</v>
          </cell>
          <cell r="R426">
            <v>1.75</v>
          </cell>
          <cell r="S426">
            <v>0</v>
          </cell>
          <cell r="T426">
            <v>0</v>
          </cell>
          <cell r="U426">
            <v>0</v>
          </cell>
          <cell r="V426">
            <v>4971.75</v>
          </cell>
          <cell r="W426">
            <v>4935</v>
          </cell>
        </row>
        <row r="427">
          <cell r="A427" t="str">
            <v>Mead Johnson – Mt. Vernon Plant</v>
          </cell>
          <cell r="B427">
            <v>27</v>
          </cell>
          <cell r="C427">
            <v>37316</v>
          </cell>
          <cell r="D427">
            <v>37316</v>
          </cell>
          <cell r="E427">
            <v>12208</v>
          </cell>
          <cell r="F427">
            <v>4956.45</v>
          </cell>
          <cell r="G427">
            <v>0</v>
          </cell>
          <cell r="H427">
            <v>75</v>
          </cell>
          <cell r="I427">
            <v>0</v>
          </cell>
          <cell r="J427">
            <v>0</v>
          </cell>
          <cell r="K427">
            <v>0</v>
          </cell>
          <cell r="L427">
            <v>0</v>
          </cell>
          <cell r="M427">
            <v>0</v>
          </cell>
          <cell r="N427">
            <v>12208</v>
          </cell>
          <cell r="O427">
            <v>-12.21</v>
          </cell>
          <cell r="P427">
            <v>0</v>
          </cell>
          <cell r="Q427">
            <v>35</v>
          </cell>
          <cell r="R427">
            <v>1.75</v>
          </cell>
          <cell r="S427">
            <v>0</v>
          </cell>
          <cell r="T427">
            <v>0</v>
          </cell>
          <cell r="U427">
            <v>0</v>
          </cell>
          <cell r="V427">
            <v>5055.99</v>
          </cell>
          <cell r="W427">
            <v>5019.24</v>
          </cell>
        </row>
        <row r="428">
          <cell r="A428" t="str">
            <v>Mead Johnson – Mt. Vernon Plant</v>
          </cell>
          <cell r="B428">
            <v>27</v>
          </cell>
          <cell r="C428">
            <v>37347</v>
          </cell>
          <cell r="D428">
            <v>37347</v>
          </cell>
          <cell r="E428">
            <v>10870</v>
          </cell>
          <cell r="F428">
            <v>4413.22</v>
          </cell>
          <cell r="G428">
            <v>0</v>
          </cell>
          <cell r="H428">
            <v>75</v>
          </cell>
          <cell r="I428">
            <v>0</v>
          </cell>
          <cell r="J428">
            <v>0</v>
          </cell>
          <cell r="K428">
            <v>0</v>
          </cell>
          <cell r="L428">
            <v>0</v>
          </cell>
          <cell r="M428">
            <v>0</v>
          </cell>
          <cell r="N428">
            <v>10870</v>
          </cell>
          <cell r="O428">
            <v>-10.87</v>
          </cell>
          <cell r="P428">
            <v>0</v>
          </cell>
          <cell r="Q428">
            <v>35</v>
          </cell>
          <cell r="R428">
            <v>1.75</v>
          </cell>
          <cell r="S428">
            <v>0</v>
          </cell>
          <cell r="T428">
            <v>0</v>
          </cell>
          <cell r="U428">
            <v>0</v>
          </cell>
          <cell r="V428">
            <v>4514.1000000000004</v>
          </cell>
          <cell r="W428">
            <v>4477.3500000000004</v>
          </cell>
        </row>
        <row r="429">
          <cell r="A429" t="str">
            <v>Mead Johnson – Mt. Vernon Plant</v>
          </cell>
          <cell r="B429">
            <v>27</v>
          </cell>
          <cell r="C429">
            <v>37377</v>
          </cell>
          <cell r="D429">
            <v>37377</v>
          </cell>
          <cell r="E429">
            <v>10592</v>
          </cell>
          <cell r="F429">
            <v>4300.3500000000004</v>
          </cell>
          <cell r="G429">
            <v>0</v>
          </cell>
          <cell r="H429">
            <v>75</v>
          </cell>
          <cell r="I429">
            <v>0</v>
          </cell>
          <cell r="J429">
            <v>0</v>
          </cell>
          <cell r="K429">
            <v>0</v>
          </cell>
          <cell r="L429">
            <v>0</v>
          </cell>
          <cell r="M429">
            <v>0</v>
          </cell>
          <cell r="N429">
            <v>0</v>
          </cell>
          <cell r="O429">
            <v>0</v>
          </cell>
          <cell r="P429">
            <v>0</v>
          </cell>
          <cell r="Q429">
            <v>35</v>
          </cell>
          <cell r="R429">
            <v>1.75</v>
          </cell>
          <cell r="S429">
            <v>0</v>
          </cell>
          <cell r="T429">
            <v>0</v>
          </cell>
          <cell r="U429">
            <v>0</v>
          </cell>
          <cell r="V429">
            <v>4412.1000000000004</v>
          </cell>
          <cell r="W429">
            <v>4375.3500000000004</v>
          </cell>
        </row>
        <row r="430">
          <cell r="A430" t="str">
            <v>Mead Johnson – Mt. Vernon Plant</v>
          </cell>
          <cell r="B430">
            <v>27</v>
          </cell>
          <cell r="C430">
            <v>37408</v>
          </cell>
          <cell r="D430">
            <v>37408</v>
          </cell>
          <cell r="E430">
            <v>8600</v>
          </cell>
          <cell r="F430">
            <v>3491.6</v>
          </cell>
          <cell r="G430">
            <v>0</v>
          </cell>
          <cell r="H430">
            <v>75</v>
          </cell>
          <cell r="I430">
            <v>0</v>
          </cell>
          <cell r="J430">
            <v>0</v>
          </cell>
          <cell r="K430">
            <v>0</v>
          </cell>
          <cell r="L430">
            <v>0</v>
          </cell>
          <cell r="M430">
            <v>0</v>
          </cell>
          <cell r="N430">
            <v>0</v>
          </cell>
          <cell r="O430">
            <v>0</v>
          </cell>
          <cell r="P430">
            <v>0</v>
          </cell>
          <cell r="Q430">
            <v>35</v>
          </cell>
          <cell r="R430">
            <v>1.75</v>
          </cell>
          <cell r="S430">
            <v>0</v>
          </cell>
          <cell r="T430">
            <v>0</v>
          </cell>
          <cell r="U430">
            <v>0</v>
          </cell>
          <cell r="V430">
            <v>3603.35</v>
          </cell>
          <cell r="W430">
            <v>3566.6</v>
          </cell>
        </row>
        <row r="431">
          <cell r="A431" t="str">
            <v>Mead Johnson – Mt. Vernon Plant</v>
          </cell>
          <cell r="B431">
            <v>27</v>
          </cell>
          <cell r="C431">
            <v>37438</v>
          </cell>
          <cell r="D431">
            <v>37438</v>
          </cell>
          <cell r="E431">
            <v>8200</v>
          </cell>
          <cell r="F431">
            <v>3329.2</v>
          </cell>
          <cell r="G431">
            <v>0</v>
          </cell>
          <cell r="H431">
            <v>75</v>
          </cell>
          <cell r="I431">
            <v>0</v>
          </cell>
          <cell r="J431">
            <v>0</v>
          </cell>
          <cell r="K431">
            <v>0</v>
          </cell>
          <cell r="L431">
            <v>0</v>
          </cell>
          <cell r="M431">
            <v>0</v>
          </cell>
          <cell r="N431">
            <v>0</v>
          </cell>
          <cell r="O431">
            <v>0</v>
          </cell>
          <cell r="P431">
            <v>0</v>
          </cell>
          <cell r="Q431">
            <v>35</v>
          </cell>
          <cell r="R431">
            <v>1.75</v>
          </cell>
          <cell r="S431">
            <v>0</v>
          </cell>
          <cell r="T431">
            <v>0</v>
          </cell>
          <cell r="U431">
            <v>0</v>
          </cell>
          <cell r="V431">
            <v>3440.95</v>
          </cell>
          <cell r="W431">
            <v>3404.2</v>
          </cell>
        </row>
        <row r="432">
          <cell r="A432" t="str">
            <v>Mead Johnson – Mt. Vernon Plant</v>
          </cell>
          <cell r="B432">
            <v>27</v>
          </cell>
          <cell r="C432">
            <v>37469</v>
          </cell>
          <cell r="D432">
            <v>37469</v>
          </cell>
          <cell r="E432">
            <v>7105</v>
          </cell>
          <cell r="F432">
            <v>2884.63</v>
          </cell>
          <cell r="G432">
            <v>0</v>
          </cell>
          <cell r="H432">
            <v>75</v>
          </cell>
          <cell r="I432">
            <v>0</v>
          </cell>
          <cell r="J432">
            <v>0</v>
          </cell>
          <cell r="K432">
            <v>0</v>
          </cell>
          <cell r="L432">
            <v>0</v>
          </cell>
          <cell r="M432">
            <v>0</v>
          </cell>
          <cell r="N432">
            <v>0</v>
          </cell>
          <cell r="O432">
            <v>0</v>
          </cell>
          <cell r="P432">
            <v>0</v>
          </cell>
          <cell r="Q432">
            <v>35</v>
          </cell>
          <cell r="R432">
            <v>1.75</v>
          </cell>
          <cell r="S432">
            <v>0</v>
          </cell>
          <cell r="T432">
            <v>0</v>
          </cell>
          <cell r="U432">
            <v>0</v>
          </cell>
          <cell r="V432">
            <v>2996.38</v>
          </cell>
          <cell r="W432">
            <v>2959.63</v>
          </cell>
        </row>
        <row r="433">
          <cell r="A433" t="str">
            <v>Mead Johnson – Mt. Vernon Plant</v>
          </cell>
          <cell r="B433">
            <v>27</v>
          </cell>
          <cell r="C433">
            <v>37500</v>
          </cell>
          <cell r="D433">
            <v>37500</v>
          </cell>
          <cell r="E433">
            <v>9000</v>
          </cell>
          <cell r="F433">
            <v>3654</v>
          </cell>
          <cell r="G433">
            <v>0</v>
          </cell>
          <cell r="H433">
            <v>75</v>
          </cell>
          <cell r="I433">
            <v>0</v>
          </cell>
          <cell r="J433">
            <v>0</v>
          </cell>
          <cell r="K433">
            <v>0</v>
          </cell>
          <cell r="L433">
            <v>0</v>
          </cell>
          <cell r="M433">
            <v>0</v>
          </cell>
          <cell r="N433">
            <v>0</v>
          </cell>
          <cell r="O433">
            <v>0</v>
          </cell>
          <cell r="P433">
            <v>0</v>
          </cell>
          <cell r="Q433">
            <v>35</v>
          </cell>
          <cell r="R433">
            <v>1.75</v>
          </cell>
          <cell r="S433">
            <v>0</v>
          </cell>
          <cell r="T433">
            <v>0</v>
          </cell>
          <cell r="U433">
            <v>0</v>
          </cell>
          <cell r="V433">
            <v>3765.75</v>
          </cell>
          <cell r="W433">
            <v>3729</v>
          </cell>
        </row>
        <row r="434">
          <cell r="A434" t="str">
            <v>Mead Johnson – Mt. Vernon Plant</v>
          </cell>
          <cell r="B434">
            <v>27</v>
          </cell>
          <cell r="C434">
            <v>37530</v>
          </cell>
          <cell r="D434">
            <v>37530</v>
          </cell>
          <cell r="E434">
            <v>10200</v>
          </cell>
          <cell r="F434">
            <v>4141.2</v>
          </cell>
          <cell r="G434">
            <v>0</v>
          </cell>
          <cell r="H434">
            <v>75</v>
          </cell>
          <cell r="I434">
            <v>0</v>
          </cell>
          <cell r="J434">
            <v>0</v>
          </cell>
          <cell r="K434">
            <v>0</v>
          </cell>
          <cell r="L434">
            <v>0</v>
          </cell>
          <cell r="M434">
            <v>0</v>
          </cell>
          <cell r="N434">
            <v>0</v>
          </cell>
          <cell r="O434">
            <v>0</v>
          </cell>
          <cell r="P434">
            <v>0</v>
          </cell>
          <cell r="Q434">
            <v>35</v>
          </cell>
          <cell r="R434">
            <v>1.75</v>
          </cell>
          <cell r="S434">
            <v>0</v>
          </cell>
          <cell r="T434">
            <v>0</v>
          </cell>
          <cell r="U434">
            <v>0</v>
          </cell>
          <cell r="V434">
            <v>4252.95</v>
          </cell>
          <cell r="W434">
            <v>4216.2</v>
          </cell>
        </row>
        <row r="435">
          <cell r="A435" t="str">
            <v>Mead Johnson – Mt. Vernon Plant</v>
          </cell>
          <cell r="B435">
            <v>27</v>
          </cell>
          <cell r="C435">
            <v>37561</v>
          </cell>
          <cell r="D435">
            <v>37561</v>
          </cell>
          <cell r="E435">
            <v>10267</v>
          </cell>
          <cell r="F435">
            <v>4168.3999999999996</v>
          </cell>
          <cell r="G435">
            <v>0</v>
          </cell>
          <cell r="H435">
            <v>75</v>
          </cell>
          <cell r="I435">
            <v>0</v>
          </cell>
          <cell r="J435">
            <v>0</v>
          </cell>
          <cell r="K435">
            <v>0</v>
          </cell>
          <cell r="L435">
            <v>0</v>
          </cell>
          <cell r="M435">
            <v>0</v>
          </cell>
          <cell r="N435">
            <v>0</v>
          </cell>
          <cell r="O435">
            <v>0</v>
          </cell>
          <cell r="P435">
            <v>0</v>
          </cell>
          <cell r="Q435">
            <v>35</v>
          </cell>
          <cell r="R435">
            <v>1.75</v>
          </cell>
          <cell r="S435">
            <v>0</v>
          </cell>
          <cell r="T435">
            <v>0</v>
          </cell>
          <cell r="U435">
            <v>0</v>
          </cell>
          <cell r="V435">
            <v>4280.1499999999996</v>
          </cell>
          <cell r="W435">
            <v>4243.3999999999996</v>
          </cell>
        </row>
        <row r="436">
          <cell r="A436" t="str">
            <v>Mead Johnson – Mt. Vernon Plant</v>
          </cell>
          <cell r="B436">
            <v>27</v>
          </cell>
          <cell r="C436">
            <v>37591</v>
          </cell>
          <cell r="D436">
            <v>37591</v>
          </cell>
          <cell r="E436">
            <v>14220</v>
          </cell>
          <cell r="F436">
            <v>5773.32</v>
          </cell>
          <cell r="G436">
            <v>0</v>
          </cell>
          <cell r="H436">
            <v>75</v>
          </cell>
          <cell r="I436">
            <v>0</v>
          </cell>
          <cell r="J436">
            <v>0</v>
          </cell>
          <cell r="K436">
            <v>0</v>
          </cell>
          <cell r="L436">
            <v>0</v>
          </cell>
          <cell r="M436">
            <v>0</v>
          </cell>
          <cell r="N436">
            <v>0</v>
          </cell>
          <cell r="O436">
            <v>0</v>
          </cell>
          <cell r="P436">
            <v>0</v>
          </cell>
          <cell r="Q436">
            <v>35</v>
          </cell>
          <cell r="R436">
            <v>2.1</v>
          </cell>
          <cell r="S436">
            <v>0</v>
          </cell>
          <cell r="T436">
            <v>0</v>
          </cell>
          <cell r="U436">
            <v>0</v>
          </cell>
          <cell r="V436">
            <v>5885.42</v>
          </cell>
          <cell r="W436">
            <v>5848.32</v>
          </cell>
        </row>
        <row r="437">
          <cell r="A437" t="str">
            <v>Hoover Precision Products</v>
          </cell>
          <cell r="B437">
            <v>28</v>
          </cell>
          <cell r="C437">
            <v>37257</v>
          </cell>
          <cell r="D437">
            <v>37257</v>
          </cell>
          <cell r="E437">
            <v>0</v>
          </cell>
          <cell r="F437">
            <v>0</v>
          </cell>
          <cell r="G437">
            <v>0</v>
          </cell>
          <cell r="H437">
            <v>75</v>
          </cell>
          <cell r="I437">
            <v>0</v>
          </cell>
          <cell r="J437">
            <v>0</v>
          </cell>
          <cell r="K437">
            <v>0</v>
          </cell>
          <cell r="L437">
            <v>0</v>
          </cell>
          <cell r="M437">
            <v>0</v>
          </cell>
          <cell r="N437">
            <v>0</v>
          </cell>
          <cell r="O437">
            <v>0</v>
          </cell>
          <cell r="P437">
            <v>0</v>
          </cell>
          <cell r="Q437">
            <v>35</v>
          </cell>
          <cell r="R437">
            <v>1.75</v>
          </cell>
          <cell r="S437">
            <v>0</v>
          </cell>
          <cell r="T437">
            <v>0</v>
          </cell>
          <cell r="U437">
            <v>0</v>
          </cell>
          <cell r="V437">
            <v>111.75</v>
          </cell>
          <cell r="W437">
            <v>75</v>
          </cell>
        </row>
        <row r="438">
          <cell r="A438" t="str">
            <v>St. Mary's Medical Center, Welborn Campus</v>
          </cell>
          <cell r="B438">
            <v>29</v>
          </cell>
          <cell r="C438">
            <v>37257</v>
          </cell>
          <cell r="D438">
            <v>37257</v>
          </cell>
          <cell r="E438">
            <v>9000</v>
          </cell>
          <cell r="F438">
            <v>3654</v>
          </cell>
          <cell r="G438">
            <v>0</v>
          </cell>
          <cell r="H438">
            <v>75</v>
          </cell>
          <cell r="I438">
            <v>0</v>
          </cell>
          <cell r="J438">
            <v>0</v>
          </cell>
          <cell r="K438">
            <v>0</v>
          </cell>
          <cell r="L438">
            <v>0</v>
          </cell>
          <cell r="M438">
            <v>0</v>
          </cell>
          <cell r="N438">
            <v>9000</v>
          </cell>
          <cell r="O438">
            <v>27</v>
          </cell>
          <cell r="P438">
            <v>0</v>
          </cell>
          <cell r="Q438">
            <v>35</v>
          </cell>
          <cell r="R438">
            <v>0</v>
          </cell>
          <cell r="S438">
            <v>0</v>
          </cell>
          <cell r="T438">
            <v>0</v>
          </cell>
          <cell r="U438">
            <v>0</v>
          </cell>
          <cell r="V438">
            <v>3791</v>
          </cell>
          <cell r="W438">
            <v>3756</v>
          </cell>
        </row>
        <row r="439">
          <cell r="A439" t="str">
            <v>St. Mary's Medical Center, Welborn Campus</v>
          </cell>
          <cell r="B439">
            <v>29</v>
          </cell>
          <cell r="C439">
            <v>37288</v>
          </cell>
          <cell r="D439">
            <v>37288</v>
          </cell>
          <cell r="E439">
            <v>10000</v>
          </cell>
          <cell r="F439">
            <v>4060</v>
          </cell>
          <cell r="G439">
            <v>0</v>
          </cell>
          <cell r="H439">
            <v>75</v>
          </cell>
          <cell r="I439">
            <v>0</v>
          </cell>
          <cell r="J439">
            <v>0</v>
          </cell>
          <cell r="K439">
            <v>0</v>
          </cell>
          <cell r="L439">
            <v>0</v>
          </cell>
          <cell r="M439">
            <v>0</v>
          </cell>
          <cell r="N439">
            <v>10000</v>
          </cell>
          <cell r="O439">
            <v>-10</v>
          </cell>
          <cell r="P439">
            <v>0</v>
          </cell>
          <cell r="Q439">
            <v>35</v>
          </cell>
          <cell r="R439">
            <v>0</v>
          </cell>
          <cell r="S439">
            <v>0</v>
          </cell>
          <cell r="T439">
            <v>0</v>
          </cell>
          <cell r="U439">
            <v>0</v>
          </cell>
          <cell r="V439">
            <v>4160</v>
          </cell>
          <cell r="W439">
            <v>4125</v>
          </cell>
        </row>
        <row r="440">
          <cell r="A440" t="str">
            <v>St. Mary's Medical Center, Welborn Campus</v>
          </cell>
          <cell r="B440">
            <v>29</v>
          </cell>
          <cell r="C440">
            <v>37316</v>
          </cell>
          <cell r="D440">
            <v>37316</v>
          </cell>
          <cell r="E440">
            <v>2046</v>
          </cell>
          <cell r="F440">
            <v>830.68</v>
          </cell>
          <cell r="G440">
            <v>0</v>
          </cell>
          <cell r="H440">
            <v>75</v>
          </cell>
          <cell r="I440">
            <v>0</v>
          </cell>
          <cell r="J440">
            <v>0</v>
          </cell>
          <cell r="K440">
            <v>0</v>
          </cell>
          <cell r="L440">
            <v>0</v>
          </cell>
          <cell r="M440">
            <v>0</v>
          </cell>
          <cell r="N440">
            <v>2046</v>
          </cell>
          <cell r="O440">
            <v>-2.0499999999999998</v>
          </cell>
          <cell r="P440">
            <v>0</v>
          </cell>
          <cell r="Q440">
            <v>35</v>
          </cell>
          <cell r="R440">
            <v>0</v>
          </cell>
          <cell r="S440">
            <v>0</v>
          </cell>
          <cell r="T440">
            <v>0</v>
          </cell>
          <cell r="U440">
            <v>0</v>
          </cell>
          <cell r="V440">
            <v>938.63</v>
          </cell>
          <cell r="W440">
            <v>903.63</v>
          </cell>
        </row>
        <row r="441">
          <cell r="A441" t="str">
            <v>St. Mary's Medical Center, Welborn Campus</v>
          </cell>
          <cell r="B441">
            <v>29</v>
          </cell>
          <cell r="C441">
            <v>37347</v>
          </cell>
          <cell r="D441">
            <v>37347</v>
          </cell>
          <cell r="E441">
            <v>4316</v>
          </cell>
          <cell r="F441">
            <v>1752.3</v>
          </cell>
          <cell r="G441">
            <v>0</v>
          </cell>
          <cell r="H441">
            <v>75</v>
          </cell>
          <cell r="I441">
            <v>0</v>
          </cell>
          <cell r="J441">
            <v>0</v>
          </cell>
          <cell r="K441">
            <v>0</v>
          </cell>
          <cell r="L441">
            <v>0</v>
          </cell>
          <cell r="M441">
            <v>0</v>
          </cell>
          <cell r="N441">
            <v>4316</v>
          </cell>
          <cell r="O441">
            <v>-4.32</v>
          </cell>
          <cell r="P441">
            <v>0</v>
          </cell>
          <cell r="Q441">
            <v>35</v>
          </cell>
          <cell r="R441">
            <v>0</v>
          </cell>
          <cell r="S441">
            <v>0</v>
          </cell>
          <cell r="T441">
            <v>0</v>
          </cell>
          <cell r="U441">
            <v>0</v>
          </cell>
          <cell r="V441">
            <v>1857.98</v>
          </cell>
          <cell r="W441">
            <v>1822.98</v>
          </cell>
        </row>
        <row r="442">
          <cell r="A442" t="str">
            <v>St. Mary's Medical Center, Welborn Campus</v>
          </cell>
          <cell r="B442">
            <v>29</v>
          </cell>
          <cell r="C442">
            <v>37377</v>
          </cell>
          <cell r="D442">
            <v>37377</v>
          </cell>
          <cell r="E442">
            <v>4100</v>
          </cell>
          <cell r="F442">
            <v>1664.6</v>
          </cell>
          <cell r="G442">
            <v>0</v>
          </cell>
          <cell r="H442">
            <v>75</v>
          </cell>
          <cell r="I442">
            <v>0</v>
          </cell>
          <cell r="J442">
            <v>0</v>
          </cell>
          <cell r="K442">
            <v>0</v>
          </cell>
          <cell r="L442">
            <v>0</v>
          </cell>
          <cell r="M442">
            <v>0</v>
          </cell>
          <cell r="N442">
            <v>0</v>
          </cell>
          <cell r="O442">
            <v>0</v>
          </cell>
          <cell r="P442">
            <v>0</v>
          </cell>
          <cell r="Q442">
            <v>35</v>
          </cell>
          <cell r="R442">
            <v>0</v>
          </cell>
          <cell r="S442">
            <v>0</v>
          </cell>
          <cell r="T442">
            <v>0</v>
          </cell>
          <cell r="U442">
            <v>0</v>
          </cell>
          <cell r="V442">
            <v>1774.6</v>
          </cell>
          <cell r="W442">
            <v>1739.6</v>
          </cell>
        </row>
        <row r="443">
          <cell r="A443" t="str">
            <v>St. Mary's Medical Center, Welborn Campus</v>
          </cell>
          <cell r="B443">
            <v>29</v>
          </cell>
          <cell r="C443">
            <v>37408</v>
          </cell>
          <cell r="D443">
            <v>37408</v>
          </cell>
          <cell r="E443">
            <v>3400</v>
          </cell>
          <cell r="F443">
            <v>1380.4</v>
          </cell>
          <cell r="G443">
            <v>0</v>
          </cell>
          <cell r="H443">
            <v>75</v>
          </cell>
          <cell r="I443">
            <v>0</v>
          </cell>
          <cell r="J443">
            <v>0</v>
          </cell>
          <cell r="K443">
            <v>0</v>
          </cell>
          <cell r="L443">
            <v>0</v>
          </cell>
          <cell r="M443">
            <v>0</v>
          </cell>
          <cell r="N443">
            <v>0</v>
          </cell>
          <cell r="O443">
            <v>0</v>
          </cell>
          <cell r="P443">
            <v>0</v>
          </cell>
          <cell r="Q443">
            <v>35</v>
          </cell>
          <cell r="R443">
            <v>0</v>
          </cell>
          <cell r="S443">
            <v>0</v>
          </cell>
          <cell r="T443">
            <v>0</v>
          </cell>
          <cell r="U443">
            <v>0</v>
          </cell>
          <cell r="V443">
            <v>1490.4</v>
          </cell>
          <cell r="W443">
            <v>1455.4</v>
          </cell>
        </row>
        <row r="444">
          <cell r="A444" t="str">
            <v>St. Mary's Medical Center, Welborn Campus</v>
          </cell>
          <cell r="B444">
            <v>29</v>
          </cell>
          <cell r="C444">
            <v>37438</v>
          </cell>
          <cell r="D444">
            <v>37438</v>
          </cell>
          <cell r="E444">
            <v>3400</v>
          </cell>
          <cell r="F444">
            <v>1380.4</v>
          </cell>
          <cell r="G444">
            <v>0</v>
          </cell>
          <cell r="H444">
            <v>75</v>
          </cell>
          <cell r="I444">
            <v>0</v>
          </cell>
          <cell r="J444">
            <v>0</v>
          </cell>
          <cell r="K444">
            <v>0</v>
          </cell>
          <cell r="L444">
            <v>0</v>
          </cell>
          <cell r="M444">
            <v>0</v>
          </cell>
          <cell r="N444">
            <v>0</v>
          </cell>
          <cell r="O444">
            <v>0</v>
          </cell>
          <cell r="P444">
            <v>0</v>
          </cell>
          <cell r="Q444">
            <v>35</v>
          </cell>
          <cell r="R444">
            <v>0</v>
          </cell>
          <cell r="S444">
            <v>0</v>
          </cell>
          <cell r="T444">
            <v>0</v>
          </cell>
          <cell r="U444">
            <v>0</v>
          </cell>
          <cell r="V444">
            <v>1490.4</v>
          </cell>
          <cell r="W444">
            <v>1455.4</v>
          </cell>
        </row>
        <row r="445">
          <cell r="A445" t="str">
            <v>St. Mary's Medical Center, Welborn Campus</v>
          </cell>
          <cell r="B445">
            <v>29</v>
          </cell>
          <cell r="C445">
            <v>37469</v>
          </cell>
          <cell r="D445">
            <v>37469</v>
          </cell>
          <cell r="E445">
            <v>1700</v>
          </cell>
          <cell r="F445">
            <v>690.2</v>
          </cell>
          <cell r="G445">
            <v>0</v>
          </cell>
          <cell r="H445">
            <v>75</v>
          </cell>
          <cell r="I445">
            <v>0</v>
          </cell>
          <cell r="J445">
            <v>0</v>
          </cell>
          <cell r="K445">
            <v>0</v>
          </cell>
          <cell r="L445">
            <v>0</v>
          </cell>
          <cell r="M445">
            <v>0</v>
          </cell>
          <cell r="N445">
            <v>0</v>
          </cell>
          <cell r="O445">
            <v>0</v>
          </cell>
          <cell r="P445">
            <v>0</v>
          </cell>
          <cell r="Q445">
            <v>35</v>
          </cell>
          <cell r="R445">
            <v>0</v>
          </cell>
          <cell r="S445">
            <v>0</v>
          </cell>
          <cell r="T445">
            <v>0</v>
          </cell>
          <cell r="U445">
            <v>0</v>
          </cell>
          <cell r="V445">
            <v>800.2</v>
          </cell>
          <cell r="W445">
            <v>765.2</v>
          </cell>
        </row>
        <row r="446">
          <cell r="A446" t="str">
            <v>St. Mary's Medical Center, Welborn Campus</v>
          </cell>
          <cell r="B446">
            <v>29</v>
          </cell>
          <cell r="C446">
            <v>37500</v>
          </cell>
          <cell r="D446">
            <v>37500</v>
          </cell>
          <cell r="E446">
            <v>1700</v>
          </cell>
          <cell r="F446">
            <v>690.2</v>
          </cell>
          <cell r="G446">
            <v>0</v>
          </cell>
          <cell r="H446">
            <v>75</v>
          </cell>
          <cell r="I446">
            <v>0</v>
          </cell>
          <cell r="J446">
            <v>0</v>
          </cell>
          <cell r="K446">
            <v>0</v>
          </cell>
          <cell r="L446">
            <v>0</v>
          </cell>
          <cell r="M446">
            <v>0</v>
          </cell>
          <cell r="N446">
            <v>0</v>
          </cell>
          <cell r="O446">
            <v>0</v>
          </cell>
          <cell r="P446">
            <v>0</v>
          </cell>
          <cell r="Q446">
            <v>35</v>
          </cell>
          <cell r="R446">
            <v>0</v>
          </cell>
          <cell r="S446">
            <v>0</v>
          </cell>
          <cell r="T446">
            <v>0</v>
          </cell>
          <cell r="U446">
            <v>0</v>
          </cell>
          <cell r="V446">
            <v>800.2</v>
          </cell>
          <cell r="W446">
            <v>765.2</v>
          </cell>
        </row>
        <row r="447">
          <cell r="A447" t="str">
            <v>St. Mary's Medical Center, Welborn Campus</v>
          </cell>
          <cell r="B447">
            <v>29</v>
          </cell>
          <cell r="C447">
            <v>37530</v>
          </cell>
          <cell r="D447">
            <v>37530</v>
          </cell>
          <cell r="E447">
            <v>5177</v>
          </cell>
          <cell r="F447">
            <v>2101.86</v>
          </cell>
          <cell r="G447">
            <v>0</v>
          </cell>
          <cell r="H447">
            <v>75</v>
          </cell>
          <cell r="I447">
            <v>0</v>
          </cell>
          <cell r="J447">
            <v>0</v>
          </cell>
          <cell r="K447">
            <v>0</v>
          </cell>
          <cell r="L447">
            <v>0</v>
          </cell>
          <cell r="M447">
            <v>0</v>
          </cell>
          <cell r="N447">
            <v>0</v>
          </cell>
          <cell r="O447">
            <v>0</v>
          </cell>
          <cell r="P447">
            <v>0</v>
          </cell>
          <cell r="Q447">
            <v>35</v>
          </cell>
          <cell r="R447">
            <v>0</v>
          </cell>
          <cell r="S447">
            <v>0</v>
          </cell>
          <cell r="T447">
            <v>0</v>
          </cell>
          <cell r="U447">
            <v>0</v>
          </cell>
          <cell r="V447">
            <v>2211.86</v>
          </cell>
          <cell r="W447">
            <v>2176.86</v>
          </cell>
        </row>
        <row r="448">
          <cell r="A448" t="str">
            <v>St. Mary's Medical Center, Welborn Campus</v>
          </cell>
          <cell r="B448">
            <v>29</v>
          </cell>
          <cell r="C448">
            <v>37561</v>
          </cell>
          <cell r="D448">
            <v>37561</v>
          </cell>
          <cell r="E448">
            <v>2650</v>
          </cell>
          <cell r="F448">
            <v>1075.9000000000001</v>
          </cell>
          <cell r="G448">
            <v>0</v>
          </cell>
          <cell r="H448">
            <v>75</v>
          </cell>
          <cell r="I448">
            <v>0</v>
          </cell>
          <cell r="J448">
            <v>0</v>
          </cell>
          <cell r="K448">
            <v>0</v>
          </cell>
          <cell r="L448">
            <v>0</v>
          </cell>
          <cell r="M448">
            <v>0</v>
          </cell>
          <cell r="N448">
            <v>0</v>
          </cell>
          <cell r="O448">
            <v>0</v>
          </cell>
          <cell r="P448">
            <v>0</v>
          </cell>
          <cell r="Q448">
            <v>35</v>
          </cell>
          <cell r="R448">
            <v>0</v>
          </cell>
          <cell r="S448">
            <v>0</v>
          </cell>
          <cell r="T448">
            <v>0</v>
          </cell>
          <cell r="U448">
            <v>0</v>
          </cell>
          <cell r="V448">
            <v>1185.9000000000001</v>
          </cell>
          <cell r="W448">
            <v>1150.9000000000001</v>
          </cell>
        </row>
        <row r="449">
          <cell r="A449" t="str">
            <v>St. Mary's Medical Center, Welborn Campus</v>
          </cell>
          <cell r="B449">
            <v>29</v>
          </cell>
          <cell r="C449">
            <v>37591</v>
          </cell>
          <cell r="D449">
            <v>37591</v>
          </cell>
          <cell r="E449">
            <v>0</v>
          </cell>
          <cell r="F449">
            <v>0</v>
          </cell>
          <cell r="G449">
            <v>0</v>
          </cell>
          <cell r="H449">
            <v>75</v>
          </cell>
          <cell r="I449">
            <v>0</v>
          </cell>
          <cell r="J449">
            <v>0</v>
          </cell>
          <cell r="K449">
            <v>0</v>
          </cell>
          <cell r="L449">
            <v>0</v>
          </cell>
          <cell r="M449">
            <v>0</v>
          </cell>
          <cell r="N449">
            <v>0</v>
          </cell>
          <cell r="O449">
            <v>0</v>
          </cell>
          <cell r="P449">
            <v>0</v>
          </cell>
          <cell r="Q449">
            <v>35</v>
          </cell>
          <cell r="R449">
            <v>0</v>
          </cell>
          <cell r="S449">
            <v>0</v>
          </cell>
          <cell r="T449">
            <v>0</v>
          </cell>
          <cell r="U449">
            <v>0</v>
          </cell>
          <cell r="V449">
            <v>110</v>
          </cell>
          <cell r="W449">
            <v>75</v>
          </cell>
        </row>
        <row r="450">
          <cell r="A450" t="str">
            <v>University of Evansville</v>
          </cell>
          <cell r="B450">
            <v>30</v>
          </cell>
          <cell r="C450">
            <v>37257</v>
          </cell>
          <cell r="D450">
            <v>37257</v>
          </cell>
          <cell r="E450">
            <v>11500</v>
          </cell>
          <cell r="F450">
            <v>4669</v>
          </cell>
          <cell r="G450">
            <v>0</v>
          </cell>
          <cell r="H450">
            <v>75</v>
          </cell>
          <cell r="I450">
            <v>0</v>
          </cell>
          <cell r="J450">
            <v>0</v>
          </cell>
          <cell r="K450">
            <v>0</v>
          </cell>
          <cell r="L450">
            <v>0</v>
          </cell>
          <cell r="M450">
            <v>0</v>
          </cell>
          <cell r="N450">
            <v>11500</v>
          </cell>
          <cell r="O450">
            <v>34.5</v>
          </cell>
          <cell r="P450">
            <v>0</v>
          </cell>
          <cell r="Q450">
            <v>35</v>
          </cell>
          <cell r="R450">
            <v>0</v>
          </cell>
          <cell r="S450">
            <v>0</v>
          </cell>
          <cell r="T450">
            <v>0</v>
          </cell>
          <cell r="U450">
            <v>0</v>
          </cell>
          <cell r="V450">
            <v>4813.5</v>
          </cell>
          <cell r="W450">
            <v>4778.5</v>
          </cell>
        </row>
        <row r="451">
          <cell r="A451" t="str">
            <v>University of Evansville</v>
          </cell>
          <cell r="B451">
            <v>30</v>
          </cell>
          <cell r="C451">
            <v>37288</v>
          </cell>
          <cell r="D451">
            <v>37288</v>
          </cell>
          <cell r="E451">
            <v>9000</v>
          </cell>
          <cell r="F451">
            <v>3654</v>
          </cell>
          <cell r="G451">
            <v>0</v>
          </cell>
          <cell r="H451">
            <v>75</v>
          </cell>
          <cell r="I451">
            <v>0</v>
          </cell>
          <cell r="J451">
            <v>0</v>
          </cell>
          <cell r="K451">
            <v>0</v>
          </cell>
          <cell r="L451">
            <v>0</v>
          </cell>
          <cell r="M451">
            <v>0</v>
          </cell>
          <cell r="N451">
            <v>9000</v>
          </cell>
          <cell r="O451">
            <v>-9</v>
          </cell>
          <cell r="P451">
            <v>0</v>
          </cell>
          <cell r="Q451">
            <v>35</v>
          </cell>
          <cell r="R451">
            <v>0</v>
          </cell>
          <cell r="S451">
            <v>0</v>
          </cell>
          <cell r="T451">
            <v>0</v>
          </cell>
          <cell r="U451">
            <v>0</v>
          </cell>
          <cell r="V451">
            <v>3755</v>
          </cell>
          <cell r="W451">
            <v>3720</v>
          </cell>
        </row>
        <row r="452">
          <cell r="A452" t="str">
            <v>University of Evansville</v>
          </cell>
          <cell r="B452">
            <v>30</v>
          </cell>
          <cell r="C452">
            <v>37316</v>
          </cell>
          <cell r="D452">
            <v>37316</v>
          </cell>
          <cell r="E452">
            <v>8000</v>
          </cell>
          <cell r="F452">
            <v>3248</v>
          </cell>
          <cell r="G452">
            <v>0</v>
          </cell>
          <cell r="H452">
            <v>75</v>
          </cell>
          <cell r="I452">
            <v>0</v>
          </cell>
          <cell r="J452">
            <v>0</v>
          </cell>
          <cell r="K452">
            <v>0</v>
          </cell>
          <cell r="L452">
            <v>0</v>
          </cell>
          <cell r="M452">
            <v>0</v>
          </cell>
          <cell r="N452">
            <v>8000</v>
          </cell>
          <cell r="O452">
            <v>-8</v>
          </cell>
          <cell r="P452">
            <v>0</v>
          </cell>
          <cell r="Q452">
            <v>35</v>
          </cell>
          <cell r="R452">
            <v>0</v>
          </cell>
          <cell r="S452">
            <v>0</v>
          </cell>
          <cell r="T452">
            <v>0</v>
          </cell>
          <cell r="U452">
            <v>0</v>
          </cell>
          <cell r="V452">
            <v>3350</v>
          </cell>
          <cell r="W452">
            <v>3315</v>
          </cell>
        </row>
        <row r="453">
          <cell r="A453" t="str">
            <v>University of Evansville</v>
          </cell>
          <cell r="B453">
            <v>30</v>
          </cell>
          <cell r="C453">
            <v>37347</v>
          </cell>
          <cell r="D453">
            <v>37347</v>
          </cell>
          <cell r="E453">
            <v>5000</v>
          </cell>
          <cell r="F453">
            <v>2030</v>
          </cell>
          <cell r="G453">
            <v>0</v>
          </cell>
          <cell r="H453">
            <v>75</v>
          </cell>
          <cell r="I453">
            <v>0</v>
          </cell>
          <cell r="J453">
            <v>0</v>
          </cell>
          <cell r="K453">
            <v>0</v>
          </cell>
          <cell r="L453">
            <v>0</v>
          </cell>
          <cell r="M453">
            <v>0</v>
          </cell>
          <cell r="N453">
            <v>5000</v>
          </cell>
          <cell r="O453">
            <v>-5</v>
          </cell>
          <cell r="P453">
            <v>0</v>
          </cell>
          <cell r="Q453">
            <v>35</v>
          </cell>
          <cell r="R453">
            <v>0</v>
          </cell>
          <cell r="S453">
            <v>0</v>
          </cell>
          <cell r="T453">
            <v>0</v>
          </cell>
          <cell r="U453">
            <v>0</v>
          </cell>
          <cell r="V453">
            <v>2135</v>
          </cell>
          <cell r="W453">
            <v>2100</v>
          </cell>
        </row>
        <row r="454">
          <cell r="A454" t="str">
            <v>University of Evansville</v>
          </cell>
          <cell r="B454">
            <v>30</v>
          </cell>
          <cell r="C454">
            <v>37377</v>
          </cell>
          <cell r="D454">
            <v>37377</v>
          </cell>
          <cell r="E454">
            <v>4865</v>
          </cell>
          <cell r="F454">
            <v>1975.19</v>
          </cell>
          <cell r="G454">
            <v>0</v>
          </cell>
          <cell r="H454">
            <v>75</v>
          </cell>
          <cell r="I454">
            <v>0</v>
          </cell>
          <cell r="J454">
            <v>0</v>
          </cell>
          <cell r="K454">
            <v>0</v>
          </cell>
          <cell r="L454">
            <v>0</v>
          </cell>
          <cell r="M454">
            <v>0</v>
          </cell>
          <cell r="N454">
            <v>0</v>
          </cell>
          <cell r="O454">
            <v>0</v>
          </cell>
          <cell r="P454">
            <v>0</v>
          </cell>
          <cell r="Q454">
            <v>35</v>
          </cell>
          <cell r="R454">
            <v>0</v>
          </cell>
          <cell r="S454">
            <v>0</v>
          </cell>
          <cell r="T454">
            <v>0</v>
          </cell>
          <cell r="U454">
            <v>0</v>
          </cell>
          <cell r="V454">
            <v>2085.19</v>
          </cell>
          <cell r="W454">
            <v>2050.19</v>
          </cell>
        </row>
        <row r="455">
          <cell r="A455" t="str">
            <v>University of Evansville</v>
          </cell>
          <cell r="B455">
            <v>30</v>
          </cell>
          <cell r="C455">
            <v>37408</v>
          </cell>
          <cell r="D455">
            <v>37408</v>
          </cell>
          <cell r="E455">
            <v>3000</v>
          </cell>
          <cell r="F455">
            <v>1218</v>
          </cell>
          <cell r="G455">
            <v>0</v>
          </cell>
          <cell r="H455">
            <v>75</v>
          </cell>
          <cell r="I455">
            <v>0</v>
          </cell>
          <cell r="J455">
            <v>0</v>
          </cell>
          <cell r="K455">
            <v>0</v>
          </cell>
          <cell r="L455">
            <v>0</v>
          </cell>
          <cell r="M455">
            <v>0</v>
          </cell>
          <cell r="N455">
            <v>0</v>
          </cell>
          <cell r="O455">
            <v>0</v>
          </cell>
          <cell r="P455">
            <v>0</v>
          </cell>
          <cell r="Q455">
            <v>35</v>
          </cell>
          <cell r="R455">
            <v>0</v>
          </cell>
          <cell r="S455">
            <v>0</v>
          </cell>
          <cell r="T455">
            <v>0</v>
          </cell>
          <cell r="U455">
            <v>0</v>
          </cell>
          <cell r="V455">
            <v>1328</v>
          </cell>
          <cell r="W455">
            <v>1293</v>
          </cell>
        </row>
        <row r="456">
          <cell r="A456" t="str">
            <v>University of Evansville</v>
          </cell>
          <cell r="B456">
            <v>30</v>
          </cell>
          <cell r="C456">
            <v>37438</v>
          </cell>
          <cell r="D456">
            <v>37438</v>
          </cell>
          <cell r="E456">
            <v>3000</v>
          </cell>
          <cell r="F456">
            <v>1218</v>
          </cell>
          <cell r="G456">
            <v>0</v>
          </cell>
          <cell r="H456">
            <v>75</v>
          </cell>
          <cell r="I456">
            <v>0</v>
          </cell>
          <cell r="J456">
            <v>0</v>
          </cell>
          <cell r="K456">
            <v>0</v>
          </cell>
          <cell r="L456">
            <v>0</v>
          </cell>
          <cell r="M456">
            <v>0</v>
          </cell>
          <cell r="N456">
            <v>0</v>
          </cell>
          <cell r="O456">
            <v>0</v>
          </cell>
          <cell r="P456">
            <v>0</v>
          </cell>
          <cell r="Q456">
            <v>35</v>
          </cell>
          <cell r="R456">
            <v>0</v>
          </cell>
          <cell r="S456">
            <v>0</v>
          </cell>
          <cell r="T456">
            <v>0</v>
          </cell>
          <cell r="U456">
            <v>0</v>
          </cell>
          <cell r="V456">
            <v>1328</v>
          </cell>
          <cell r="W456">
            <v>1293</v>
          </cell>
        </row>
        <row r="457">
          <cell r="A457" t="str">
            <v>University of Evansville</v>
          </cell>
          <cell r="B457">
            <v>30</v>
          </cell>
          <cell r="C457">
            <v>37469</v>
          </cell>
          <cell r="D457">
            <v>37469</v>
          </cell>
          <cell r="E457">
            <v>2813</v>
          </cell>
          <cell r="F457">
            <v>1142.08</v>
          </cell>
          <cell r="G457">
            <v>0</v>
          </cell>
          <cell r="H457">
            <v>75</v>
          </cell>
          <cell r="I457">
            <v>0</v>
          </cell>
          <cell r="J457">
            <v>0</v>
          </cell>
          <cell r="K457">
            <v>0</v>
          </cell>
          <cell r="L457">
            <v>0</v>
          </cell>
          <cell r="M457">
            <v>0</v>
          </cell>
          <cell r="N457">
            <v>0</v>
          </cell>
          <cell r="O457">
            <v>0</v>
          </cell>
          <cell r="P457">
            <v>0</v>
          </cell>
          <cell r="Q457">
            <v>35</v>
          </cell>
          <cell r="R457">
            <v>0</v>
          </cell>
          <cell r="S457">
            <v>0</v>
          </cell>
          <cell r="T457">
            <v>0</v>
          </cell>
          <cell r="U457">
            <v>0</v>
          </cell>
          <cell r="V457">
            <v>1252.08</v>
          </cell>
          <cell r="W457">
            <v>1217.08</v>
          </cell>
        </row>
        <row r="458">
          <cell r="A458" t="str">
            <v>University of Evansville</v>
          </cell>
          <cell r="B458">
            <v>30</v>
          </cell>
          <cell r="C458">
            <v>37500</v>
          </cell>
          <cell r="D458">
            <v>37500</v>
          </cell>
          <cell r="E458">
            <v>4000</v>
          </cell>
          <cell r="F458">
            <v>1624</v>
          </cell>
          <cell r="G458">
            <v>0</v>
          </cell>
          <cell r="H458">
            <v>75</v>
          </cell>
          <cell r="I458">
            <v>0</v>
          </cell>
          <cell r="J458">
            <v>0</v>
          </cell>
          <cell r="K458">
            <v>0</v>
          </cell>
          <cell r="L458">
            <v>0</v>
          </cell>
          <cell r="M458">
            <v>0</v>
          </cell>
          <cell r="N458">
            <v>0</v>
          </cell>
          <cell r="O458">
            <v>0</v>
          </cell>
          <cell r="P458">
            <v>0</v>
          </cell>
          <cell r="Q458">
            <v>35</v>
          </cell>
          <cell r="R458">
            <v>0</v>
          </cell>
          <cell r="S458">
            <v>0</v>
          </cell>
          <cell r="T458">
            <v>0</v>
          </cell>
          <cell r="U458">
            <v>0</v>
          </cell>
          <cell r="V458">
            <v>1734</v>
          </cell>
          <cell r="W458">
            <v>1699</v>
          </cell>
        </row>
        <row r="459">
          <cell r="A459" t="str">
            <v>University of Evansville</v>
          </cell>
          <cell r="B459">
            <v>30</v>
          </cell>
          <cell r="C459">
            <v>37530</v>
          </cell>
          <cell r="D459">
            <v>37530</v>
          </cell>
          <cell r="E459">
            <v>6860</v>
          </cell>
          <cell r="F459">
            <v>2785.16</v>
          </cell>
          <cell r="G459">
            <v>0</v>
          </cell>
          <cell r="H459">
            <v>75</v>
          </cell>
          <cell r="I459">
            <v>0</v>
          </cell>
          <cell r="J459">
            <v>0</v>
          </cell>
          <cell r="K459">
            <v>0</v>
          </cell>
          <cell r="L459">
            <v>0</v>
          </cell>
          <cell r="M459">
            <v>0</v>
          </cell>
          <cell r="N459">
            <v>0</v>
          </cell>
          <cell r="O459">
            <v>0</v>
          </cell>
          <cell r="P459">
            <v>0</v>
          </cell>
          <cell r="Q459">
            <v>35</v>
          </cell>
          <cell r="R459">
            <v>0</v>
          </cell>
          <cell r="S459">
            <v>0</v>
          </cell>
          <cell r="T459">
            <v>0</v>
          </cell>
          <cell r="U459">
            <v>0</v>
          </cell>
          <cell r="V459">
            <v>2895.16</v>
          </cell>
          <cell r="W459">
            <v>2860.16</v>
          </cell>
        </row>
        <row r="460">
          <cell r="A460" t="str">
            <v>University of Evansville</v>
          </cell>
          <cell r="B460">
            <v>30</v>
          </cell>
          <cell r="C460">
            <v>37561</v>
          </cell>
          <cell r="D460">
            <v>37561</v>
          </cell>
          <cell r="E460">
            <v>9375</v>
          </cell>
          <cell r="F460">
            <v>3806.25</v>
          </cell>
          <cell r="G460">
            <v>0</v>
          </cell>
          <cell r="H460">
            <v>75</v>
          </cell>
          <cell r="I460">
            <v>0</v>
          </cell>
          <cell r="J460">
            <v>0</v>
          </cell>
          <cell r="K460">
            <v>0</v>
          </cell>
          <cell r="L460">
            <v>0</v>
          </cell>
          <cell r="M460">
            <v>0</v>
          </cell>
          <cell r="N460">
            <v>0</v>
          </cell>
          <cell r="O460">
            <v>0</v>
          </cell>
          <cell r="P460">
            <v>0</v>
          </cell>
          <cell r="Q460">
            <v>35</v>
          </cell>
          <cell r="R460">
            <v>0</v>
          </cell>
          <cell r="S460">
            <v>0</v>
          </cell>
          <cell r="T460">
            <v>0</v>
          </cell>
          <cell r="U460">
            <v>0</v>
          </cell>
          <cell r="V460">
            <v>3916.25</v>
          </cell>
          <cell r="W460">
            <v>3881.25</v>
          </cell>
        </row>
        <row r="461">
          <cell r="A461" t="str">
            <v>University of Evansville</v>
          </cell>
          <cell r="B461">
            <v>30</v>
          </cell>
          <cell r="C461">
            <v>37591</v>
          </cell>
          <cell r="D461">
            <v>37591</v>
          </cell>
          <cell r="E461">
            <v>11500</v>
          </cell>
          <cell r="F461">
            <v>4669</v>
          </cell>
          <cell r="G461">
            <v>0</v>
          </cell>
          <cell r="H461">
            <v>75</v>
          </cell>
          <cell r="I461">
            <v>0</v>
          </cell>
          <cell r="J461">
            <v>0</v>
          </cell>
          <cell r="K461">
            <v>0</v>
          </cell>
          <cell r="L461">
            <v>0</v>
          </cell>
          <cell r="M461">
            <v>0</v>
          </cell>
          <cell r="N461">
            <v>0</v>
          </cell>
          <cell r="O461">
            <v>0</v>
          </cell>
          <cell r="P461">
            <v>0</v>
          </cell>
          <cell r="Q461">
            <v>35</v>
          </cell>
          <cell r="R461">
            <v>0</v>
          </cell>
          <cell r="S461">
            <v>0</v>
          </cell>
          <cell r="T461">
            <v>0</v>
          </cell>
          <cell r="U461">
            <v>0</v>
          </cell>
          <cell r="V461">
            <v>4779</v>
          </cell>
          <cell r="W461">
            <v>4744</v>
          </cell>
        </row>
        <row r="462">
          <cell r="A462" t="str">
            <v>Hartford Bakery</v>
          </cell>
          <cell r="B462">
            <v>34</v>
          </cell>
          <cell r="C462">
            <v>37257</v>
          </cell>
          <cell r="D462">
            <v>37257</v>
          </cell>
          <cell r="E462">
            <v>5465</v>
          </cell>
          <cell r="F462">
            <v>2218.79</v>
          </cell>
          <cell r="G462">
            <v>0</v>
          </cell>
          <cell r="H462">
            <v>75</v>
          </cell>
          <cell r="I462">
            <v>0</v>
          </cell>
          <cell r="J462">
            <v>0</v>
          </cell>
          <cell r="K462">
            <v>0</v>
          </cell>
          <cell r="L462">
            <v>0</v>
          </cell>
          <cell r="M462">
            <v>0</v>
          </cell>
          <cell r="N462">
            <v>5465</v>
          </cell>
          <cell r="O462">
            <v>16.39</v>
          </cell>
          <cell r="P462">
            <v>0</v>
          </cell>
          <cell r="Q462">
            <v>35</v>
          </cell>
          <cell r="R462">
            <v>0</v>
          </cell>
          <cell r="S462">
            <v>0</v>
          </cell>
          <cell r="T462">
            <v>0</v>
          </cell>
          <cell r="U462">
            <v>0</v>
          </cell>
          <cell r="V462">
            <v>2345.1799999999998</v>
          </cell>
          <cell r="W462">
            <v>2310.1799999999998</v>
          </cell>
        </row>
        <row r="463">
          <cell r="A463" t="str">
            <v>Hartford Bakery</v>
          </cell>
          <cell r="B463">
            <v>34</v>
          </cell>
          <cell r="C463">
            <v>37288</v>
          </cell>
          <cell r="D463">
            <v>37288</v>
          </cell>
          <cell r="E463">
            <v>5012</v>
          </cell>
          <cell r="F463">
            <v>2034.87</v>
          </cell>
          <cell r="G463">
            <v>0</v>
          </cell>
          <cell r="H463">
            <v>75</v>
          </cell>
          <cell r="I463">
            <v>0</v>
          </cell>
          <cell r="J463">
            <v>0</v>
          </cell>
          <cell r="K463">
            <v>0</v>
          </cell>
          <cell r="L463">
            <v>0</v>
          </cell>
          <cell r="M463">
            <v>0</v>
          </cell>
          <cell r="N463">
            <v>5012</v>
          </cell>
          <cell r="O463">
            <v>-5.01</v>
          </cell>
          <cell r="P463">
            <v>0</v>
          </cell>
          <cell r="Q463">
            <v>35</v>
          </cell>
          <cell r="R463">
            <v>0</v>
          </cell>
          <cell r="S463">
            <v>0</v>
          </cell>
          <cell r="T463">
            <v>0</v>
          </cell>
          <cell r="U463">
            <v>0</v>
          </cell>
          <cell r="V463">
            <v>2139.86</v>
          </cell>
          <cell r="W463">
            <v>2104.86</v>
          </cell>
        </row>
        <row r="464">
          <cell r="A464" t="str">
            <v>Hartford Bakery</v>
          </cell>
          <cell r="B464">
            <v>34</v>
          </cell>
          <cell r="C464">
            <v>37316</v>
          </cell>
          <cell r="D464">
            <v>37316</v>
          </cell>
          <cell r="E464">
            <v>5485</v>
          </cell>
          <cell r="F464">
            <v>2226.91</v>
          </cell>
          <cell r="G464">
            <v>0</v>
          </cell>
          <cell r="H464">
            <v>75</v>
          </cell>
          <cell r="I464">
            <v>0</v>
          </cell>
          <cell r="J464">
            <v>0</v>
          </cell>
          <cell r="K464">
            <v>0</v>
          </cell>
          <cell r="L464">
            <v>0</v>
          </cell>
          <cell r="M464">
            <v>0</v>
          </cell>
          <cell r="N464">
            <v>5485</v>
          </cell>
          <cell r="O464">
            <v>-5.49</v>
          </cell>
          <cell r="P464">
            <v>0</v>
          </cell>
          <cell r="Q464">
            <v>35</v>
          </cell>
          <cell r="R464">
            <v>0</v>
          </cell>
          <cell r="S464">
            <v>0</v>
          </cell>
          <cell r="T464">
            <v>0</v>
          </cell>
          <cell r="U464">
            <v>0</v>
          </cell>
          <cell r="V464">
            <v>2331.42</v>
          </cell>
          <cell r="W464">
            <v>2296.42</v>
          </cell>
        </row>
        <row r="465">
          <cell r="A465" t="str">
            <v>Hartford Bakery</v>
          </cell>
          <cell r="B465">
            <v>34</v>
          </cell>
          <cell r="C465">
            <v>37347</v>
          </cell>
          <cell r="D465">
            <v>37347</v>
          </cell>
          <cell r="E465">
            <v>4700</v>
          </cell>
          <cell r="F465">
            <v>1908.2</v>
          </cell>
          <cell r="G465">
            <v>0</v>
          </cell>
          <cell r="H465">
            <v>75</v>
          </cell>
          <cell r="I465">
            <v>0</v>
          </cell>
          <cell r="J465">
            <v>0</v>
          </cell>
          <cell r="K465">
            <v>0</v>
          </cell>
          <cell r="L465">
            <v>0</v>
          </cell>
          <cell r="M465">
            <v>0</v>
          </cell>
          <cell r="N465">
            <v>4700</v>
          </cell>
          <cell r="O465">
            <v>-4.7</v>
          </cell>
          <cell r="P465">
            <v>0</v>
          </cell>
          <cell r="Q465">
            <v>35</v>
          </cell>
          <cell r="R465">
            <v>0</v>
          </cell>
          <cell r="S465">
            <v>0</v>
          </cell>
          <cell r="T465">
            <v>0</v>
          </cell>
          <cell r="U465">
            <v>0</v>
          </cell>
          <cell r="V465">
            <v>2013.5</v>
          </cell>
          <cell r="W465">
            <v>1978.5</v>
          </cell>
        </row>
        <row r="466">
          <cell r="A466" t="str">
            <v>Hartford Bakery</v>
          </cell>
          <cell r="B466">
            <v>34</v>
          </cell>
          <cell r="C466">
            <v>37377</v>
          </cell>
          <cell r="D466">
            <v>37377</v>
          </cell>
          <cell r="E466">
            <v>4100</v>
          </cell>
          <cell r="F466">
            <v>1664.6</v>
          </cell>
          <cell r="G466">
            <v>0</v>
          </cell>
          <cell r="H466">
            <v>75</v>
          </cell>
          <cell r="I466">
            <v>0</v>
          </cell>
          <cell r="J466">
            <v>0</v>
          </cell>
          <cell r="K466">
            <v>0</v>
          </cell>
          <cell r="L466">
            <v>0</v>
          </cell>
          <cell r="M466">
            <v>0</v>
          </cell>
          <cell r="N466">
            <v>0</v>
          </cell>
          <cell r="O466">
            <v>0</v>
          </cell>
          <cell r="P466">
            <v>0</v>
          </cell>
          <cell r="Q466">
            <v>35</v>
          </cell>
          <cell r="R466">
            <v>0</v>
          </cell>
          <cell r="S466">
            <v>0</v>
          </cell>
          <cell r="T466">
            <v>0</v>
          </cell>
          <cell r="U466">
            <v>0</v>
          </cell>
          <cell r="V466">
            <v>1774.6</v>
          </cell>
          <cell r="W466">
            <v>1739.6</v>
          </cell>
        </row>
        <row r="467">
          <cell r="A467" t="str">
            <v>Hartford Bakery</v>
          </cell>
          <cell r="B467">
            <v>34</v>
          </cell>
          <cell r="C467">
            <v>37408</v>
          </cell>
          <cell r="D467">
            <v>37408</v>
          </cell>
          <cell r="E467">
            <v>4580</v>
          </cell>
          <cell r="F467">
            <v>1859.48</v>
          </cell>
          <cell r="G467">
            <v>0</v>
          </cell>
          <cell r="H467">
            <v>75</v>
          </cell>
          <cell r="I467">
            <v>0</v>
          </cell>
          <cell r="J467">
            <v>0</v>
          </cell>
          <cell r="K467">
            <v>0</v>
          </cell>
          <cell r="L467">
            <v>0</v>
          </cell>
          <cell r="M467">
            <v>0</v>
          </cell>
          <cell r="N467">
            <v>0</v>
          </cell>
          <cell r="O467">
            <v>0</v>
          </cell>
          <cell r="P467">
            <v>0</v>
          </cell>
          <cell r="Q467">
            <v>35</v>
          </cell>
          <cell r="R467">
            <v>0</v>
          </cell>
          <cell r="S467">
            <v>0</v>
          </cell>
          <cell r="T467">
            <v>0</v>
          </cell>
          <cell r="U467">
            <v>0</v>
          </cell>
          <cell r="V467">
            <v>1969.48</v>
          </cell>
          <cell r="W467">
            <v>1934.48</v>
          </cell>
        </row>
        <row r="468">
          <cell r="A468" t="str">
            <v>Hartford Bakery</v>
          </cell>
          <cell r="B468">
            <v>34</v>
          </cell>
          <cell r="C468">
            <v>37438</v>
          </cell>
          <cell r="D468">
            <v>37438</v>
          </cell>
          <cell r="E468">
            <v>4220</v>
          </cell>
          <cell r="F468">
            <v>1713.32</v>
          </cell>
          <cell r="G468">
            <v>0</v>
          </cell>
          <cell r="H468">
            <v>75</v>
          </cell>
          <cell r="I468">
            <v>0</v>
          </cell>
          <cell r="J468">
            <v>0</v>
          </cell>
          <cell r="K468">
            <v>0</v>
          </cell>
          <cell r="L468">
            <v>0</v>
          </cell>
          <cell r="M468">
            <v>0</v>
          </cell>
          <cell r="N468">
            <v>0</v>
          </cell>
          <cell r="O468">
            <v>0</v>
          </cell>
          <cell r="P468">
            <v>0</v>
          </cell>
          <cell r="Q468">
            <v>35</v>
          </cell>
          <cell r="R468">
            <v>0</v>
          </cell>
          <cell r="S468">
            <v>0</v>
          </cell>
          <cell r="T468">
            <v>0</v>
          </cell>
          <cell r="U468">
            <v>0</v>
          </cell>
          <cell r="V468">
            <v>1823.32</v>
          </cell>
          <cell r="W468">
            <v>1788.32</v>
          </cell>
        </row>
        <row r="469">
          <cell r="A469" t="str">
            <v>Hartford Bakery</v>
          </cell>
          <cell r="B469">
            <v>34</v>
          </cell>
          <cell r="C469">
            <v>37469</v>
          </cell>
          <cell r="D469">
            <v>37469</v>
          </cell>
          <cell r="E469">
            <v>3709</v>
          </cell>
          <cell r="F469">
            <v>1505.85</v>
          </cell>
          <cell r="G469">
            <v>0</v>
          </cell>
          <cell r="H469">
            <v>75</v>
          </cell>
          <cell r="I469">
            <v>0</v>
          </cell>
          <cell r="J469">
            <v>0</v>
          </cell>
          <cell r="K469">
            <v>0</v>
          </cell>
          <cell r="L469">
            <v>0</v>
          </cell>
          <cell r="M469">
            <v>0</v>
          </cell>
          <cell r="N469">
            <v>0</v>
          </cell>
          <cell r="O469">
            <v>0</v>
          </cell>
          <cell r="P469">
            <v>0</v>
          </cell>
          <cell r="Q469">
            <v>35</v>
          </cell>
          <cell r="R469">
            <v>0</v>
          </cell>
          <cell r="S469">
            <v>0</v>
          </cell>
          <cell r="T469">
            <v>0</v>
          </cell>
          <cell r="U469">
            <v>0</v>
          </cell>
          <cell r="V469">
            <v>1615.85</v>
          </cell>
          <cell r="W469">
            <v>1580.85</v>
          </cell>
        </row>
        <row r="470">
          <cell r="A470" t="str">
            <v>Hartford Bakery</v>
          </cell>
          <cell r="B470">
            <v>34</v>
          </cell>
          <cell r="C470">
            <v>37500</v>
          </cell>
          <cell r="D470">
            <v>37500</v>
          </cell>
          <cell r="E470">
            <v>3800</v>
          </cell>
          <cell r="F470">
            <v>1542.8</v>
          </cell>
          <cell r="G470">
            <v>0</v>
          </cell>
          <cell r="H470">
            <v>75</v>
          </cell>
          <cell r="I470">
            <v>0</v>
          </cell>
          <cell r="J470">
            <v>0</v>
          </cell>
          <cell r="K470">
            <v>0</v>
          </cell>
          <cell r="L470">
            <v>0</v>
          </cell>
          <cell r="M470">
            <v>0</v>
          </cell>
          <cell r="N470">
            <v>0</v>
          </cell>
          <cell r="O470">
            <v>0</v>
          </cell>
          <cell r="P470">
            <v>0</v>
          </cell>
          <cell r="Q470">
            <v>35</v>
          </cell>
          <cell r="R470">
            <v>0</v>
          </cell>
          <cell r="S470">
            <v>0</v>
          </cell>
          <cell r="T470">
            <v>0</v>
          </cell>
          <cell r="U470">
            <v>0</v>
          </cell>
          <cell r="V470">
            <v>1652.8</v>
          </cell>
          <cell r="W470">
            <v>1617.8</v>
          </cell>
        </row>
        <row r="471">
          <cell r="A471" t="str">
            <v>Hartford Bakery</v>
          </cell>
          <cell r="B471">
            <v>34</v>
          </cell>
          <cell r="C471">
            <v>37530</v>
          </cell>
          <cell r="D471">
            <v>37530</v>
          </cell>
          <cell r="E471">
            <v>4720</v>
          </cell>
          <cell r="F471">
            <v>1916.32</v>
          </cell>
          <cell r="G471">
            <v>0</v>
          </cell>
          <cell r="H471">
            <v>75</v>
          </cell>
          <cell r="I471">
            <v>0</v>
          </cell>
          <cell r="J471">
            <v>0</v>
          </cell>
          <cell r="K471">
            <v>0</v>
          </cell>
          <cell r="L471">
            <v>0</v>
          </cell>
          <cell r="M471">
            <v>0</v>
          </cell>
          <cell r="N471">
            <v>0</v>
          </cell>
          <cell r="O471">
            <v>0</v>
          </cell>
          <cell r="P471">
            <v>0</v>
          </cell>
          <cell r="Q471">
            <v>35</v>
          </cell>
          <cell r="R471">
            <v>0</v>
          </cell>
          <cell r="S471">
            <v>0</v>
          </cell>
          <cell r="T471">
            <v>0</v>
          </cell>
          <cell r="U471">
            <v>0</v>
          </cell>
          <cell r="V471">
            <v>2026.32</v>
          </cell>
          <cell r="W471">
            <v>1991.32</v>
          </cell>
        </row>
        <row r="472">
          <cell r="A472" t="str">
            <v>Hartford Bakery</v>
          </cell>
          <cell r="B472">
            <v>34</v>
          </cell>
          <cell r="C472">
            <v>37561</v>
          </cell>
          <cell r="D472">
            <v>37561</v>
          </cell>
          <cell r="E472">
            <v>5513</v>
          </cell>
          <cell r="F472">
            <v>2238.2800000000002</v>
          </cell>
          <cell r="G472">
            <v>0</v>
          </cell>
          <cell r="H472">
            <v>75</v>
          </cell>
          <cell r="I472">
            <v>0</v>
          </cell>
          <cell r="J472">
            <v>0</v>
          </cell>
          <cell r="K472">
            <v>0</v>
          </cell>
          <cell r="L472">
            <v>0</v>
          </cell>
          <cell r="M472">
            <v>0</v>
          </cell>
          <cell r="N472">
            <v>0</v>
          </cell>
          <cell r="O472">
            <v>0</v>
          </cell>
          <cell r="P472">
            <v>0</v>
          </cell>
          <cell r="Q472">
            <v>35</v>
          </cell>
          <cell r="R472">
            <v>0</v>
          </cell>
          <cell r="S472">
            <v>0</v>
          </cell>
          <cell r="T472">
            <v>0</v>
          </cell>
          <cell r="U472">
            <v>0</v>
          </cell>
          <cell r="V472">
            <v>2348.2800000000002</v>
          </cell>
          <cell r="W472">
            <v>2313.2800000000002</v>
          </cell>
        </row>
        <row r="473">
          <cell r="A473" t="str">
            <v>Hartford Bakery</v>
          </cell>
          <cell r="B473">
            <v>34</v>
          </cell>
          <cell r="C473">
            <v>37591</v>
          </cell>
          <cell r="D473">
            <v>37591</v>
          </cell>
          <cell r="E473">
            <v>5768</v>
          </cell>
          <cell r="F473">
            <v>2341.81</v>
          </cell>
          <cell r="G473">
            <v>0</v>
          </cell>
          <cell r="H473">
            <v>75</v>
          </cell>
          <cell r="I473">
            <v>0</v>
          </cell>
          <cell r="J473">
            <v>0</v>
          </cell>
          <cell r="K473">
            <v>0</v>
          </cell>
          <cell r="L473">
            <v>0</v>
          </cell>
          <cell r="M473">
            <v>0</v>
          </cell>
          <cell r="N473">
            <v>0</v>
          </cell>
          <cell r="O473">
            <v>0</v>
          </cell>
          <cell r="P473">
            <v>0</v>
          </cell>
          <cell r="Q473">
            <v>35</v>
          </cell>
          <cell r="R473">
            <v>0</v>
          </cell>
          <cell r="S473">
            <v>0</v>
          </cell>
          <cell r="T473">
            <v>0</v>
          </cell>
          <cell r="U473">
            <v>0</v>
          </cell>
          <cell r="V473">
            <v>2451.81</v>
          </cell>
          <cell r="W473">
            <v>2416.81</v>
          </cell>
        </row>
        <row r="474">
          <cell r="A474" t="str">
            <v>Indiana Tube Corporation</v>
          </cell>
          <cell r="B474">
            <v>36</v>
          </cell>
          <cell r="C474">
            <v>37257</v>
          </cell>
          <cell r="D474">
            <v>37257</v>
          </cell>
          <cell r="E474">
            <v>6000</v>
          </cell>
          <cell r="F474">
            <v>2436</v>
          </cell>
          <cell r="G474">
            <v>0</v>
          </cell>
          <cell r="H474">
            <v>75</v>
          </cell>
          <cell r="I474">
            <v>0</v>
          </cell>
          <cell r="J474">
            <v>0</v>
          </cell>
          <cell r="K474">
            <v>0</v>
          </cell>
          <cell r="L474">
            <v>0</v>
          </cell>
          <cell r="M474">
            <v>0</v>
          </cell>
          <cell r="N474">
            <v>6000</v>
          </cell>
          <cell r="O474">
            <v>18</v>
          </cell>
          <cell r="P474">
            <v>0</v>
          </cell>
          <cell r="Q474">
            <v>35</v>
          </cell>
          <cell r="R474">
            <v>0</v>
          </cell>
          <cell r="S474">
            <v>0</v>
          </cell>
          <cell r="T474">
            <v>0</v>
          </cell>
          <cell r="U474">
            <v>0</v>
          </cell>
          <cell r="V474">
            <v>2564</v>
          </cell>
          <cell r="W474">
            <v>2529</v>
          </cell>
        </row>
        <row r="475">
          <cell r="A475" t="str">
            <v>Indiana Tube Corporation</v>
          </cell>
          <cell r="B475">
            <v>36</v>
          </cell>
          <cell r="C475">
            <v>37288</v>
          </cell>
          <cell r="D475">
            <v>37288</v>
          </cell>
          <cell r="E475">
            <v>4500</v>
          </cell>
          <cell r="F475">
            <v>1827</v>
          </cell>
          <cell r="G475">
            <v>0</v>
          </cell>
          <cell r="H475">
            <v>75</v>
          </cell>
          <cell r="I475">
            <v>0</v>
          </cell>
          <cell r="J475">
            <v>0</v>
          </cell>
          <cell r="K475">
            <v>0</v>
          </cell>
          <cell r="L475">
            <v>0</v>
          </cell>
          <cell r="M475">
            <v>0</v>
          </cell>
          <cell r="N475">
            <v>4500</v>
          </cell>
          <cell r="O475">
            <v>-4.5</v>
          </cell>
          <cell r="P475">
            <v>0</v>
          </cell>
          <cell r="Q475">
            <v>35</v>
          </cell>
          <cell r="R475">
            <v>0</v>
          </cell>
          <cell r="S475">
            <v>0</v>
          </cell>
          <cell r="T475">
            <v>0</v>
          </cell>
          <cell r="U475">
            <v>0</v>
          </cell>
          <cell r="V475">
            <v>1932.5</v>
          </cell>
          <cell r="W475">
            <v>1897.5</v>
          </cell>
        </row>
        <row r="476">
          <cell r="A476" t="str">
            <v>Indiana Tube Corporation</v>
          </cell>
          <cell r="B476">
            <v>36</v>
          </cell>
          <cell r="C476">
            <v>37316</v>
          </cell>
          <cell r="D476">
            <v>37316</v>
          </cell>
          <cell r="E476">
            <v>4185</v>
          </cell>
          <cell r="F476">
            <v>1699.11</v>
          </cell>
          <cell r="G476">
            <v>0</v>
          </cell>
          <cell r="H476">
            <v>75</v>
          </cell>
          <cell r="I476">
            <v>0</v>
          </cell>
          <cell r="J476">
            <v>0</v>
          </cell>
          <cell r="K476">
            <v>0</v>
          </cell>
          <cell r="L476">
            <v>0</v>
          </cell>
          <cell r="M476">
            <v>0</v>
          </cell>
          <cell r="N476">
            <v>4185</v>
          </cell>
          <cell r="O476">
            <v>-4.18</v>
          </cell>
          <cell r="P476">
            <v>0</v>
          </cell>
          <cell r="Q476">
            <v>35</v>
          </cell>
          <cell r="R476">
            <v>0</v>
          </cell>
          <cell r="S476">
            <v>0</v>
          </cell>
          <cell r="T476">
            <v>0</v>
          </cell>
          <cell r="U476">
            <v>0</v>
          </cell>
          <cell r="V476">
            <v>1804.93</v>
          </cell>
          <cell r="W476">
            <v>1769.93</v>
          </cell>
        </row>
        <row r="477">
          <cell r="A477" t="str">
            <v>Indiana Tube Corporation</v>
          </cell>
          <cell r="B477">
            <v>36</v>
          </cell>
          <cell r="C477">
            <v>37347</v>
          </cell>
          <cell r="D477">
            <v>37347</v>
          </cell>
          <cell r="E477">
            <v>2180</v>
          </cell>
          <cell r="F477">
            <v>885.08</v>
          </cell>
          <cell r="G477">
            <v>0</v>
          </cell>
          <cell r="H477">
            <v>75</v>
          </cell>
          <cell r="I477">
            <v>0</v>
          </cell>
          <cell r="J477">
            <v>0</v>
          </cell>
          <cell r="K477">
            <v>0</v>
          </cell>
          <cell r="L477">
            <v>0</v>
          </cell>
          <cell r="M477">
            <v>0</v>
          </cell>
          <cell r="N477">
            <v>2180</v>
          </cell>
          <cell r="O477">
            <v>-2.1800000000000002</v>
          </cell>
          <cell r="P477">
            <v>0</v>
          </cell>
          <cell r="Q477">
            <v>35</v>
          </cell>
          <cell r="R477">
            <v>0</v>
          </cell>
          <cell r="S477">
            <v>0</v>
          </cell>
          <cell r="T477">
            <v>0</v>
          </cell>
          <cell r="U477">
            <v>0</v>
          </cell>
          <cell r="V477">
            <v>992.9</v>
          </cell>
          <cell r="W477">
            <v>957.9</v>
          </cell>
        </row>
        <row r="478">
          <cell r="A478" t="str">
            <v>Indiana Tube Corporation</v>
          </cell>
          <cell r="B478">
            <v>36</v>
          </cell>
          <cell r="C478">
            <v>37377</v>
          </cell>
          <cell r="D478">
            <v>37377</v>
          </cell>
          <cell r="E478">
            <v>1856</v>
          </cell>
          <cell r="F478">
            <v>753.54</v>
          </cell>
          <cell r="G478">
            <v>0</v>
          </cell>
          <cell r="H478">
            <v>75</v>
          </cell>
          <cell r="I478">
            <v>0</v>
          </cell>
          <cell r="J478">
            <v>0</v>
          </cell>
          <cell r="K478">
            <v>0</v>
          </cell>
          <cell r="L478">
            <v>0</v>
          </cell>
          <cell r="M478">
            <v>0</v>
          </cell>
          <cell r="N478">
            <v>0</v>
          </cell>
          <cell r="O478">
            <v>0</v>
          </cell>
          <cell r="P478">
            <v>0</v>
          </cell>
          <cell r="Q478">
            <v>35</v>
          </cell>
          <cell r="R478">
            <v>0</v>
          </cell>
          <cell r="S478">
            <v>0</v>
          </cell>
          <cell r="T478">
            <v>0</v>
          </cell>
          <cell r="U478">
            <v>0</v>
          </cell>
          <cell r="V478">
            <v>863.54</v>
          </cell>
          <cell r="W478">
            <v>828.54</v>
          </cell>
        </row>
        <row r="479">
          <cell r="A479" t="str">
            <v>Indiana Tube Corporation</v>
          </cell>
          <cell r="B479">
            <v>36</v>
          </cell>
          <cell r="C479">
            <v>37408</v>
          </cell>
          <cell r="D479">
            <v>37408</v>
          </cell>
          <cell r="E479">
            <v>0</v>
          </cell>
          <cell r="F479">
            <v>0</v>
          </cell>
          <cell r="G479">
            <v>0</v>
          </cell>
          <cell r="H479">
            <v>75</v>
          </cell>
          <cell r="I479">
            <v>0</v>
          </cell>
          <cell r="J479">
            <v>0</v>
          </cell>
          <cell r="K479">
            <v>0</v>
          </cell>
          <cell r="L479">
            <v>0</v>
          </cell>
          <cell r="M479">
            <v>0</v>
          </cell>
          <cell r="N479">
            <v>0</v>
          </cell>
          <cell r="O479">
            <v>0</v>
          </cell>
          <cell r="P479">
            <v>0</v>
          </cell>
          <cell r="Q479">
            <v>35</v>
          </cell>
          <cell r="R479">
            <v>0</v>
          </cell>
          <cell r="S479">
            <v>0</v>
          </cell>
          <cell r="T479">
            <v>0</v>
          </cell>
          <cell r="U479">
            <v>0</v>
          </cell>
          <cell r="V479">
            <v>110</v>
          </cell>
          <cell r="W479">
            <v>75</v>
          </cell>
        </row>
        <row r="480">
          <cell r="A480" t="str">
            <v>Indiana Tube Corporation</v>
          </cell>
          <cell r="B480">
            <v>36</v>
          </cell>
          <cell r="C480">
            <v>37438</v>
          </cell>
          <cell r="D480">
            <v>37438</v>
          </cell>
          <cell r="E480">
            <v>0</v>
          </cell>
          <cell r="F480">
            <v>0</v>
          </cell>
          <cell r="G480">
            <v>0</v>
          </cell>
          <cell r="H480">
            <v>75</v>
          </cell>
          <cell r="I480">
            <v>0</v>
          </cell>
          <cell r="J480">
            <v>0</v>
          </cell>
          <cell r="K480">
            <v>0</v>
          </cell>
          <cell r="L480">
            <v>0</v>
          </cell>
          <cell r="M480">
            <v>0</v>
          </cell>
          <cell r="N480">
            <v>0</v>
          </cell>
          <cell r="O480">
            <v>0</v>
          </cell>
          <cell r="P480">
            <v>0</v>
          </cell>
          <cell r="Q480">
            <v>35</v>
          </cell>
          <cell r="R480">
            <v>0</v>
          </cell>
          <cell r="S480">
            <v>0</v>
          </cell>
          <cell r="T480">
            <v>0</v>
          </cell>
          <cell r="U480">
            <v>0</v>
          </cell>
          <cell r="V480">
            <v>110</v>
          </cell>
          <cell r="W480">
            <v>75</v>
          </cell>
        </row>
        <row r="481">
          <cell r="A481" t="str">
            <v>Indiana Tube Corporation</v>
          </cell>
          <cell r="B481">
            <v>36</v>
          </cell>
          <cell r="C481">
            <v>37469</v>
          </cell>
          <cell r="D481">
            <v>37469</v>
          </cell>
          <cell r="E481">
            <v>0</v>
          </cell>
          <cell r="F481">
            <v>0</v>
          </cell>
          <cell r="G481">
            <v>0</v>
          </cell>
          <cell r="H481">
            <v>75</v>
          </cell>
          <cell r="I481">
            <v>0</v>
          </cell>
          <cell r="J481">
            <v>0</v>
          </cell>
          <cell r="K481">
            <v>0</v>
          </cell>
          <cell r="L481">
            <v>0</v>
          </cell>
          <cell r="M481">
            <v>0</v>
          </cell>
          <cell r="N481">
            <v>0</v>
          </cell>
          <cell r="O481">
            <v>0</v>
          </cell>
          <cell r="P481">
            <v>0</v>
          </cell>
          <cell r="Q481">
            <v>35</v>
          </cell>
          <cell r="R481">
            <v>0</v>
          </cell>
          <cell r="S481">
            <v>0</v>
          </cell>
          <cell r="T481">
            <v>0</v>
          </cell>
          <cell r="U481">
            <v>0</v>
          </cell>
          <cell r="V481">
            <v>110</v>
          </cell>
          <cell r="W481">
            <v>75</v>
          </cell>
        </row>
        <row r="482">
          <cell r="A482" t="str">
            <v>Indiana Tube Corporation</v>
          </cell>
          <cell r="B482">
            <v>36</v>
          </cell>
          <cell r="C482">
            <v>37500</v>
          </cell>
          <cell r="D482">
            <v>37500</v>
          </cell>
          <cell r="E482">
            <v>500</v>
          </cell>
          <cell r="F482">
            <v>203</v>
          </cell>
          <cell r="G482">
            <v>0</v>
          </cell>
          <cell r="H482">
            <v>75</v>
          </cell>
          <cell r="I482">
            <v>0</v>
          </cell>
          <cell r="J482">
            <v>0</v>
          </cell>
          <cell r="K482">
            <v>0</v>
          </cell>
          <cell r="L482">
            <v>0</v>
          </cell>
          <cell r="M482">
            <v>0</v>
          </cell>
          <cell r="N482">
            <v>0</v>
          </cell>
          <cell r="O482">
            <v>0</v>
          </cell>
          <cell r="P482">
            <v>0</v>
          </cell>
          <cell r="Q482">
            <v>35</v>
          </cell>
          <cell r="R482">
            <v>0</v>
          </cell>
          <cell r="S482">
            <v>0</v>
          </cell>
          <cell r="T482">
            <v>0</v>
          </cell>
          <cell r="U482">
            <v>0</v>
          </cell>
          <cell r="V482">
            <v>313</v>
          </cell>
          <cell r="W482">
            <v>278</v>
          </cell>
        </row>
        <row r="483">
          <cell r="A483" t="str">
            <v>Indiana Tube Corporation</v>
          </cell>
          <cell r="B483">
            <v>36</v>
          </cell>
          <cell r="C483">
            <v>37530</v>
          </cell>
          <cell r="D483">
            <v>37530</v>
          </cell>
          <cell r="E483">
            <v>3066</v>
          </cell>
          <cell r="F483">
            <v>1244.8</v>
          </cell>
          <cell r="G483">
            <v>0</v>
          </cell>
          <cell r="H483">
            <v>75</v>
          </cell>
          <cell r="I483">
            <v>0</v>
          </cell>
          <cell r="J483">
            <v>0</v>
          </cell>
          <cell r="K483">
            <v>0</v>
          </cell>
          <cell r="L483">
            <v>0</v>
          </cell>
          <cell r="M483">
            <v>0</v>
          </cell>
          <cell r="N483">
            <v>0</v>
          </cell>
          <cell r="O483">
            <v>0</v>
          </cell>
          <cell r="P483">
            <v>0</v>
          </cell>
          <cell r="Q483">
            <v>35</v>
          </cell>
          <cell r="R483">
            <v>0</v>
          </cell>
          <cell r="S483">
            <v>0</v>
          </cell>
          <cell r="T483">
            <v>0</v>
          </cell>
          <cell r="U483">
            <v>0</v>
          </cell>
          <cell r="V483">
            <v>1354.8</v>
          </cell>
          <cell r="W483">
            <v>1319.8</v>
          </cell>
        </row>
        <row r="484">
          <cell r="A484" t="str">
            <v>Indiana Tube Corporation</v>
          </cell>
          <cell r="B484">
            <v>36</v>
          </cell>
          <cell r="C484">
            <v>37561</v>
          </cell>
          <cell r="D484">
            <v>37561</v>
          </cell>
          <cell r="E484">
            <v>4360</v>
          </cell>
          <cell r="F484">
            <v>1770.16</v>
          </cell>
          <cell r="G484">
            <v>0</v>
          </cell>
          <cell r="H484">
            <v>75</v>
          </cell>
          <cell r="I484">
            <v>0</v>
          </cell>
          <cell r="J484">
            <v>0</v>
          </cell>
          <cell r="K484">
            <v>0</v>
          </cell>
          <cell r="L484">
            <v>0</v>
          </cell>
          <cell r="M484">
            <v>0</v>
          </cell>
          <cell r="N484">
            <v>0</v>
          </cell>
          <cell r="O484">
            <v>0</v>
          </cell>
          <cell r="P484">
            <v>0</v>
          </cell>
          <cell r="Q484">
            <v>35</v>
          </cell>
          <cell r="R484">
            <v>0</v>
          </cell>
          <cell r="S484">
            <v>0</v>
          </cell>
          <cell r="T484">
            <v>0</v>
          </cell>
          <cell r="U484">
            <v>0</v>
          </cell>
          <cell r="V484">
            <v>1880.16</v>
          </cell>
          <cell r="W484">
            <v>1845.16</v>
          </cell>
        </row>
        <row r="485">
          <cell r="A485" t="str">
            <v>Indiana Tube Corporation</v>
          </cell>
          <cell r="B485">
            <v>36</v>
          </cell>
          <cell r="C485">
            <v>37591</v>
          </cell>
          <cell r="D485">
            <v>37591</v>
          </cell>
          <cell r="E485">
            <v>4121</v>
          </cell>
          <cell r="F485">
            <v>1673.13</v>
          </cell>
          <cell r="G485">
            <v>0</v>
          </cell>
          <cell r="H485">
            <v>75</v>
          </cell>
          <cell r="I485">
            <v>0</v>
          </cell>
          <cell r="J485">
            <v>0</v>
          </cell>
          <cell r="K485">
            <v>0</v>
          </cell>
          <cell r="L485">
            <v>0</v>
          </cell>
          <cell r="M485">
            <v>0</v>
          </cell>
          <cell r="N485">
            <v>0</v>
          </cell>
          <cell r="O485">
            <v>0</v>
          </cell>
          <cell r="P485">
            <v>0</v>
          </cell>
          <cell r="Q485">
            <v>35</v>
          </cell>
          <cell r="R485">
            <v>0</v>
          </cell>
          <cell r="S485">
            <v>0</v>
          </cell>
          <cell r="T485">
            <v>0</v>
          </cell>
          <cell r="U485">
            <v>0</v>
          </cell>
          <cell r="V485">
            <v>1783.13</v>
          </cell>
          <cell r="W485">
            <v>1748.13</v>
          </cell>
        </row>
        <row r="486">
          <cell r="A486" t="str">
            <v>BWX Technologies, Inc.</v>
          </cell>
          <cell r="B486">
            <v>37</v>
          </cell>
          <cell r="C486">
            <v>37257</v>
          </cell>
          <cell r="D486">
            <v>37257</v>
          </cell>
          <cell r="E486">
            <v>6100</v>
          </cell>
          <cell r="F486">
            <v>2476.6</v>
          </cell>
          <cell r="G486">
            <v>0</v>
          </cell>
          <cell r="H486">
            <v>75</v>
          </cell>
          <cell r="I486">
            <v>0</v>
          </cell>
          <cell r="J486">
            <v>0</v>
          </cell>
          <cell r="K486">
            <v>0</v>
          </cell>
          <cell r="L486">
            <v>0</v>
          </cell>
          <cell r="M486">
            <v>0</v>
          </cell>
          <cell r="N486">
            <v>6100</v>
          </cell>
          <cell r="O486">
            <v>18.3</v>
          </cell>
          <cell r="P486">
            <v>0</v>
          </cell>
          <cell r="Q486">
            <v>35</v>
          </cell>
          <cell r="R486">
            <v>0</v>
          </cell>
          <cell r="S486">
            <v>0</v>
          </cell>
          <cell r="T486">
            <v>0</v>
          </cell>
          <cell r="U486">
            <v>0</v>
          </cell>
          <cell r="V486">
            <v>2604.9</v>
          </cell>
          <cell r="W486">
            <v>2569.9</v>
          </cell>
        </row>
        <row r="487">
          <cell r="A487" t="str">
            <v>BWX Technologies, Inc.</v>
          </cell>
          <cell r="B487">
            <v>37</v>
          </cell>
          <cell r="C487">
            <v>37288</v>
          </cell>
          <cell r="D487">
            <v>37288</v>
          </cell>
          <cell r="E487">
            <v>6185</v>
          </cell>
          <cell r="F487">
            <v>2511.11</v>
          </cell>
          <cell r="G487">
            <v>0</v>
          </cell>
          <cell r="H487">
            <v>75</v>
          </cell>
          <cell r="I487">
            <v>0</v>
          </cell>
          <cell r="J487">
            <v>0</v>
          </cell>
          <cell r="K487">
            <v>0</v>
          </cell>
          <cell r="L487">
            <v>0</v>
          </cell>
          <cell r="M487">
            <v>0</v>
          </cell>
          <cell r="N487">
            <v>6185</v>
          </cell>
          <cell r="O487">
            <v>-6.18</v>
          </cell>
          <cell r="P487">
            <v>0</v>
          </cell>
          <cell r="Q487">
            <v>35</v>
          </cell>
          <cell r="R487">
            <v>0</v>
          </cell>
          <cell r="S487">
            <v>0</v>
          </cell>
          <cell r="T487">
            <v>0</v>
          </cell>
          <cell r="U487">
            <v>0</v>
          </cell>
          <cell r="V487">
            <v>2614.9299999999998</v>
          </cell>
          <cell r="W487">
            <v>2579.9299999999998</v>
          </cell>
        </row>
        <row r="488">
          <cell r="A488" t="str">
            <v>BWX Technologies, Inc.</v>
          </cell>
          <cell r="B488">
            <v>37</v>
          </cell>
          <cell r="C488">
            <v>37316</v>
          </cell>
          <cell r="D488">
            <v>37316</v>
          </cell>
          <cell r="E488">
            <v>5266</v>
          </cell>
          <cell r="F488">
            <v>2138</v>
          </cell>
          <cell r="G488">
            <v>0</v>
          </cell>
          <cell r="H488">
            <v>75</v>
          </cell>
          <cell r="I488">
            <v>0</v>
          </cell>
          <cell r="J488">
            <v>0</v>
          </cell>
          <cell r="K488">
            <v>0</v>
          </cell>
          <cell r="L488">
            <v>0</v>
          </cell>
          <cell r="M488">
            <v>0</v>
          </cell>
          <cell r="N488">
            <v>5266</v>
          </cell>
          <cell r="O488">
            <v>-5.27</v>
          </cell>
          <cell r="P488">
            <v>0</v>
          </cell>
          <cell r="Q488">
            <v>35</v>
          </cell>
          <cell r="R488">
            <v>0</v>
          </cell>
          <cell r="S488">
            <v>0</v>
          </cell>
          <cell r="T488">
            <v>0</v>
          </cell>
          <cell r="U488">
            <v>0</v>
          </cell>
          <cell r="V488">
            <v>2242.73</v>
          </cell>
          <cell r="W488">
            <v>2207.73</v>
          </cell>
        </row>
        <row r="489">
          <cell r="A489" t="str">
            <v>BWX Technologies, Inc.</v>
          </cell>
          <cell r="B489">
            <v>37</v>
          </cell>
          <cell r="C489">
            <v>37347</v>
          </cell>
          <cell r="D489">
            <v>37347</v>
          </cell>
          <cell r="E489">
            <v>2152</v>
          </cell>
          <cell r="F489">
            <v>873.71</v>
          </cell>
          <cell r="G489">
            <v>0</v>
          </cell>
          <cell r="H489">
            <v>75</v>
          </cell>
          <cell r="I489">
            <v>0</v>
          </cell>
          <cell r="J489">
            <v>0</v>
          </cell>
          <cell r="K489">
            <v>0</v>
          </cell>
          <cell r="L489">
            <v>0</v>
          </cell>
          <cell r="M489">
            <v>0</v>
          </cell>
          <cell r="N489">
            <v>2152</v>
          </cell>
          <cell r="O489">
            <v>-2.15</v>
          </cell>
          <cell r="P489">
            <v>0</v>
          </cell>
          <cell r="Q489">
            <v>35</v>
          </cell>
          <cell r="R489">
            <v>0</v>
          </cell>
          <cell r="S489">
            <v>0</v>
          </cell>
          <cell r="T489">
            <v>0</v>
          </cell>
          <cell r="U489">
            <v>0</v>
          </cell>
          <cell r="V489">
            <v>981.56</v>
          </cell>
          <cell r="W489">
            <v>946.56</v>
          </cell>
        </row>
        <row r="490">
          <cell r="A490" t="str">
            <v>BWX Technologies, Inc.</v>
          </cell>
          <cell r="B490">
            <v>37</v>
          </cell>
          <cell r="C490">
            <v>37377</v>
          </cell>
          <cell r="D490">
            <v>37377</v>
          </cell>
          <cell r="E490">
            <v>1025</v>
          </cell>
          <cell r="F490">
            <v>416.15</v>
          </cell>
          <cell r="G490">
            <v>0</v>
          </cell>
          <cell r="H490">
            <v>75</v>
          </cell>
          <cell r="I490">
            <v>0</v>
          </cell>
          <cell r="J490">
            <v>0</v>
          </cell>
          <cell r="K490">
            <v>0</v>
          </cell>
          <cell r="L490">
            <v>0</v>
          </cell>
          <cell r="M490">
            <v>0</v>
          </cell>
          <cell r="N490">
            <v>0</v>
          </cell>
          <cell r="O490">
            <v>0</v>
          </cell>
          <cell r="P490">
            <v>0</v>
          </cell>
          <cell r="Q490">
            <v>35</v>
          </cell>
          <cell r="R490">
            <v>0</v>
          </cell>
          <cell r="S490">
            <v>0</v>
          </cell>
          <cell r="T490">
            <v>0</v>
          </cell>
          <cell r="U490">
            <v>0</v>
          </cell>
          <cell r="V490">
            <v>526.15</v>
          </cell>
          <cell r="W490">
            <v>491.15</v>
          </cell>
        </row>
        <row r="491">
          <cell r="A491" t="str">
            <v>BWX Technologies, Inc.</v>
          </cell>
          <cell r="B491">
            <v>37</v>
          </cell>
          <cell r="C491">
            <v>37408</v>
          </cell>
          <cell r="D491">
            <v>37408</v>
          </cell>
          <cell r="E491">
            <v>410</v>
          </cell>
          <cell r="F491">
            <v>166.46</v>
          </cell>
          <cell r="G491">
            <v>0</v>
          </cell>
          <cell r="H491">
            <v>75</v>
          </cell>
          <cell r="I491">
            <v>0</v>
          </cell>
          <cell r="J491">
            <v>0</v>
          </cell>
          <cell r="K491">
            <v>0</v>
          </cell>
          <cell r="L491">
            <v>0</v>
          </cell>
          <cell r="M491">
            <v>0</v>
          </cell>
          <cell r="N491">
            <v>0</v>
          </cell>
          <cell r="O491">
            <v>0</v>
          </cell>
          <cell r="P491">
            <v>0</v>
          </cell>
          <cell r="Q491">
            <v>35</v>
          </cell>
          <cell r="R491">
            <v>0</v>
          </cell>
          <cell r="S491">
            <v>0</v>
          </cell>
          <cell r="T491">
            <v>0</v>
          </cell>
          <cell r="U491">
            <v>0</v>
          </cell>
          <cell r="V491">
            <v>276.45999999999998</v>
          </cell>
          <cell r="W491">
            <v>241.46</v>
          </cell>
        </row>
        <row r="492">
          <cell r="A492" t="str">
            <v>BWX Technologies, Inc.</v>
          </cell>
          <cell r="B492">
            <v>37</v>
          </cell>
          <cell r="C492">
            <v>37438</v>
          </cell>
          <cell r="D492">
            <v>37438</v>
          </cell>
          <cell r="E492">
            <v>1080</v>
          </cell>
          <cell r="F492">
            <v>438.48</v>
          </cell>
          <cell r="G492">
            <v>0</v>
          </cell>
          <cell r="H492">
            <v>75</v>
          </cell>
          <cell r="I492">
            <v>0</v>
          </cell>
          <cell r="J492">
            <v>0</v>
          </cell>
          <cell r="K492">
            <v>0</v>
          </cell>
          <cell r="L492">
            <v>0</v>
          </cell>
          <cell r="M492">
            <v>0</v>
          </cell>
          <cell r="N492">
            <v>0</v>
          </cell>
          <cell r="O492">
            <v>0</v>
          </cell>
          <cell r="P492">
            <v>0</v>
          </cell>
          <cell r="Q492">
            <v>35</v>
          </cell>
          <cell r="R492">
            <v>0</v>
          </cell>
          <cell r="S492">
            <v>0</v>
          </cell>
          <cell r="T492">
            <v>0</v>
          </cell>
          <cell r="U492">
            <v>0</v>
          </cell>
          <cell r="V492">
            <v>548.48</v>
          </cell>
          <cell r="W492">
            <v>513.48</v>
          </cell>
        </row>
        <row r="493">
          <cell r="A493" t="str">
            <v>BWX Technologies, Inc.</v>
          </cell>
          <cell r="B493">
            <v>37</v>
          </cell>
          <cell r="C493">
            <v>37469</v>
          </cell>
          <cell r="D493">
            <v>37469</v>
          </cell>
          <cell r="E493">
            <v>653</v>
          </cell>
          <cell r="F493">
            <v>265.12</v>
          </cell>
          <cell r="G493">
            <v>0</v>
          </cell>
          <cell r="H493">
            <v>75</v>
          </cell>
          <cell r="I493">
            <v>0</v>
          </cell>
          <cell r="J493">
            <v>0</v>
          </cell>
          <cell r="K493">
            <v>0</v>
          </cell>
          <cell r="L493">
            <v>0</v>
          </cell>
          <cell r="M493">
            <v>0</v>
          </cell>
          <cell r="N493">
            <v>0</v>
          </cell>
          <cell r="O493">
            <v>0</v>
          </cell>
          <cell r="P493">
            <v>0</v>
          </cell>
          <cell r="Q493">
            <v>35</v>
          </cell>
          <cell r="R493">
            <v>0</v>
          </cell>
          <cell r="S493">
            <v>0</v>
          </cell>
          <cell r="T493">
            <v>0</v>
          </cell>
          <cell r="U493">
            <v>0</v>
          </cell>
          <cell r="V493">
            <v>375.12</v>
          </cell>
          <cell r="W493">
            <v>340.12</v>
          </cell>
        </row>
        <row r="494">
          <cell r="A494" t="str">
            <v>BWX Technologies, Inc.</v>
          </cell>
          <cell r="B494">
            <v>37</v>
          </cell>
          <cell r="C494">
            <v>37500</v>
          </cell>
          <cell r="D494">
            <v>37500</v>
          </cell>
          <cell r="E494">
            <v>990</v>
          </cell>
          <cell r="F494">
            <v>401.94</v>
          </cell>
          <cell r="G494">
            <v>0</v>
          </cell>
          <cell r="H494">
            <v>75</v>
          </cell>
          <cell r="I494">
            <v>0</v>
          </cell>
          <cell r="J494">
            <v>0</v>
          </cell>
          <cell r="K494">
            <v>0</v>
          </cell>
          <cell r="L494">
            <v>0</v>
          </cell>
          <cell r="M494">
            <v>0</v>
          </cell>
          <cell r="N494">
            <v>0</v>
          </cell>
          <cell r="O494">
            <v>0</v>
          </cell>
          <cell r="P494">
            <v>0</v>
          </cell>
          <cell r="Q494">
            <v>35</v>
          </cell>
          <cell r="R494">
            <v>0</v>
          </cell>
          <cell r="S494">
            <v>0</v>
          </cell>
          <cell r="T494">
            <v>0</v>
          </cell>
          <cell r="U494">
            <v>0</v>
          </cell>
          <cell r="V494">
            <v>511.94</v>
          </cell>
          <cell r="W494">
            <v>476.94</v>
          </cell>
        </row>
        <row r="495">
          <cell r="A495" t="str">
            <v>BWX Technologies, Inc.</v>
          </cell>
          <cell r="B495">
            <v>37</v>
          </cell>
          <cell r="C495">
            <v>37530</v>
          </cell>
          <cell r="D495">
            <v>37530</v>
          </cell>
          <cell r="E495">
            <v>1642</v>
          </cell>
          <cell r="F495">
            <v>666.65</v>
          </cell>
          <cell r="G495">
            <v>0</v>
          </cell>
          <cell r="H495">
            <v>75</v>
          </cell>
          <cell r="I495">
            <v>0</v>
          </cell>
          <cell r="J495">
            <v>0</v>
          </cell>
          <cell r="K495">
            <v>0</v>
          </cell>
          <cell r="L495">
            <v>0</v>
          </cell>
          <cell r="M495">
            <v>0</v>
          </cell>
          <cell r="N495">
            <v>0</v>
          </cell>
          <cell r="O495">
            <v>0</v>
          </cell>
          <cell r="P495">
            <v>0</v>
          </cell>
          <cell r="Q495">
            <v>35</v>
          </cell>
          <cell r="R495">
            <v>0</v>
          </cell>
          <cell r="S495">
            <v>0</v>
          </cell>
          <cell r="T495">
            <v>0</v>
          </cell>
          <cell r="U495">
            <v>0</v>
          </cell>
          <cell r="V495">
            <v>776.65</v>
          </cell>
          <cell r="W495">
            <v>741.65</v>
          </cell>
        </row>
        <row r="496">
          <cell r="A496" t="str">
            <v>BWX Technologies, Inc.</v>
          </cell>
          <cell r="B496">
            <v>37</v>
          </cell>
          <cell r="C496">
            <v>37561</v>
          </cell>
          <cell r="D496">
            <v>37561</v>
          </cell>
          <cell r="E496">
            <v>4638</v>
          </cell>
          <cell r="F496">
            <v>1883.03</v>
          </cell>
          <cell r="G496">
            <v>0</v>
          </cell>
          <cell r="H496">
            <v>75</v>
          </cell>
          <cell r="I496">
            <v>0</v>
          </cell>
          <cell r="J496">
            <v>0</v>
          </cell>
          <cell r="K496">
            <v>0</v>
          </cell>
          <cell r="L496">
            <v>0</v>
          </cell>
          <cell r="M496">
            <v>0</v>
          </cell>
          <cell r="N496">
            <v>0</v>
          </cell>
          <cell r="O496">
            <v>0</v>
          </cell>
          <cell r="P496">
            <v>0</v>
          </cell>
          <cell r="Q496">
            <v>35</v>
          </cell>
          <cell r="R496">
            <v>0</v>
          </cell>
          <cell r="S496">
            <v>0</v>
          </cell>
          <cell r="T496">
            <v>0</v>
          </cell>
          <cell r="U496">
            <v>0</v>
          </cell>
          <cell r="V496">
            <v>1993.03</v>
          </cell>
          <cell r="W496">
            <v>1958.03</v>
          </cell>
        </row>
        <row r="497">
          <cell r="A497" t="str">
            <v>BWX Technologies, Inc.</v>
          </cell>
          <cell r="B497">
            <v>37</v>
          </cell>
          <cell r="C497">
            <v>37591</v>
          </cell>
          <cell r="D497">
            <v>37591</v>
          </cell>
          <cell r="E497">
            <v>7619</v>
          </cell>
          <cell r="F497">
            <v>3093.31</v>
          </cell>
          <cell r="G497">
            <v>0</v>
          </cell>
          <cell r="H497">
            <v>75</v>
          </cell>
          <cell r="I497">
            <v>0</v>
          </cell>
          <cell r="J497">
            <v>0</v>
          </cell>
          <cell r="K497">
            <v>0</v>
          </cell>
          <cell r="L497">
            <v>0</v>
          </cell>
          <cell r="M497">
            <v>0</v>
          </cell>
          <cell r="N497">
            <v>0</v>
          </cell>
          <cell r="O497">
            <v>0</v>
          </cell>
          <cell r="P497">
            <v>0</v>
          </cell>
          <cell r="Q497">
            <v>35</v>
          </cell>
          <cell r="R497">
            <v>0</v>
          </cell>
          <cell r="S497">
            <v>0</v>
          </cell>
          <cell r="T497">
            <v>0</v>
          </cell>
          <cell r="U497">
            <v>0</v>
          </cell>
          <cell r="V497">
            <v>3203.31</v>
          </cell>
          <cell r="W497">
            <v>3168.31</v>
          </cell>
        </row>
        <row r="498">
          <cell r="A498" t="str">
            <v>Hoosier Magnetics</v>
          </cell>
          <cell r="B498">
            <v>39</v>
          </cell>
          <cell r="C498">
            <v>37257</v>
          </cell>
          <cell r="D498">
            <v>37257</v>
          </cell>
          <cell r="E498">
            <v>3000</v>
          </cell>
          <cell r="F498">
            <v>1218</v>
          </cell>
          <cell r="G498">
            <v>0</v>
          </cell>
          <cell r="H498">
            <v>75</v>
          </cell>
          <cell r="I498">
            <v>0</v>
          </cell>
          <cell r="J498">
            <v>0</v>
          </cell>
          <cell r="K498">
            <v>0</v>
          </cell>
          <cell r="L498">
            <v>0</v>
          </cell>
          <cell r="M498">
            <v>-78</v>
          </cell>
          <cell r="N498">
            <v>3000</v>
          </cell>
          <cell r="O498">
            <v>9</v>
          </cell>
          <cell r="P498">
            <v>0</v>
          </cell>
          <cell r="Q498">
            <v>35</v>
          </cell>
          <cell r="R498">
            <v>1.75</v>
          </cell>
          <cell r="S498">
            <v>0</v>
          </cell>
          <cell r="T498">
            <v>0</v>
          </cell>
          <cell r="U498">
            <v>0</v>
          </cell>
          <cell r="V498">
            <v>1260.75</v>
          </cell>
          <cell r="W498">
            <v>1224</v>
          </cell>
        </row>
        <row r="499">
          <cell r="A499" t="str">
            <v>Hoosier Magnetics</v>
          </cell>
          <cell r="B499">
            <v>39</v>
          </cell>
          <cell r="C499">
            <v>37288</v>
          </cell>
          <cell r="D499">
            <v>37288</v>
          </cell>
          <cell r="E499">
            <v>2516</v>
          </cell>
          <cell r="F499">
            <v>1021.5</v>
          </cell>
          <cell r="G499">
            <v>0</v>
          </cell>
          <cell r="H499">
            <v>75</v>
          </cell>
          <cell r="I499">
            <v>0</v>
          </cell>
          <cell r="J499">
            <v>0</v>
          </cell>
          <cell r="K499">
            <v>0</v>
          </cell>
          <cell r="L499">
            <v>0</v>
          </cell>
          <cell r="M499">
            <v>10.06</v>
          </cell>
          <cell r="N499">
            <v>2516</v>
          </cell>
          <cell r="O499">
            <v>-2.52</v>
          </cell>
          <cell r="P499">
            <v>0</v>
          </cell>
          <cell r="Q499">
            <v>35</v>
          </cell>
          <cell r="R499">
            <v>1.75</v>
          </cell>
          <cell r="S499">
            <v>0</v>
          </cell>
          <cell r="T499">
            <v>0</v>
          </cell>
          <cell r="U499">
            <v>0</v>
          </cell>
          <cell r="V499">
            <v>1140.79</v>
          </cell>
          <cell r="W499">
            <v>1104.04</v>
          </cell>
        </row>
        <row r="500">
          <cell r="A500" t="str">
            <v>Hoosier Magnetics</v>
          </cell>
          <cell r="B500">
            <v>39</v>
          </cell>
          <cell r="C500">
            <v>37316</v>
          </cell>
          <cell r="D500">
            <v>37316</v>
          </cell>
          <cell r="E500">
            <v>2255</v>
          </cell>
          <cell r="F500">
            <v>915.53</v>
          </cell>
          <cell r="G500">
            <v>0</v>
          </cell>
          <cell r="H500">
            <v>75</v>
          </cell>
          <cell r="I500">
            <v>0</v>
          </cell>
          <cell r="J500">
            <v>0</v>
          </cell>
          <cell r="K500">
            <v>0</v>
          </cell>
          <cell r="L500">
            <v>0</v>
          </cell>
          <cell r="M500">
            <v>9.02</v>
          </cell>
          <cell r="N500">
            <v>2255</v>
          </cell>
          <cell r="O500">
            <v>-2.25</v>
          </cell>
          <cell r="P500">
            <v>0</v>
          </cell>
          <cell r="Q500">
            <v>35</v>
          </cell>
          <cell r="R500">
            <v>1.75</v>
          </cell>
          <cell r="S500">
            <v>0</v>
          </cell>
          <cell r="T500">
            <v>0</v>
          </cell>
          <cell r="U500">
            <v>0</v>
          </cell>
          <cell r="V500">
            <v>1034.05</v>
          </cell>
          <cell r="W500">
            <v>997.3</v>
          </cell>
        </row>
        <row r="501">
          <cell r="A501" t="str">
            <v>Hoosier Magnetics</v>
          </cell>
          <cell r="B501">
            <v>39</v>
          </cell>
          <cell r="C501">
            <v>37347</v>
          </cell>
          <cell r="D501">
            <v>37347</v>
          </cell>
          <cell r="E501">
            <v>1600</v>
          </cell>
          <cell r="F501">
            <v>649.6</v>
          </cell>
          <cell r="G501">
            <v>0</v>
          </cell>
          <cell r="H501">
            <v>75</v>
          </cell>
          <cell r="I501">
            <v>0</v>
          </cell>
          <cell r="J501">
            <v>0</v>
          </cell>
          <cell r="K501">
            <v>0</v>
          </cell>
          <cell r="L501">
            <v>0</v>
          </cell>
          <cell r="M501">
            <v>6.4</v>
          </cell>
          <cell r="N501">
            <v>1600</v>
          </cell>
          <cell r="O501">
            <v>-1.6</v>
          </cell>
          <cell r="P501">
            <v>0</v>
          </cell>
          <cell r="Q501">
            <v>35</v>
          </cell>
          <cell r="R501">
            <v>1.75</v>
          </cell>
          <cell r="S501">
            <v>0</v>
          </cell>
          <cell r="T501">
            <v>0</v>
          </cell>
          <cell r="U501">
            <v>0</v>
          </cell>
          <cell r="V501">
            <v>766.15</v>
          </cell>
          <cell r="W501">
            <v>729.4</v>
          </cell>
        </row>
        <row r="502">
          <cell r="A502" t="str">
            <v>Hoosier Magnetics</v>
          </cell>
          <cell r="B502">
            <v>39</v>
          </cell>
          <cell r="C502">
            <v>37377</v>
          </cell>
          <cell r="D502">
            <v>37377</v>
          </cell>
          <cell r="E502">
            <v>1500</v>
          </cell>
          <cell r="F502">
            <v>609</v>
          </cell>
          <cell r="G502">
            <v>0</v>
          </cell>
          <cell r="H502">
            <v>75</v>
          </cell>
          <cell r="I502">
            <v>0</v>
          </cell>
          <cell r="J502">
            <v>0</v>
          </cell>
          <cell r="K502">
            <v>0</v>
          </cell>
          <cell r="L502">
            <v>0</v>
          </cell>
          <cell r="M502">
            <v>0</v>
          </cell>
          <cell r="N502">
            <v>0</v>
          </cell>
          <cell r="O502">
            <v>0</v>
          </cell>
          <cell r="P502">
            <v>0</v>
          </cell>
          <cell r="Q502">
            <v>35</v>
          </cell>
          <cell r="R502">
            <v>1.75</v>
          </cell>
          <cell r="S502">
            <v>0</v>
          </cell>
          <cell r="T502">
            <v>0</v>
          </cell>
          <cell r="U502">
            <v>0</v>
          </cell>
          <cell r="V502">
            <v>720.75</v>
          </cell>
          <cell r="W502">
            <v>684</v>
          </cell>
        </row>
        <row r="503">
          <cell r="A503" t="str">
            <v>Hoosier Magnetics</v>
          </cell>
          <cell r="B503">
            <v>39</v>
          </cell>
          <cell r="C503">
            <v>37408</v>
          </cell>
          <cell r="D503">
            <v>37408</v>
          </cell>
          <cell r="E503">
            <v>1725</v>
          </cell>
          <cell r="F503">
            <v>700.35</v>
          </cell>
          <cell r="G503">
            <v>0</v>
          </cell>
          <cell r="H503">
            <v>75</v>
          </cell>
          <cell r="I503">
            <v>0</v>
          </cell>
          <cell r="J503">
            <v>0</v>
          </cell>
          <cell r="K503">
            <v>0</v>
          </cell>
          <cell r="L503">
            <v>0</v>
          </cell>
          <cell r="M503">
            <v>0</v>
          </cell>
          <cell r="N503">
            <v>0</v>
          </cell>
          <cell r="O503">
            <v>0</v>
          </cell>
          <cell r="P503">
            <v>0</v>
          </cell>
          <cell r="Q503">
            <v>35</v>
          </cell>
          <cell r="R503">
            <v>1.75</v>
          </cell>
          <cell r="S503">
            <v>0</v>
          </cell>
          <cell r="T503">
            <v>0</v>
          </cell>
          <cell r="U503">
            <v>0</v>
          </cell>
          <cell r="V503">
            <v>812.1</v>
          </cell>
          <cell r="W503">
            <v>775.35</v>
          </cell>
        </row>
        <row r="504">
          <cell r="A504" t="str">
            <v>Hoosier Magnetics</v>
          </cell>
          <cell r="B504">
            <v>39</v>
          </cell>
          <cell r="C504">
            <v>37438</v>
          </cell>
          <cell r="D504">
            <v>37438</v>
          </cell>
          <cell r="E504">
            <v>1840</v>
          </cell>
          <cell r="F504">
            <v>747.04</v>
          </cell>
          <cell r="G504">
            <v>0</v>
          </cell>
          <cell r="H504">
            <v>75</v>
          </cell>
          <cell r="I504">
            <v>0</v>
          </cell>
          <cell r="J504">
            <v>0</v>
          </cell>
          <cell r="K504">
            <v>0</v>
          </cell>
          <cell r="L504">
            <v>0</v>
          </cell>
          <cell r="M504">
            <v>0</v>
          </cell>
          <cell r="N504">
            <v>0</v>
          </cell>
          <cell r="O504">
            <v>0</v>
          </cell>
          <cell r="P504">
            <v>0</v>
          </cell>
          <cell r="Q504">
            <v>35</v>
          </cell>
          <cell r="R504">
            <v>1.75</v>
          </cell>
          <cell r="S504">
            <v>0</v>
          </cell>
          <cell r="T504">
            <v>0</v>
          </cell>
          <cell r="U504">
            <v>0</v>
          </cell>
          <cell r="V504">
            <v>858.79</v>
          </cell>
          <cell r="W504">
            <v>822.04</v>
          </cell>
        </row>
        <row r="505">
          <cell r="A505" t="str">
            <v>Hoosier Magnetics</v>
          </cell>
          <cell r="B505">
            <v>39</v>
          </cell>
          <cell r="C505">
            <v>37469</v>
          </cell>
          <cell r="D505">
            <v>37469</v>
          </cell>
          <cell r="E505">
            <v>1940</v>
          </cell>
          <cell r="F505">
            <v>787.64</v>
          </cell>
          <cell r="G505">
            <v>0</v>
          </cell>
          <cell r="H505">
            <v>75</v>
          </cell>
          <cell r="I505">
            <v>0</v>
          </cell>
          <cell r="J505">
            <v>0</v>
          </cell>
          <cell r="K505">
            <v>0</v>
          </cell>
          <cell r="L505">
            <v>0</v>
          </cell>
          <cell r="M505">
            <v>0</v>
          </cell>
          <cell r="N505">
            <v>0</v>
          </cell>
          <cell r="O505">
            <v>0</v>
          </cell>
          <cell r="P505">
            <v>0</v>
          </cell>
          <cell r="Q505">
            <v>35</v>
          </cell>
          <cell r="R505">
            <v>1.75</v>
          </cell>
          <cell r="S505">
            <v>0</v>
          </cell>
          <cell r="T505">
            <v>0</v>
          </cell>
          <cell r="U505">
            <v>0</v>
          </cell>
          <cell r="V505">
            <v>899.39</v>
          </cell>
          <cell r="W505">
            <v>862.64</v>
          </cell>
        </row>
        <row r="506">
          <cell r="A506" t="str">
            <v>Hoosier Magnetics</v>
          </cell>
          <cell r="B506">
            <v>39</v>
          </cell>
          <cell r="C506">
            <v>37500</v>
          </cell>
          <cell r="D506">
            <v>37500</v>
          </cell>
          <cell r="E506">
            <v>1510</v>
          </cell>
          <cell r="F506">
            <v>613.05999999999995</v>
          </cell>
          <cell r="G506">
            <v>0</v>
          </cell>
          <cell r="H506">
            <v>75</v>
          </cell>
          <cell r="I506">
            <v>0</v>
          </cell>
          <cell r="J506">
            <v>0</v>
          </cell>
          <cell r="K506">
            <v>0</v>
          </cell>
          <cell r="L506">
            <v>0</v>
          </cell>
          <cell r="M506">
            <v>0</v>
          </cell>
          <cell r="N506">
            <v>0</v>
          </cell>
          <cell r="O506">
            <v>0</v>
          </cell>
          <cell r="P506">
            <v>0</v>
          </cell>
          <cell r="Q506">
            <v>35</v>
          </cell>
          <cell r="R506">
            <v>1.75</v>
          </cell>
          <cell r="S506">
            <v>0</v>
          </cell>
          <cell r="T506">
            <v>0</v>
          </cell>
          <cell r="U506">
            <v>0</v>
          </cell>
          <cell r="V506">
            <v>724.81</v>
          </cell>
          <cell r="W506">
            <v>688.06</v>
          </cell>
        </row>
        <row r="507">
          <cell r="A507" t="str">
            <v>Hoosier Magnetics</v>
          </cell>
          <cell r="B507">
            <v>39</v>
          </cell>
          <cell r="C507">
            <v>37530</v>
          </cell>
          <cell r="D507">
            <v>37530</v>
          </cell>
          <cell r="E507">
            <v>2370</v>
          </cell>
          <cell r="F507">
            <v>962.22</v>
          </cell>
          <cell r="G507">
            <v>0</v>
          </cell>
          <cell r="H507">
            <v>75</v>
          </cell>
          <cell r="I507">
            <v>0</v>
          </cell>
          <cell r="J507">
            <v>0</v>
          </cell>
          <cell r="K507">
            <v>0</v>
          </cell>
          <cell r="L507">
            <v>0</v>
          </cell>
          <cell r="M507">
            <v>0</v>
          </cell>
          <cell r="N507">
            <v>0</v>
          </cell>
          <cell r="O507">
            <v>0</v>
          </cell>
          <cell r="P507">
            <v>0</v>
          </cell>
          <cell r="Q507">
            <v>35</v>
          </cell>
          <cell r="R507">
            <v>1.75</v>
          </cell>
          <cell r="S507">
            <v>0</v>
          </cell>
          <cell r="T507">
            <v>0</v>
          </cell>
          <cell r="U507">
            <v>0</v>
          </cell>
          <cell r="V507">
            <v>1073.97</v>
          </cell>
          <cell r="W507">
            <v>1037.22</v>
          </cell>
        </row>
        <row r="508">
          <cell r="A508" t="str">
            <v>Hoosier Magnetics</v>
          </cell>
          <cell r="B508">
            <v>39</v>
          </cell>
          <cell r="C508">
            <v>37561</v>
          </cell>
          <cell r="D508">
            <v>37561</v>
          </cell>
          <cell r="E508">
            <v>1500</v>
          </cell>
          <cell r="F508">
            <v>609</v>
          </cell>
          <cell r="G508">
            <v>0</v>
          </cell>
          <cell r="H508">
            <v>75</v>
          </cell>
          <cell r="I508">
            <v>0</v>
          </cell>
          <cell r="J508">
            <v>0</v>
          </cell>
          <cell r="K508">
            <v>0</v>
          </cell>
          <cell r="L508">
            <v>0</v>
          </cell>
          <cell r="M508">
            <v>0</v>
          </cell>
          <cell r="N508">
            <v>0</v>
          </cell>
          <cell r="O508">
            <v>0</v>
          </cell>
          <cell r="P508">
            <v>0</v>
          </cell>
          <cell r="Q508">
            <v>35</v>
          </cell>
          <cell r="R508">
            <v>1.75</v>
          </cell>
          <cell r="S508">
            <v>0</v>
          </cell>
          <cell r="T508">
            <v>0</v>
          </cell>
          <cell r="U508">
            <v>0</v>
          </cell>
          <cell r="V508">
            <v>720.75</v>
          </cell>
          <cell r="W508">
            <v>684</v>
          </cell>
        </row>
        <row r="509">
          <cell r="A509" t="str">
            <v>Hoosier Magnetics</v>
          </cell>
          <cell r="B509">
            <v>39</v>
          </cell>
          <cell r="C509">
            <v>37591</v>
          </cell>
          <cell r="D509">
            <v>37591</v>
          </cell>
          <cell r="E509">
            <v>1661</v>
          </cell>
          <cell r="F509">
            <v>674.37</v>
          </cell>
          <cell r="G509">
            <v>0</v>
          </cell>
          <cell r="H509">
            <v>75</v>
          </cell>
          <cell r="I509">
            <v>0</v>
          </cell>
          <cell r="J509">
            <v>0</v>
          </cell>
          <cell r="K509">
            <v>0</v>
          </cell>
          <cell r="L509">
            <v>0</v>
          </cell>
          <cell r="M509">
            <v>0</v>
          </cell>
          <cell r="N509">
            <v>0</v>
          </cell>
          <cell r="O509">
            <v>0</v>
          </cell>
          <cell r="P509">
            <v>0</v>
          </cell>
          <cell r="Q509">
            <v>35</v>
          </cell>
          <cell r="R509">
            <v>2.1</v>
          </cell>
          <cell r="S509">
            <v>0</v>
          </cell>
          <cell r="T509">
            <v>0</v>
          </cell>
          <cell r="U509">
            <v>0</v>
          </cell>
          <cell r="V509">
            <v>786.47</v>
          </cell>
          <cell r="W509">
            <v>749.37</v>
          </cell>
        </row>
        <row r="510">
          <cell r="A510" t="str">
            <v>Consolidated Grain &amp; Barge - Soybean Plant</v>
          </cell>
          <cell r="B510">
            <v>40</v>
          </cell>
          <cell r="C510">
            <v>37257</v>
          </cell>
          <cell r="D510">
            <v>37257</v>
          </cell>
          <cell r="E510">
            <v>51772</v>
          </cell>
          <cell r="F510">
            <v>21019.43</v>
          </cell>
          <cell r="G510">
            <v>0</v>
          </cell>
          <cell r="H510">
            <v>75</v>
          </cell>
          <cell r="I510">
            <v>0</v>
          </cell>
          <cell r="J510">
            <v>0</v>
          </cell>
          <cell r="K510">
            <v>0</v>
          </cell>
          <cell r="L510">
            <v>0</v>
          </cell>
          <cell r="M510">
            <v>0</v>
          </cell>
          <cell r="N510">
            <v>51772</v>
          </cell>
          <cell r="O510">
            <v>155.32</v>
          </cell>
          <cell r="P510">
            <v>0</v>
          </cell>
          <cell r="Q510">
            <v>35</v>
          </cell>
          <cell r="R510">
            <v>1.75</v>
          </cell>
          <cell r="S510">
            <v>0</v>
          </cell>
          <cell r="T510">
            <v>0</v>
          </cell>
          <cell r="U510">
            <v>0</v>
          </cell>
          <cell r="V510">
            <v>21286.5</v>
          </cell>
          <cell r="W510">
            <v>21249.75</v>
          </cell>
        </row>
        <row r="511">
          <cell r="A511" t="str">
            <v>Consolidated Grain &amp; Barge - Soybean Plant</v>
          </cell>
          <cell r="B511">
            <v>40</v>
          </cell>
          <cell r="C511">
            <v>37288</v>
          </cell>
          <cell r="D511">
            <v>37288</v>
          </cell>
          <cell r="E511">
            <v>49857</v>
          </cell>
          <cell r="F511">
            <v>20241.939999999999</v>
          </cell>
          <cell r="G511">
            <v>0</v>
          </cell>
          <cell r="H511">
            <v>75</v>
          </cell>
          <cell r="I511">
            <v>0</v>
          </cell>
          <cell r="J511">
            <v>0</v>
          </cell>
          <cell r="K511">
            <v>0</v>
          </cell>
          <cell r="L511">
            <v>0</v>
          </cell>
          <cell r="M511">
            <v>0</v>
          </cell>
          <cell r="N511">
            <v>49857</v>
          </cell>
          <cell r="O511">
            <v>-49.86</v>
          </cell>
          <cell r="P511">
            <v>0</v>
          </cell>
          <cell r="Q511">
            <v>35</v>
          </cell>
          <cell r="R511">
            <v>1.75</v>
          </cell>
          <cell r="S511">
            <v>0</v>
          </cell>
          <cell r="T511">
            <v>0</v>
          </cell>
          <cell r="U511">
            <v>0</v>
          </cell>
          <cell r="V511">
            <v>20303.830000000002</v>
          </cell>
          <cell r="W511">
            <v>20267.080000000002</v>
          </cell>
        </row>
        <row r="512">
          <cell r="A512" t="str">
            <v>Consolidated Grain &amp; Barge - Soybean Plant</v>
          </cell>
          <cell r="B512">
            <v>40</v>
          </cell>
          <cell r="C512">
            <v>37316</v>
          </cell>
          <cell r="D512">
            <v>37316</v>
          </cell>
          <cell r="E512">
            <v>51407</v>
          </cell>
          <cell r="F512">
            <v>20871.240000000002</v>
          </cell>
          <cell r="G512">
            <v>0</v>
          </cell>
          <cell r="H512">
            <v>75</v>
          </cell>
          <cell r="I512">
            <v>0</v>
          </cell>
          <cell r="J512">
            <v>0</v>
          </cell>
          <cell r="K512">
            <v>0</v>
          </cell>
          <cell r="L512">
            <v>0</v>
          </cell>
          <cell r="M512">
            <v>0</v>
          </cell>
          <cell r="N512">
            <v>51407</v>
          </cell>
          <cell r="O512">
            <v>-51.41</v>
          </cell>
          <cell r="P512">
            <v>0</v>
          </cell>
          <cell r="Q512">
            <v>35</v>
          </cell>
          <cell r="R512">
            <v>1.75</v>
          </cell>
          <cell r="S512">
            <v>0</v>
          </cell>
          <cell r="T512">
            <v>0</v>
          </cell>
          <cell r="U512">
            <v>0</v>
          </cell>
          <cell r="V512">
            <v>20931.580000000002</v>
          </cell>
          <cell r="W512">
            <v>20894.830000000002</v>
          </cell>
        </row>
        <row r="513">
          <cell r="A513" t="str">
            <v>Consolidated Grain &amp; Barge - Soybean Plant</v>
          </cell>
          <cell r="B513">
            <v>40</v>
          </cell>
          <cell r="C513">
            <v>37347</v>
          </cell>
          <cell r="D513">
            <v>37347</v>
          </cell>
          <cell r="E513">
            <v>48666</v>
          </cell>
          <cell r="F513">
            <v>19758.400000000001</v>
          </cell>
          <cell r="G513">
            <v>0</v>
          </cell>
          <cell r="H513">
            <v>75</v>
          </cell>
          <cell r="I513">
            <v>0</v>
          </cell>
          <cell r="J513">
            <v>0</v>
          </cell>
          <cell r="K513">
            <v>0</v>
          </cell>
          <cell r="L513">
            <v>0</v>
          </cell>
          <cell r="M513">
            <v>0</v>
          </cell>
          <cell r="N513">
            <v>48666</v>
          </cell>
          <cell r="O513">
            <v>-48.67</v>
          </cell>
          <cell r="P513">
            <v>0</v>
          </cell>
          <cell r="Q513">
            <v>35</v>
          </cell>
          <cell r="R513">
            <v>1.75</v>
          </cell>
          <cell r="S513">
            <v>0</v>
          </cell>
          <cell r="T513">
            <v>0</v>
          </cell>
          <cell r="U513">
            <v>0</v>
          </cell>
          <cell r="V513">
            <v>19821.48</v>
          </cell>
          <cell r="W513">
            <v>19784.73</v>
          </cell>
        </row>
        <row r="514">
          <cell r="A514" t="str">
            <v>Consolidated Grain &amp; Barge - Soybean Plant</v>
          </cell>
          <cell r="B514">
            <v>40</v>
          </cell>
          <cell r="C514">
            <v>37377</v>
          </cell>
          <cell r="D514">
            <v>37377</v>
          </cell>
          <cell r="E514">
            <v>47680</v>
          </cell>
          <cell r="F514">
            <v>19358.080000000002</v>
          </cell>
          <cell r="G514">
            <v>0</v>
          </cell>
          <cell r="H514">
            <v>75</v>
          </cell>
          <cell r="I514">
            <v>0</v>
          </cell>
          <cell r="J514">
            <v>0</v>
          </cell>
          <cell r="K514">
            <v>0</v>
          </cell>
          <cell r="L514">
            <v>0</v>
          </cell>
          <cell r="M514">
            <v>0</v>
          </cell>
          <cell r="N514">
            <v>0</v>
          </cell>
          <cell r="O514">
            <v>0</v>
          </cell>
          <cell r="P514">
            <v>0</v>
          </cell>
          <cell r="Q514">
            <v>35</v>
          </cell>
          <cell r="R514">
            <v>1.75</v>
          </cell>
          <cell r="S514">
            <v>0</v>
          </cell>
          <cell r="T514">
            <v>0</v>
          </cell>
          <cell r="U514">
            <v>0</v>
          </cell>
          <cell r="V514">
            <v>19469.830000000002</v>
          </cell>
          <cell r="W514">
            <v>19433.080000000002</v>
          </cell>
        </row>
        <row r="515">
          <cell r="A515" t="str">
            <v>Consolidated Grain &amp; Barge - Soybean Plant</v>
          </cell>
          <cell r="B515">
            <v>40</v>
          </cell>
          <cell r="C515">
            <v>37408</v>
          </cell>
          <cell r="D515">
            <v>37408</v>
          </cell>
          <cell r="E515">
            <v>44943</v>
          </cell>
          <cell r="F515">
            <v>18246.86</v>
          </cell>
          <cell r="G515">
            <v>0</v>
          </cell>
          <cell r="H515">
            <v>75</v>
          </cell>
          <cell r="I515">
            <v>0</v>
          </cell>
          <cell r="J515">
            <v>0</v>
          </cell>
          <cell r="K515">
            <v>0</v>
          </cell>
          <cell r="L515">
            <v>0</v>
          </cell>
          <cell r="M515">
            <v>0</v>
          </cell>
          <cell r="N515">
            <v>0</v>
          </cell>
          <cell r="O515">
            <v>0</v>
          </cell>
          <cell r="P515">
            <v>0</v>
          </cell>
          <cell r="Q515">
            <v>35</v>
          </cell>
          <cell r="R515">
            <v>1.75</v>
          </cell>
          <cell r="S515">
            <v>0</v>
          </cell>
          <cell r="T515">
            <v>0</v>
          </cell>
          <cell r="U515">
            <v>0</v>
          </cell>
          <cell r="V515">
            <v>18358.61</v>
          </cell>
          <cell r="W515">
            <v>18321.86</v>
          </cell>
        </row>
        <row r="516">
          <cell r="A516" t="str">
            <v>Consolidated Grain &amp; Barge - Soybean Plant</v>
          </cell>
          <cell r="B516">
            <v>40</v>
          </cell>
          <cell r="C516">
            <v>37438</v>
          </cell>
          <cell r="D516">
            <v>37438</v>
          </cell>
          <cell r="E516">
            <v>37310</v>
          </cell>
          <cell r="F516">
            <v>15147.86</v>
          </cell>
          <cell r="G516">
            <v>0</v>
          </cell>
          <cell r="H516">
            <v>75</v>
          </cell>
          <cell r="I516">
            <v>0</v>
          </cell>
          <cell r="J516">
            <v>0</v>
          </cell>
          <cell r="K516">
            <v>0</v>
          </cell>
          <cell r="L516">
            <v>0</v>
          </cell>
          <cell r="M516">
            <v>0</v>
          </cell>
          <cell r="N516">
            <v>0</v>
          </cell>
          <cell r="O516">
            <v>0</v>
          </cell>
          <cell r="P516">
            <v>0</v>
          </cell>
          <cell r="Q516">
            <v>35</v>
          </cell>
          <cell r="R516">
            <v>1.75</v>
          </cell>
          <cell r="S516">
            <v>0</v>
          </cell>
          <cell r="T516">
            <v>0</v>
          </cell>
          <cell r="U516">
            <v>0</v>
          </cell>
          <cell r="V516">
            <v>15259.61</v>
          </cell>
          <cell r="W516">
            <v>15222.86</v>
          </cell>
        </row>
        <row r="517">
          <cell r="A517" t="str">
            <v>Consolidated Grain &amp; Barge - Soybean Plant</v>
          </cell>
          <cell r="B517">
            <v>40</v>
          </cell>
          <cell r="C517">
            <v>37469</v>
          </cell>
          <cell r="D517">
            <v>37469</v>
          </cell>
          <cell r="E517">
            <v>35000</v>
          </cell>
          <cell r="F517">
            <v>14210</v>
          </cell>
          <cell r="G517">
            <v>0</v>
          </cell>
          <cell r="H517">
            <v>75</v>
          </cell>
          <cell r="I517">
            <v>0</v>
          </cell>
          <cell r="J517">
            <v>0</v>
          </cell>
          <cell r="K517">
            <v>0</v>
          </cell>
          <cell r="L517">
            <v>0</v>
          </cell>
          <cell r="M517">
            <v>0</v>
          </cell>
          <cell r="N517">
            <v>0</v>
          </cell>
          <cell r="O517">
            <v>0</v>
          </cell>
          <cell r="P517">
            <v>0</v>
          </cell>
          <cell r="Q517">
            <v>35</v>
          </cell>
          <cell r="R517">
            <v>1.75</v>
          </cell>
          <cell r="S517">
            <v>0</v>
          </cell>
          <cell r="T517">
            <v>0</v>
          </cell>
          <cell r="U517">
            <v>0</v>
          </cell>
          <cell r="V517">
            <v>14321.75</v>
          </cell>
          <cell r="W517">
            <v>14285</v>
          </cell>
        </row>
        <row r="518">
          <cell r="A518" t="str">
            <v>Consolidated Grain &amp; Barge - Soybean Plant</v>
          </cell>
          <cell r="B518">
            <v>40</v>
          </cell>
          <cell r="C518">
            <v>37500</v>
          </cell>
          <cell r="D518">
            <v>37500</v>
          </cell>
          <cell r="E518">
            <v>35010</v>
          </cell>
          <cell r="F518">
            <v>14214.06</v>
          </cell>
          <cell r="G518">
            <v>0</v>
          </cell>
          <cell r="H518">
            <v>75</v>
          </cell>
          <cell r="I518">
            <v>0</v>
          </cell>
          <cell r="J518">
            <v>0</v>
          </cell>
          <cell r="K518">
            <v>0</v>
          </cell>
          <cell r="L518">
            <v>0</v>
          </cell>
          <cell r="M518">
            <v>0</v>
          </cell>
          <cell r="N518">
            <v>0</v>
          </cell>
          <cell r="O518">
            <v>0</v>
          </cell>
          <cell r="P518">
            <v>0</v>
          </cell>
          <cell r="Q518">
            <v>35</v>
          </cell>
          <cell r="R518">
            <v>1.75</v>
          </cell>
          <cell r="S518">
            <v>0</v>
          </cell>
          <cell r="T518">
            <v>0</v>
          </cell>
          <cell r="U518">
            <v>0</v>
          </cell>
          <cell r="V518">
            <v>14325.81</v>
          </cell>
          <cell r="W518">
            <v>14289.06</v>
          </cell>
        </row>
        <row r="519">
          <cell r="A519" t="str">
            <v>Consolidated Grain &amp; Barge - Soybean Plant</v>
          </cell>
          <cell r="B519">
            <v>40</v>
          </cell>
          <cell r="C519">
            <v>37530</v>
          </cell>
          <cell r="D519">
            <v>37530</v>
          </cell>
          <cell r="E519">
            <v>45000</v>
          </cell>
          <cell r="F519">
            <v>18270</v>
          </cell>
          <cell r="G519">
            <v>0</v>
          </cell>
          <cell r="H519">
            <v>75</v>
          </cell>
          <cell r="I519">
            <v>0</v>
          </cell>
          <cell r="J519">
            <v>0</v>
          </cell>
          <cell r="K519">
            <v>0</v>
          </cell>
          <cell r="L519">
            <v>0</v>
          </cell>
          <cell r="M519">
            <v>0</v>
          </cell>
          <cell r="N519">
            <v>0</v>
          </cell>
          <cell r="O519">
            <v>0</v>
          </cell>
          <cell r="P519">
            <v>0</v>
          </cell>
          <cell r="Q519">
            <v>35</v>
          </cell>
          <cell r="R519">
            <v>1.75</v>
          </cell>
          <cell r="S519">
            <v>0</v>
          </cell>
          <cell r="T519">
            <v>0</v>
          </cell>
          <cell r="U519">
            <v>0</v>
          </cell>
          <cell r="V519">
            <v>18381.75</v>
          </cell>
          <cell r="W519">
            <v>18345</v>
          </cell>
        </row>
        <row r="520">
          <cell r="A520" t="str">
            <v>Consolidated Grain &amp; Barge - Soybean Plant</v>
          </cell>
          <cell r="B520">
            <v>40</v>
          </cell>
          <cell r="C520">
            <v>37561</v>
          </cell>
          <cell r="D520">
            <v>37561</v>
          </cell>
          <cell r="E520">
            <v>45000</v>
          </cell>
          <cell r="F520">
            <v>18270</v>
          </cell>
          <cell r="G520">
            <v>0</v>
          </cell>
          <cell r="H520">
            <v>75</v>
          </cell>
          <cell r="I520">
            <v>0</v>
          </cell>
          <cell r="J520">
            <v>0</v>
          </cell>
          <cell r="K520">
            <v>0</v>
          </cell>
          <cell r="L520">
            <v>0</v>
          </cell>
          <cell r="M520">
            <v>0</v>
          </cell>
          <cell r="N520">
            <v>0</v>
          </cell>
          <cell r="O520">
            <v>0</v>
          </cell>
          <cell r="P520">
            <v>0</v>
          </cell>
          <cell r="Q520">
            <v>35</v>
          </cell>
          <cell r="R520">
            <v>1.75</v>
          </cell>
          <cell r="S520">
            <v>0</v>
          </cell>
          <cell r="T520">
            <v>0</v>
          </cell>
          <cell r="U520">
            <v>0</v>
          </cell>
          <cell r="V520">
            <v>18381.75</v>
          </cell>
          <cell r="W520">
            <v>18345</v>
          </cell>
        </row>
        <row r="521">
          <cell r="A521" t="str">
            <v>Consolidated Grain &amp; Barge - Soybean Plant</v>
          </cell>
          <cell r="B521">
            <v>40</v>
          </cell>
          <cell r="C521">
            <v>37591</v>
          </cell>
          <cell r="D521">
            <v>37591</v>
          </cell>
          <cell r="E521">
            <v>40000</v>
          </cell>
          <cell r="F521">
            <v>16240</v>
          </cell>
          <cell r="G521">
            <v>0</v>
          </cell>
          <cell r="H521">
            <v>75</v>
          </cell>
          <cell r="I521">
            <v>0</v>
          </cell>
          <cell r="J521">
            <v>0</v>
          </cell>
          <cell r="K521">
            <v>0</v>
          </cell>
          <cell r="L521">
            <v>0</v>
          </cell>
          <cell r="M521">
            <v>0</v>
          </cell>
          <cell r="N521">
            <v>0</v>
          </cell>
          <cell r="O521">
            <v>0</v>
          </cell>
          <cell r="P521">
            <v>0</v>
          </cell>
          <cell r="Q521">
            <v>35</v>
          </cell>
          <cell r="R521">
            <v>2.1</v>
          </cell>
          <cell r="S521">
            <v>0</v>
          </cell>
          <cell r="T521">
            <v>0</v>
          </cell>
          <cell r="U521">
            <v>0</v>
          </cell>
          <cell r="V521">
            <v>16352.1</v>
          </cell>
          <cell r="W521">
            <v>16315</v>
          </cell>
        </row>
        <row r="522">
          <cell r="A522" t="str">
            <v>GAF Materials Corporation</v>
          </cell>
          <cell r="B522">
            <v>41</v>
          </cell>
          <cell r="C522">
            <v>37257</v>
          </cell>
          <cell r="D522">
            <v>37257</v>
          </cell>
          <cell r="E522">
            <v>23073</v>
          </cell>
          <cell r="F522">
            <v>9367.64</v>
          </cell>
          <cell r="G522">
            <v>0</v>
          </cell>
          <cell r="H522">
            <v>75</v>
          </cell>
          <cell r="I522">
            <v>0</v>
          </cell>
          <cell r="J522">
            <v>0</v>
          </cell>
          <cell r="K522">
            <v>0</v>
          </cell>
          <cell r="L522">
            <v>0</v>
          </cell>
          <cell r="M522">
            <v>0</v>
          </cell>
          <cell r="N522">
            <v>23073</v>
          </cell>
          <cell r="O522">
            <v>69.22</v>
          </cell>
          <cell r="P522">
            <v>0</v>
          </cell>
          <cell r="Q522">
            <v>35</v>
          </cell>
          <cell r="R522">
            <v>1.75</v>
          </cell>
          <cell r="S522">
            <v>0</v>
          </cell>
          <cell r="T522">
            <v>0</v>
          </cell>
          <cell r="U522">
            <v>0</v>
          </cell>
          <cell r="V522">
            <v>9548.61</v>
          </cell>
          <cell r="W522">
            <v>9511.86</v>
          </cell>
        </row>
        <row r="523">
          <cell r="A523" t="str">
            <v>GAF Materials Corporation</v>
          </cell>
          <cell r="B523">
            <v>41</v>
          </cell>
          <cell r="C523">
            <v>37288</v>
          </cell>
          <cell r="D523">
            <v>37288</v>
          </cell>
          <cell r="E523">
            <v>21133</v>
          </cell>
          <cell r="F523">
            <v>8580</v>
          </cell>
          <cell r="G523">
            <v>0</v>
          </cell>
          <cell r="H523">
            <v>75</v>
          </cell>
          <cell r="I523">
            <v>0</v>
          </cell>
          <cell r="J523">
            <v>0</v>
          </cell>
          <cell r="K523">
            <v>0</v>
          </cell>
          <cell r="L523">
            <v>0</v>
          </cell>
          <cell r="M523">
            <v>0</v>
          </cell>
          <cell r="N523">
            <v>21133</v>
          </cell>
          <cell r="O523">
            <v>-21.13</v>
          </cell>
          <cell r="P523">
            <v>0</v>
          </cell>
          <cell r="Q523">
            <v>35</v>
          </cell>
          <cell r="R523">
            <v>1.75</v>
          </cell>
          <cell r="S523">
            <v>0</v>
          </cell>
          <cell r="T523">
            <v>0</v>
          </cell>
          <cell r="U523">
            <v>0</v>
          </cell>
          <cell r="V523">
            <v>8670.6200000000008</v>
          </cell>
          <cell r="W523">
            <v>8633.8700000000008</v>
          </cell>
        </row>
        <row r="524">
          <cell r="A524" t="str">
            <v>GAF Materials Corporation</v>
          </cell>
          <cell r="B524">
            <v>41</v>
          </cell>
          <cell r="C524">
            <v>37316</v>
          </cell>
          <cell r="D524">
            <v>37316</v>
          </cell>
          <cell r="E524">
            <v>22600</v>
          </cell>
          <cell r="F524">
            <v>9175.6</v>
          </cell>
          <cell r="G524">
            <v>0</v>
          </cell>
          <cell r="H524">
            <v>75</v>
          </cell>
          <cell r="I524">
            <v>0</v>
          </cell>
          <cell r="J524">
            <v>0</v>
          </cell>
          <cell r="K524">
            <v>0</v>
          </cell>
          <cell r="L524">
            <v>0</v>
          </cell>
          <cell r="M524">
            <v>0</v>
          </cell>
          <cell r="N524">
            <v>22600</v>
          </cell>
          <cell r="O524">
            <v>-22.6</v>
          </cell>
          <cell r="P524">
            <v>0</v>
          </cell>
          <cell r="Q524">
            <v>35</v>
          </cell>
          <cell r="R524">
            <v>1.75</v>
          </cell>
          <cell r="S524">
            <v>0</v>
          </cell>
          <cell r="T524">
            <v>0</v>
          </cell>
          <cell r="U524">
            <v>0</v>
          </cell>
          <cell r="V524">
            <v>9264.75</v>
          </cell>
          <cell r="W524">
            <v>9228</v>
          </cell>
        </row>
        <row r="525">
          <cell r="A525" t="str">
            <v>GAF Materials Corporation</v>
          </cell>
          <cell r="B525">
            <v>41</v>
          </cell>
          <cell r="C525">
            <v>37347</v>
          </cell>
          <cell r="D525">
            <v>37347</v>
          </cell>
          <cell r="E525">
            <v>20653</v>
          </cell>
          <cell r="F525">
            <v>8385.1200000000008</v>
          </cell>
          <cell r="G525">
            <v>0</v>
          </cell>
          <cell r="H525">
            <v>75</v>
          </cell>
          <cell r="I525">
            <v>0</v>
          </cell>
          <cell r="J525">
            <v>0</v>
          </cell>
          <cell r="K525">
            <v>0</v>
          </cell>
          <cell r="L525">
            <v>0</v>
          </cell>
          <cell r="M525">
            <v>0</v>
          </cell>
          <cell r="N525">
            <v>20653</v>
          </cell>
          <cell r="O525">
            <v>-20.65</v>
          </cell>
          <cell r="P525">
            <v>0</v>
          </cell>
          <cell r="Q525">
            <v>35</v>
          </cell>
          <cell r="R525">
            <v>1.75</v>
          </cell>
          <cell r="S525">
            <v>0</v>
          </cell>
          <cell r="T525">
            <v>0</v>
          </cell>
          <cell r="U525">
            <v>0</v>
          </cell>
          <cell r="V525">
            <v>8476.2199999999993</v>
          </cell>
          <cell r="W525">
            <v>8439.4699999999993</v>
          </cell>
        </row>
        <row r="526">
          <cell r="A526" t="str">
            <v>GAF Materials Corporation</v>
          </cell>
          <cell r="B526">
            <v>41</v>
          </cell>
          <cell r="C526">
            <v>37377</v>
          </cell>
          <cell r="D526">
            <v>37377</v>
          </cell>
          <cell r="E526">
            <v>20894</v>
          </cell>
          <cell r="F526">
            <v>8482.9599999999991</v>
          </cell>
          <cell r="G526">
            <v>0</v>
          </cell>
          <cell r="H526">
            <v>75</v>
          </cell>
          <cell r="I526">
            <v>0</v>
          </cell>
          <cell r="J526">
            <v>0</v>
          </cell>
          <cell r="K526">
            <v>0</v>
          </cell>
          <cell r="L526">
            <v>0</v>
          </cell>
          <cell r="M526">
            <v>0</v>
          </cell>
          <cell r="N526">
            <v>0</v>
          </cell>
          <cell r="O526">
            <v>0</v>
          </cell>
          <cell r="P526">
            <v>0</v>
          </cell>
          <cell r="Q526">
            <v>35</v>
          </cell>
          <cell r="R526">
            <v>1.75</v>
          </cell>
          <cell r="S526">
            <v>0</v>
          </cell>
          <cell r="T526">
            <v>0</v>
          </cell>
          <cell r="U526">
            <v>0</v>
          </cell>
          <cell r="V526">
            <v>8594.7099999999991</v>
          </cell>
          <cell r="W526">
            <v>8557.9599999999991</v>
          </cell>
        </row>
        <row r="527">
          <cell r="A527" t="str">
            <v>GAF Materials Corporation</v>
          </cell>
          <cell r="B527">
            <v>41</v>
          </cell>
          <cell r="C527">
            <v>37408</v>
          </cell>
          <cell r="D527">
            <v>37408</v>
          </cell>
          <cell r="E527">
            <v>8400</v>
          </cell>
          <cell r="F527">
            <v>3410.4</v>
          </cell>
          <cell r="G527">
            <v>0</v>
          </cell>
          <cell r="H527">
            <v>75</v>
          </cell>
          <cell r="I527">
            <v>0</v>
          </cell>
          <cell r="J527">
            <v>0</v>
          </cell>
          <cell r="K527">
            <v>0</v>
          </cell>
          <cell r="L527">
            <v>0</v>
          </cell>
          <cell r="M527">
            <v>0</v>
          </cell>
          <cell r="N527">
            <v>0</v>
          </cell>
          <cell r="O527">
            <v>0</v>
          </cell>
          <cell r="P527">
            <v>0</v>
          </cell>
          <cell r="Q527">
            <v>35</v>
          </cell>
          <cell r="R527">
            <v>1.75</v>
          </cell>
          <cell r="S527">
            <v>0</v>
          </cell>
          <cell r="T527">
            <v>0</v>
          </cell>
          <cell r="U527">
            <v>0</v>
          </cell>
          <cell r="V527">
            <v>3522.15</v>
          </cell>
          <cell r="W527">
            <v>3485.4</v>
          </cell>
        </row>
        <row r="528">
          <cell r="A528" t="str">
            <v>GAF Materials Corporation</v>
          </cell>
          <cell r="B528">
            <v>41</v>
          </cell>
          <cell r="C528">
            <v>37438</v>
          </cell>
          <cell r="D528">
            <v>37438</v>
          </cell>
          <cell r="E528">
            <v>15330</v>
          </cell>
          <cell r="F528">
            <v>6223.98</v>
          </cell>
          <cell r="G528">
            <v>0</v>
          </cell>
          <cell r="H528">
            <v>75</v>
          </cell>
          <cell r="I528">
            <v>0</v>
          </cell>
          <cell r="J528">
            <v>0</v>
          </cell>
          <cell r="K528">
            <v>0</v>
          </cell>
          <cell r="L528">
            <v>0</v>
          </cell>
          <cell r="M528">
            <v>0</v>
          </cell>
          <cell r="N528">
            <v>0</v>
          </cell>
          <cell r="O528">
            <v>0</v>
          </cell>
          <cell r="P528">
            <v>0</v>
          </cell>
          <cell r="Q528">
            <v>35</v>
          </cell>
          <cell r="R528">
            <v>1.75</v>
          </cell>
          <cell r="S528">
            <v>0</v>
          </cell>
          <cell r="T528">
            <v>0</v>
          </cell>
          <cell r="U528">
            <v>0</v>
          </cell>
          <cell r="V528">
            <v>6335.73</v>
          </cell>
          <cell r="W528">
            <v>6298.98</v>
          </cell>
        </row>
        <row r="529">
          <cell r="A529" t="str">
            <v>GAF Materials Corporation</v>
          </cell>
          <cell r="B529">
            <v>41</v>
          </cell>
          <cell r="C529">
            <v>37469</v>
          </cell>
          <cell r="D529">
            <v>37469</v>
          </cell>
          <cell r="E529">
            <v>19101</v>
          </cell>
          <cell r="F529">
            <v>7755.01</v>
          </cell>
          <cell r="G529">
            <v>0</v>
          </cell>
          <cell r="H529">
            <v>75</v>
          </cell>
          <cell r="I529">
            <v>0</v>
          </cell>
          <cell r="J529">
            <v>0</v>
          </cell>
          <cell r="K529">
            <v>0</v>
          </cell>
          <cell r="L529">
            <v>0</v>
          </cell>
          <cell r="M529">
            <v>0</v>
          </cell>
          <cell r="N529">
            <v>0</v>
          </cell>
          <cell r="O529">
            <v>0</v>
          </cell>
          <cell r="P529">
            <v>0</v>
          </cell>
          <cell r="Q529">
            <v>35</v>
          </cell>
          <cell r="R529">
            <v>1.75</v>
          </cell>
          <cell r="S529">
            <v>0</v>
          </cell>
          <cell r="T529">
            <v>0</v>
          </cell>
          <cell r="U529">
            <v>0</v>
          </cell>
          <cell r="V529">
            <v>7866.76</v>
          </cell>
          <cell r="W529">
            <v>7830.01</v>
          </cell>
        </row>
        <row r="530">
          <cell r="A530" t="str">
            <v>GAF Materials Corporation</v>
          </cell>
          <cell r="B530">
            <v>41</v>
          </cell>
          <cell r="C530">
            <v>37500</v>
          </cell>
          <cell r="D530">
            <v>37500</v>
          </cell>
          <cell r="E530">
            <v>19375</v>
          </cell>
          <cell r="F530">
            <v>7866.25</v>
          </cell>
          <cell r="G530">
            <v>0</v>
          </cell>
          <cell r="H530">
            <v>75</v>
          </cell>
          <cell r="I530">
            <v>0</v>
          </cell>
          <cell r="J530">
            <v>0</v>
          </cell>
          <cell r="K530">
            <v>0</v>
          </cell>
          <cell r="L530">
            <v>0</v>
          </cell>
          <cell r="M530">
            <v>0</v>
          </cell>
          <cell r="N530">
            <v>0</v>
          </cell>
          <cell r="O530">
            <v>0</v>
          </cell>
          <cell r="P530">
            <v>0</v>
          </cell>
          <cell r="Q530">
            <v>35</v>
          </cell>
          <cell r="R530">
            <v>1.75</v>
          </cell>
          <cell r="S530">
            <v>0</v>
          </cell>
          <cell r="T530">
            <v>0</v>
          </cell>
          <cell r="U530">
            <v>0</v>
          </cell>
          <cell r="V530">
            <v>7978</v>
          </cell>
          <cell r="W530">
            <v>7941.25</v>
          </cell>
        </row>
        <row r="531">
          <cell r="A531" t="str">
            <v>GAF Materials Corporation</v>
          </cell>
          <cell r="B531">
            <v>41</v>
          </cell>
          <cell r="C531">
            <v>37530</v>
          </cell>
          <cell r="D531">
            <v>37530</v>
          </cell>
          <cell r="E531">
            <v>20165</v>
          </cell>
          <cell r="F531">
            <v>8186.99</v>
          </cell>
          <cell r="G531">
            <v>0</v>
          </cell>
          <cell r="H531">
            <v>75</v>
          </cell>
          <cell r="I531">
            <v>0</v>
          </cell>
          <cell r="J531">
            <v>0</v>
          </cell>
          <cell r="K531">
            <v>0</v>
          </cell>
          <cell r="L531">
            <v>0</v>
          </cell>
          <cell r="M531">
            <v>0</v>
          </cell>
          <cell r="N531">
            <v>0</v>
          </cell>
          <cell r="O531">
            <v>0</v>
          </cell>
          <cell r="P531">
            <v>0</v>
          </cell>
          <cell r="Q531">
            <v>35</v>
          </cell>
          <cell r="R531">
            <v>1.75</v>
          </cell>
          <cell r="S531">
            <v>0</v>
          </cell>
          <cell r="T531">
            <v>0</v>
          </cell>
          <cell r="U531">
            <v>0</v>
          </cell>
          <cell r="V531">
            <v>8298.74</v>
          </cell>
          <cell r="W531">
            <v>8261.99</v>
          </cell>
        </row>
        <row r="532">
          <cell r="A532" t="str">
            <v>GAF Materials Corporation</v>
          </cell>
          <cell r="B532">
            <v>41</v>
          </cell>
          <cell r="C532">
            <v>37561</v>
          </cell>
          <cell r="D532">
            <v>37561</v>
          </cell>
          <cell r="E532">
            <v>20453</v>
          </cell>
          <cell r="F532">
            <v>8303.92</v>
          </cell>
          <cell r="G532">
            <v>0</v>
          </cell>
          <cell r="H532">
            <v>75</v>
          </cell>
          <cell r="I532">
            <v>0</v>
          </cell>
          <cell r="J532">
            <v>0</v>
          </cell>
          <cell r="K532">
            <v>0</v>
          </cell>
          <cell r="L532">
            <v>0</v>
          </cell>
          <cell r="M532">
            <v>0</v>
          </cell>
          <cell r="N532">
            <v>0</v>
          </cell>
          <cell r="O532">
            <v>0</v>
          </cell>
          <cell r="P532">
            <v>0</v>
          </cell>
          <cell r="Q532">
            <v>35</v>
          </cell>
          <cell r="R532">
            <v>3354</v>
          </cell>
          <cell r="S532">
            <v>106028.35</v>
          </cell>
          <cell r="T532">
            <v>20453</v>
          </cell>
          <cell r="U532">
            <v>106028.35</v>
          </cell>
          <cell r="V532">
            <v>117796.27</v>
          </cell>
          <cell r="W532">
            <v>8378.92</v>
          </cell>
        </row>
        <row r="533">
          <cell r="A533" t="str">
            <v>Azteca Milling Company</v>
          </cell>
          <cell r="B533">
            <v>42</v>
          </cell>
          <cell r="C533">
            <v>37257</v>
          </cell>
          <cell r="D533">
            <v>37257</v>
          </cell>
          <cell r="E533">
            <v>30008</v>
          </cell>
          <cell r="F533">
            <v>12183.25</v>
          </cell>
          <cell r="G533">
            <v>0</v>
          </cell>
          <cell r="H533">
            <v>75</v>
          </cell>
          <cell r="I533">
            <v>0</v>
          </cell>
          <cell r="J533">
            <v>0</v>
          </cell>
          <cell r="K533">
            <v>0</v>
          </cell>
          <cell r="L533">
            <v>0</v>
          </cell>
          <cell r="M533">
            <v>0</v>
          </cell>
          <cell r="N533">
            <v>30008</v>
          </cell>
          <cell r="O533">
            <v>90.02</v>
          </cell>
          <cell r="P533">
            <v>0</v>
          </cell>
          <cell r="Q533">
            <v>35</v>
          </cell>
          <cell r="R533">
            <v>1.75</v>
          </cell>
          <cell r="S533">
            <v>0</v>
          </cell>
          <cell r="T533">
            <v>0</v>
          </cell>
          <cell r="U533">
            <v>0</v>
          </cell>
          <cell r="V533">
            <v>12385.02</v>
          </cell>
          <cell r="W533">
            <v>12348.27</v>
          </cell>
        </row>
        <row r="534">
          <cell r="A534" t="str">
            <v>Azteca Milling Company</v>
          </cell>
          <cell r="B534">
            <v>42</v>
          </cell>
          <cell r="C534">
            <v>37288</v>
          </cell>
          <cell r="D534">
            <v>37288</v>
          </cell>
          <cell r="E534">
            <v>30000</v>
          </cell>
          <cell r="F534">
            <v>12180</v>
          </cell>
          <cell r="G534">
            <v>0</v>
          </cell>
          <cell r="H534">
            <v>75</v>
          </cell>
          <cell r="I534">
            <v>0</v>
          </cell>
          <cell r="J534">
            <v>0</v>
          </cell>
          <cell r="K534">
            <v>0</v>
          </cell>
          <cell r="L534">
            <v>0</v>
          </cell>
          <cell r="M534">
            <v>0</v>
          </cell>
          <cell r="N534">
            <v>30000</v>
          </cell>
          <cell r="O534">
            <v>-30</v>
          </cell>
          <cell r="P534">
            <v>0</v>
          </cell>
          <cell r="Q534">
            <v>35</v>
          </cell>
          <cell r="R534">
            <v>1.75</v>
          </cell>
          <cell r="S534">
            <v>0</v>
          </cell>
          <cell r="T534">
            <v>0</v>
          </cell>
          <cell r="U534">
            <v>0</v>
          </cell>
          <cell r="V534">
            <v>12261.75</v>
          </cell>
          <cell r="W534">
            <v>12225</v>
          </cell>
        </row>
        <row r="535">
          <cell r="A535" t="str">
            <v>Azteca Milling Company</v>
          </cell>
          <cell r="B535">
            <v>42</v>
          </cell>
          <cell r="C535">
            <v>37316</v>
          </cell>
          <cell r="D535">
            <v>37316</v>
          </cell>
          <cell r="E535">
            <v>30008</v>
          </cell>
          <cell r="F535">
            <v>12183.25</v>
          </cell>
          <cell r="G535">
            <v>0</v>
          </cell>
          <cell r="H535">
            <v>75</v>
          </cell>
          <cell r="I535">
            <v>0</v>
          </cell>
          <cell r="J535">
            <v>0</v>
          </cell>
          <cell r="K535">
            <v>0</v>
          </cell>
          <cell r="L535">
            <v>0</v>
          </cell>
          <cell r="M535">
            <v>0</v>
          </cell>
          <cell r="N535">
            <v>30008</v>
          </cell>
          <cell r="O535">
            <v>-30.01</v>
          </cell>
          <cell r="P535">
            <v>0</v>
          </cell>
          <cell r="Q535">
            <v>35</v>
          </cell>
          <cell r="R535">
            <v>1.75</v>
          </cell>
          <cell r="S535">
            <v>0</v>
          </cell>
          <cell r="T535">
            <v>0</v>
          </cell>
          <cell r="U535">
            <v>0</v>
          </cell>
          <cell r="V535">
            <v>12264.99</v>
          </cell>
          <cell r="W535">
            <v>12228.24</v>
          </cell>
        </row>
        <row r="536">
          <cell r="A536" t="str">
            <v>Azteca Milling Company</v>
          </cell>
          <cell r="B536">
            <v>42</v>
          </cell>
          <cell r="C536">
            <v>37347</v>
          </cell>
          <cell r="D536">
            <v>37347</v>
          </cell>
          <cell r="E536">
            <v>34129</v>
          </cell>
          <cell r="F536">
            <v>13856.37</v>
          </cell>
          <cell r="G536">
            <v>0</v>
          </cell>
          <cell r="H536">
            <v>75</v>
          </cell>
          <cell r="I536">
            <v>0</v>
          </cell>
          <cell r="J536">
            <v>0</v>
          </cell>
          <cell r="K536">
            <v>0</v>
          </cell>
          <cell r="L536">
            <v>0</v>
          </cell>
          <cell r="M536">
            <v>0</v>
          </cell>
          <cell r="N536">
            <v>34129</v>
          </cell>
          <cell r="O536">
            <v>-34.130000000000003</v>
          </cell>
          <cell r="P536">
            <v>0</v>
          </cell>
          <cell r="Q536">
            <v>35</v>
          </cell>
          <cell r="R536">
            <v>1.75</v>
          </cell>
          <cell r="S536">
            <v>0</v>
          </cell>
          <cell r="T536">
            <v>0</v>
          </cell>
          <cell r="U536">
            <v>0</v>
          </cell>
          <cell r="V536">
            <v>13933.99</v>
          </cell>
          <cell r="W536">
            <v>13897.24</v>
          </cell>
        </row>
        <row r="537">
          <cell r="A537" t="str">
            <v>Azteca Milling Company</v>
          </cell>
          <cell r="B537">
            <v>42</v>
          </cell>
          <cell r="C537">
            <v>37377</v>
          </cell>
          <cell r="D537">
            <v>37377</v>
          </cell>
          <cell r="E537">
            <v>34000</v>
          </cell>
          <cell r="F537">
            <v>13804</v>
          </cell>
          <cell r="G537">
            <v>0</v>
          </cell>
          <cell r="H537">
            <v>75</v>
          </cell>
          <cell r="I537">
            <v>0</v>
          </cell>
          <cell r="J537">
            <v>0</v>
          </cell>
          <cell r="K537">
            <v>0</v>
          </cell>
          <cell r="L537">
            <v>0</v>
          </cell>
          <cell r="M537">
            <v>0</v>
          </cell>
          <cell r="N537">
            <v>0</v>
          </cell>
          <cell r="O537">
            <v>0</v>
          </cell>
          <cell r="P537">
            <v>0</v>
          </cell>
          <cell r="Q537">
            <v>35</v>
          </cell>
          <cell r="R537">
            <v>1.75</v>
          </cell>
          <cell r="S537">
            <v>0</v>
          </cell>
          <cell r="T537">
            <v>0</v>
          </cell>
          <cell r="U537">
            <v>0</v>
          </cell>
          <cell r="V537">
            <v>13915.75</v>
          </cell>
          <cell r="W537">
            <v>13879</v>
          </cell>
        </row>
        <row r="538">
          <cell r="A538" t="str">
            <v>Azteca Milling Company</v>
          </cell>
          <cell r="B538">
            <v>42</v>
          </cell>
          <cell r="C538">
            <v>37408</v>
          </cell>
          <cell r="D538">
            <v>37408</v>
          </cell>
          <cell r="E538">
            <v>30000</v>
          </cell>
          <cell r="F538">
            <v>12180</v>
          </cell>
          <cell r="G538">
            <v>0</v>
          </cell>
          <cell r="H538">
            <v>75</v>
          </cell>
          <cell r="I538">
            <v>0</v>
          </cell>
          <cell r="J538">
            <v>0</v>
          </cell>
          <cell r="K538">
            <v>0</v>
          </cell>
          <cell r="L538">
            <v>0</v>
          </cell>
          <cell r="M538">
            <v>0</v>
          </cell>
          <cell r="N538">
            <v>0</v>
          </cell>
          <cell r="O538">
            <v>0</v>
          </cell>
          <cell r="P538">
            <v>0</v>
          </cell>
          <cell r="Q538">
            <v>35</v>
          </cell>
          <cell r="R538">
            <v>1.75</v>
          </cell>
          <cell r="S538">
            <v>0</v>
          </cell>
          <cell r="T538">
            <v>0</v>
          </cell>
          <cell r="U538">
            <v>0</v>
          </cell>
          <cell r="V538">
            <v>12291.75</v>
          </cell>
          <cell r="W538">
            <v>12255</v>
          </cell>
        </row>
        <row r="539">
          <cell r="A539" t="str">
            <v>Azteca Milling Company</v>
          </cell>
          <cell r="B539">
            <v>42</v>
          </cell>
          <cell r="C539">
            <v>37438</v>
          </cell>
          <cell r="D539">
            <v>37438</v>
          </cell>
          <cell r="E539">
            <v>31400</v>
          </cell>
          <cell r="F539">
            <v>12748.4</v>
          </cell>
          <cell r="G539">
            <v>0</v>
          </cell>
          <cell r="H539">
            <v>75</v>
          </cell>
          <cell r="I539">
            <v>0</v>
          </cell>
          <cell r="J539">
            <v>0</v>
          </cell>
          <cell r="K539">
            <v>0</v>
          </cell>
          <cell r="L539">
            <v>0</v>
          </cell>
          <cell r="M539">
            <v>0</v>
          </cell>
          <cell r="N539">
            <v>0</v>
          </cell>
          <cell r="O539">
            <v>0</v>
          </cell>
          <cell r="P539">
            <v>0</v>
          </cell>
          <cell r="Q539">
            <v>35</v>
          </cell>
          <cell r="R539">
            <v>1.75</v>
          </cell>
          <cell r="S539">
            <v>0</v>
          </cell>
          <cell r="T539">
            <v>0</v>
          </cell>
          <cell r="U539">
            <v>0</v>
          </cell>
          <cell r="V539">
            <v>12860.15</v>
          </cell>
          <cell r="W539">
            <v>12823.4</v>
          </cell>
        </row>
        <row r="540">
          <cell r="A540" t="str">
            <v>Azteca Milling Company</v>
          </cell>
          <cell r="B540">
            <v>42</v>
          </cell>
          <cell r="C540">
            <v>37469</v>
          </cell>
          <cell r="D540">
            <v>37469</v>
          </cell>
          <cell r="E540">
            <v>30000</v>
          </cell>
          <cell r="F540">
            <v>12180</v>
          </cell>
          <cell r="G540">
            <v>0</v>
          </cell>
          <cell r="H540">
            <v>75</v>
          </cell>
          <cell r="I540">
            <v>0</v>
          </cell>
          <cell r="J540">
            <v>0</v>
          </cell>
          <cell r="K540">
            <v>0</v>
          </cell>
          <cell r="L540">
            <v>0</v>
          </cell>
          <cell r="M540">
            <v>0</v>
          </cell>
          <cell r="N540">
            <v>0</v>
          </cell>
          <cell r="O540">
            <v>0</v>
          </cell>
          <cell r="P540">
            <v>0</v>
          </cell>
          <cell r="Q540">
            <v>35</v>
          </cell>
          <cell r="R540">
            <v>1.75</v>
          </cell>
          <cell r="S540">
            <v>0</v>
          </cell>
          <cell r="T540">
            <v>0</v>
          </cell>
          <cell r="U540">
            <v>0</v>
          </cell>
          <cell r="V540">
            <v>12291.75</v>
          </cell>
          <cell r="W540">
            <v>12255</v>
          </cell>
        </row>
        <row r="541">
          <cell r="A541" t="str">
            <v>Azteca Milling Company</v>
          </cell>
          <cell r="B541">
            <v>42</v>
          </cell>
          <cell r="C541">
            <v>37500</v>
          </cell>
          <cell r="D541">
            <v>37500</v>
          </cell>
          <cell r="E541">
            <v>32883</v>
          </cell>
          <cell r="F541">
            <v>13350.5</v>
          </cell>
          <cell r="G541">
            <v>0</v>
          </cell>
          <cell r="H541">
            <v>75</v>
          </cell>
          <cell r="I541">
            <v>0</v>
          </cell>
          <cell r="J541">
            <v>0</v>
          </cell>
          <cell r="K541">
            <v>0</v>
          </cell>
          <cell r="L541">
            <v>0</v>
          </cell>
          <cell r="M541">
            <v>0</v>
          </cell>
          <cell r="N541">
            <v>0</v>
          </cell>
          <cell r="O541">
            <v>0</v>
          </cell>
          <cell r="P541">
            <v>0</v>
          </cell>
          <cell r="Q541">
            <v>35</v>
          </cell>
          <cell r="R541">
            <v>1.75</v>
          </cell>
          <cell r="S541">
            <v>0</v>
          </cell>
          <cell r="T541">
            <v>0</v>
          </cell>
          <cell r="U541">
            <v>0</v>
          </cell>
          <cell r="V541">
            <v>13462.25</v>
          </cell>
          <cell r="W541">
            <v>13425.5</v>
          </cell>
        </row>
        <row r="542">
          <cell r="A542" t="str">
            <v>Azteca Milling Company</v>
          </cell>
          <cell r="B542">
            <v>42</v>
          </cell>
          <cell r="C542">
            <v>37530</v>
          </cell>
          <cell r="D542">
            <v>37530</v>
          </cell>
          <cell r="E542">
            <v>34627</v>
          </cell>
          <cell r="F542">
            <v>14058.56</v>
          </cell>
          <cell r="G542">
            <v>0</v>
          </cell>
          <cell r="H542">
            <v>75</v>
          </cell>
          <cell r="I542">
            <v>0</v>
          </cell>
          <cell r="J542">
            <v>0</v>
          </cell>
          <cell r="K542">
            <v>0</v>
          </cell>
          <cell r="L542">
            <v>0</v>
          </cell>
          <cell r="M542">
            <v>0</v>
          </cell>
          <cell r="N542">
            <v>0</v>
          </cell>
          <cell r="O542">
            <v>0</v>
          </cell>
          <cell r="P542">
            <v>0</v>
          </cell>
          <cell r="Q542">
            <v>35</v>
          </cell>
          <cell r="R542">
            <v>1.75</v>
          </cell>
          <cell r="S542">
            <v>0</v>
          </cell>
          <cell r="T542">
            <v>0</v>
          </cell>
          <cell r="U542">
            <v>0</v>
          </cell>
          <cell r="V542">
            <v>14170.31</v>
          </cell>
          <cell r="W542">
            <v>14133.56</v>
          </cell>
        </row>
        <row r="543">
          <cell r="A543" t="str">
            <v>Azteca Milling Company</v>
          </cell>
          <cell r="B543">
            <v>42</v>
          </cell>
          <cell r="C543">
            <v>37561</v>
          </cell>
          <cell r="D543">
            <v>37561</v>
          </cell>
          <cell r="E543">
            <v>36143</v>
          </cell>
          <cell r="F543">
            <v>14674.06</v>
          </cell>
          <cell r="G543">
            <v>0</v>
          </cell>
          <cell r="H543">
            <v>75</v>
          </cell>
          <cell r="I543">
            <v>0</v>
          </cell>
          <cell r="J543">
            <v>0</v>
          </cell>
          <cell r="K543">
            <v>0</v>
          </cell>
          <cell r="L543">
            <v>0</v>
          </cell>
          <cell r="M543">
            <v>0</v>
          </cell>
          <cell r="N543">
            <v>0</v>
          </cell>
          <cell r="O543">
            <v>0</v>
          </cell>
          <cell r="P543">
            <v>0</v>
          </cell>
          <cell r="Q543">
            <v>35</v>
          </cell>
          <cell r="R543">
            <v>25.19</v>
          </cell>
          <cell r="S543">
            <v>741.31</v>
          </cell>
          <cell r="T543">
            <v>143</v>
          </cell>
          <cell r="U543">
            <v>741.31</v>
          </cell>
          <cell r="V543">
            <v>15550.56</v>
          </cell>
          <cell r="W543">
            <v>14749.06</v>
          </cell>
        </row>
        <row r="544">
          <cell r="A544" t="str">
            <v>Azteca Milling Company</v>
          </cell>
          <cell r="B544">
            <v>42</v>
          </cell>
          <cell r="C544">
            <v>37591</v>
          </cell>
          <cell r="D544">
            <v>37591</v>
          </cell>
          <cell r="E544">
            <v>40046</v>
          </cell>
          <cell r="F544">
            <v>16258.68</v>
          </cell>
          <cell r="G544">
            <v>0</v>
          </cell>
          <cell r="H544">
            <v>75</v>
          </cell>
          <cell r="I544">
            <v>0</v>
          </cell>
          <cell r="J544">
            <v>0</v>
          </cell>
          <cell r="K544">
            <v>0</v>
          </cell>
          <cell r="L544">
            <v>0</v>
          </cell>
          <cell r="M544">
            <v>0</v>
          </cell>
          <cell r="N544">
            <v>0</v>
          </cell>
          <cell r="O544">
            <v>0</v>
          </cell>
          <cell r="P544">
            <v>0</v>
          </cell>
          <cell r="Q544">
            <v>35</v>
          </cell>
          <cell r="R544">
            <v>2.1</v>
          </cell>
          <cell r="S544">
            <v>0</v>
          </cell>
          <cell r="T544">
            <v>0</v>
          </cell>
          <cell r="U544">
            <v>0</v>
          </cell>
          <cell r="V544">
            <v>16370.78</v>
          </cell>
          <cell r="W544">
            <v>16333.68</v>
          </cell>
        </row>
        <row r="545">
          <cell r="A545" t="str">
            <v>Mead Johnson – Evansville Plant</v>
          </cell>
          <cell r="B545">
            <v>43</v>
          </cell>
          <cell r="C545">
            <v>37257</v>
          </cell>
          <cell r="D545">
            <v>37257</v>
          </cell>
          <cell r="E545">
            <v>51000</v>
          </cell>
          <cell r="F545">
            <v>8670</v>
          </cell>
          <cell r="G545">
            <v>0</v>
          </cell>
          <cell r="H545">
            <v>75</v>
          </cell>
          <cell r="I545">
            <v>0</v>
          </cell>
          <cell r="J545">
            <v>0</v>
          </cell>
          <cell r="K545">
            <v>0</v>
          </cell>
          <cell r="L545">
            <v>0</v>
          </cell>
          <cell r="M545">
            <v>0</v>
          </cell>
          <cell r="N545">
            <v>51000</v>
          </cell>
          <cell r="O545">
            <v>153</v>
          </cell>
          <cell r="P545">
            <v>0</v>
          </cell>
          <cell r="Q545">
            <v>35</v>
          </cell>
          <cell r="R545">
            <v>1.75</v>
          </cell>
          <cell r="S545">
            <v>0</v>
          </cell>
          <cell r="T545">
            <v>0</v>
          </cell>
          <cell r="U545">
            <v>0</v>
          </cell>
          <cell r="V545">
            <v>8934.75</v>
          </cell>
          <cell r="W545">
            <v>8898</v>
          </cell>
        </row>
        <row r="546">
          <cell r="A546" t="str">
            <v>Mead Johnson – Evansville Plant</v>
          </cell>
          <cell r="B546">
            <v>43</v>
          </cell>
          <cell r="C546">
            <v>37288</v>
          </cell>
          <cell r="D546">
            <v>37288</v>
          </cell>
          <cell r="E546">
            <v>50000</v>
          </cell>
          <cell r="F546">
            <v>8500</v>
          </cell>
          <cell r="G546">
            <v>0</v>
          </cell>
          <cell r="H546">
            <v>75</v>
          </cell>
          <cell r="I546">
            <v>0</v>
          </cell>
          <cell r="J546">
            <v>0</v>
          </cell>
          <cell r="K546">
            <v>0</v>
          </cell>
          <cell r="L546">
            <v>0</v>
          </cell>
          <cell r="M546">
            <v>0</v>
          </cell>
          <cell r="N546">
            <v>0</v>
          </cell>
          <cell r="O546">
            <v>0</v>
          </cell>
          <cell r="P546">
            <v>0</v>
          </cell>
          <cell r="Q546">
            <v>35</v>
          </cell>
          <cell r="R546">
            <v>1.75</v>
          </cell>
          <cell r="S546">
            <v>0</v>
          </cell>
          <cell r="T546">
            <v>0</v>
          </cell>
          <cell r="U546">
            <v>0</v>
          </cell>
          <cell r="V546">
            <v>8611.75</v>
          </cell>
          <cell r="W546">
            <v>8575</v>
          </cell>
        </row>
        <row r="547">
          <cell r="A547" t="str">
            <v>Mead Johnson – Evansville Plant</v>
          </cell>
          <cell r="B547">
            <v>43</v>
          </cell>
          <cell r="C547">
            <v>37316</v>
          </cell>
          <cell r="D547">
            <v>37316</v>
          </cell>
          <cell r="E547">
            <v>43493</v>
          </cell>
          <cell r="F547">
            <v>7393.81</v>
          </cell>
          <cell r="G547">
            <v>0</v>
          </cell>
          <cell r="H547">
            <v>75</v>
          </cell>
          <cell r="I547">
            <v>0</v>
          </cell>
          <cell r="J547">
            <v>0</v>
          </cell>
          <cell r="K547">
            <v>0</v>
          </cell>
          <cell r="L547">
            <v>0</v>
          </cell>
          <cell r="M547">
            <v>0</v>
          </cell>
          <cell r="N547">
            <v>0</v>
          </cell>
          <cell r="O547">
            <v>0</v>
          </cell>
          <cell r="P547">
            <v>0</v>
          </cell>
          <cell r="Q547">
            <v>35</v>
          </cell>
          <cell r="R547">
            <v>1.75</v>
          </cell>
          <cell r="S547">
            <v>0</v>
          </cell>
          <cell r="T547">
            <v>0</v>
          </cell>
          <cell r="U547">
            <v>0</v>
          </cell>
          <cell r="V547">
            <v>7505.56</v>
          </cell>
          <cell r="W547">
            <v>7468.81</v>
          </cell>
        </row>
        <row r="548">
          <cell r="A548" t="str">
            <v>Mead Johnson – Evansville Plant</v>
          </cell>
          <cell r="B548">
            <v>43</v>
          </cell>
          <cell r="C548">
            <v>37347</v>
          </cell>
          <cell r="D548">
            <v>37347</v>
          </cell>
          <cell r="E548">
            <v>43300</v>
          </cell>
          <cell r="F548">
            <v>7361</v>
          </cell>
          <cell r="G548">
            <v>0</v>
          </cell>
          <cell r="H548">
            <v>75</v>
          </cell>
          <cell r="I548">
            <v>0</v>
          </cell>
          <cell r="J548">
            <v>0</v>
          </cell>
          <cell r="K548">
            <v>0</v>
          </cell>
          <cell r="L548">
            <v>0</v>
          </cell>
          <cell r="M548">
            <v>0</v>
          </cell>
          <cell r="N548">
            <v>0</v>
          </cell>
          <cell r="O548">
            <v>0</v>
          </cell>
          <cell r="P548">
            <v>0</v>
          </cell>
          <cell r="Q548">
            <v>35</v>
          </cell>
          <cell r="R548">
            <v>1.75</v>
          </cell>
          <cell r="S548">
            <v>0</v>
          </cell>
          <cell r="T548">
            <v>0</v>
          </cell>
          <cell r="U548">
            <v>0</v>
          </cell>
          <cell r="V548">
            <v>7472.75</v>
          </cell>
          <cell r="W548">
            <v>7436</v>
          </cell>
        </row>
        <row r="549">
          <cell r="A549" t="str">
            <v>Mead Johnson – Evansville Plant</v>
          </cell>
          <cell r="B549">
            <v>43</v>
          </cell>
          <cell r="C549">
            <v>37377</v>
          </cell>
          <cell r="D549">
            <v>37377</v>
          </cell>
          <cell r="E549">
            <v>43700</v>
          </cell>
          <cell r="F549">
            <v>7429</v>
          </cell>
          <cell r="G549">
            <v>0</v>
          </cell>
          <cell r="H549">
            <v>75</v>
          </cell>
          <cell r="I549">
            <v>0</v>
          </cell>
          <cell r="J549">
            <v>0</v>
          </cell>
          <cell r="K549">
            <v>0</v>
          </cell>
          <cell r="L549">
            <v>0</v>
          </cell>
          <cell r="M549">
            <v>0</v>
          </cell>
          <cell r="N549">
            <v>0</v>
          </cell>
          <cell r="O549">
            <v>0</v>
          </cell>
          <cell r="P549">
            <v>0</v>
          </cell>
          <cell r="Q549">
            <v>35</v>
          </cell>
          <cell r="R549">
            <v>1.75</v>
          </cell>
          <cell r="S549">
            <v>0</v>
          </cell>
          <cell r="T549">
            <v>0</v>
          </cell>
          <cell r="U549">
            <v>0</v>
          </cell>
          <cell r="V549">
            <v>7540.75</v>
          </cell>
          <cell r="W549">
            <v>7504</v>
          </cell>
        </row>
        <row r="550">
          <cell r="A550" t="str">
            <v>Mead Johnson – Evansville Plant</v>
          </cell>
          <cell r="B550">
            <v>43</v>
          </cell>
          <cell r="C550">
            <v>37408</v>
          </cell>
          <cell r="D550">
            <v>37408</v>
          </cell>
          <cell r="E550">
            <v>39300</v>
          </cell>
          <cell r="F550">
            <v>6681</v>
          </cell>
          <cell r="G550">
            <v>0</v>
          </cell>
          <cell r="H550">
            <v>75</v>
          </cell>
          <cell r="I550">
            <v>0</v>
          </cell>
          <cell r="J550">
            <v>0</v>
          </cell>
          <cell r="K550">
            <v>0</v>
          </cell>
          <cell r="L550">
            <v>0</v>
          </cell>
          <cell r="M550">
            <v>0</v>
          </cell>
          <cell r="N550">
            <v>0</v>
          </cell>
          <cell r="O550">
            <v>0</v>
          </cell>
          <cell r="P550">
            <v>0</v>
          </cell>
          <cell r="Q550">
            <v>35</v>
          </cell>
          <cell r="R550">
            <v>1.75</v>
          </cell>
          <cell r="S550">
            <v>0</v>
          </cell>
          <cell r="T550">
            <v>0</v>
          </cell>
          <cell r="U550">
            <v>0</v>
          </cell>
          <cell r="V550">
            <v>6792.75</v>
          </cell>
          <cell r="W550">
            <v>6756</v>
          </cell>
        </row>
        <row r="551">
          <cell r="A551" t="str">
            <v>Mead Johnson – Evansville Plant</v>
          </cell>
          <cell r="B551">
            <v>43</v>
          </cell>
          <cell r="C551">
            <v>37438</v>
          </cell>
          <cell r="D551">
            <v>37438</v>
          </cell>
          <cell r="E551">
            <v>34000</v>
          </cell>
          <cell r="F551">
            <v>5780</v>
          </cell>
          <cell r="G551">
            <v>0</v>
          </cell>
          <cell r="H551">
            <v>75</v>
          </cell>
          <cell r="I551">
            <v>0</v>
          </cell>
          <cell r="J551">
            <v>0</v>
          </cell>
          <cell r="K551">
            <v>0</v>
          </cell>
          <cell r="L551">
            <v>0</v>
          </cell>
          <cell r="M551">
            <v>0</v>
          </cell>
          <cell r="N551">
            <v>0</v>
          </cell>
          <cell r="O551">
            <v>0</v>
          </cell>
          <cell r="P551">
            <v>0</v>
          </cell>
          <cell r="Q551">
            <v>35</v>
          </cell>
          <cell r="R551">
            <v>1.75</v>
          </cell>
          <cell r="S551">
            <v>0</v>
          </cell>
          <cell r="T551">
            <v>0</v>
          </cell>
          <cell r="U551">
            <v>0</v>
          </cell>
          <cell r="V551">
            <v>5891.75</v>
          </cell>
          <cell r="W551">
            <v>5855</v>
          </cell>
        </row>
        <row r="552">
          <cell r="A552" t="str">
            <v>Mead Johnson – Evansville Plant</v>
          </cell>
          <cell r="B552">
            <v>43</v>
          </cell>
          <cell r="C552">
            <v>37469</v>
          </cell>
          <cell r="D552">
            <v>37469</v>
          </cell>
          <cell r="E552">
            <v>33000</v>
          </cell>
          <cell r="F552">
            <v>5610</v>
          </cell>
          <cell r="G552">
            <v>0</v>
          </cell>
          <cell r="H552">
            <v>75</v>
          </cell>
          <cell r="I552">
            <v>0</v>
          </cell>
          <cell r="J552">
            <v>0</v>
          </cell>
          <cell r="K552">
            <v>0</v>
          </cell>
          <cell r="L552">
            <v>0</v>
          </cell>
          <cell r="M552">
            <v>0</v>
          </cell>
          <cell r="N552">
            <v>0</v>
          </cell>
          <cell r="O552">
            <v>0</v>
          </cell>
          <cell r="P552">
            <v>0</v>
          </cell>
          <cell r="Q552">
            <v>35</v>
          </cell>
          <cell r="R552">
            <v>1.75</v>
          </cell>
          <cell r="S552">
            <v>0</v>
          </cell>
          <cell r="T552">
            <v>0</v>
          </cell>
          <cell r="U552">
            <v>0</v>
          </cell>
          <cell r="V552">
            <v>5721.75</v>
          </cell>
          <cell r="W552">
            <v>5685</v>
          </cell>
        </row>
        <row r="553">
          <cell r="A553" t="str">
            <v>Mead Johnson – Evansville Plant</v>
          </cell>
          <cell r="B553">
            <v>43</v>
          </cell>
          <cell r="C553">
            <v>37500</v>
          </cell>
          <cell r="D553">
            <v>37500</v>
          </cell>
          <cell r="E553">
            <v>33990</v>
          </cell>
          <cell r="F553">
            <v>5778.3</v>
          </cell>
          <cell r="G553">
            <v>0</v>
          </cell>
          <cell r="H553">
            <v>75</v>
          </cell>
          <cell r="I553">
            <v>0</v>
          </cell>
          <cell r="J553">
            <v>0</v>
          </cell>
          <cell r="K553">
            <v>0</v>
          </cell>
          <cell r="L553">
            <v>0</v>
          </cell>
          <cell r="M553">
            <v>0</v>
          </cell>
          <cell r="N553">
            <v>0</v>
          </cell>
          <cell r="O553">
            <v>0</v>
          </cell>
          <cell r="P553">
            <v>0</v>
          </cell>
          <cell r="Q553">
            <v>35</v>
          </cell>
          <cell r="R553">
            <v>1.75</v>
          </cell>
          <cell r="S553">
            <v>0</v>
          </cell>
          <cell r="T553">
            <v>0</v>
          </cell>
          <cell r="U553">
            <v>0</v>
          </cell>
          <cell r="V553">
            <v>5890.05</v>
          </cell>
          <cell r="W553">
            <v>5853.3</v>
          </cell>
        </row>
        <row r="554">
          <cell r="A554" t="str">
            <v>Mead Johnson – Evansville Plant</v>
          </cell>
          <cell r="B554">
            <v>43</v>
          </cell>
          <cell r="C554">
            <v>37530</v>
          </cell>
          <cell r="D554">
            <v>37530</v>
          </cell>
          <cell r="E554">
            <v>40700</v>
          </cell>
          <cell r="F554">
            <v>6919</v>
          </cell>
          <cell r="G554">
            <v>0</v>
          </cell>
          <cell r="H554">
            <v>75</v>
          </cell>
          <cell r="I554">
            <v>0</v>
          </cell>
          <cell r="J554">
            <v>0</v>
          </cell>
          <cell r="K554">
            <v>0</v>
          </cell>
          <cell r="L554">
            <v>0</v>
          </cell>
          <cell r="M554">
            <v>0</v>
          </cell>
          <cell r="N554">
            <v>0</v>
          </cell>
          <cell r="O554">
            <v>0</v>
          </cell>
          <cell r="P554">
            <v>0</v>
          </cell>
          <cell r="Q554">
            <v>35</v>
          </cell>
          <cell r="R554">
            <v>1.75</v>
          </cell>
          <cell r="S554">
            <v>0</v>
          </cell>
          <cell r="T554">
            <v>0</v>
          </cell>
          <cell r="U554">
            <v>0</v>
          </cell>
          <cell r="V554">
            <v>7030.75</v>
          </cell>
          <cell r="W554">
            <v>6994</v>
          </cell>
        </row>
        <row r="555">
          <cell r="A555" t="str">
            <v>Mead Johnson – Evansville Plant</v>
          </cell>
          <cell r="B555">
            <v>43</v>
          </cell>
          <cell r="C555">
            <v>37561</v>
          </cell>
          <cell r="D555">
            <v>37561</v>
          </cell>
          <cell r="E555">
            <v>16586</v>
          </cell>
          <cell r="F555">
            <v>2819.62</v>
          </cell>
          <cell r="G555">
            <v>0</v>
          </cell>
          <cell r="H555">
            <v>75</v>
          </cell>
          <cell r="I555">
            <v>0</v>
          </cell>
          <cell r="J555">
            <v>0</v>
          </cell>
          <cell r="K555">
            <v>0</v>
          </cell>
          <cell r="L555">
            <v>0</v>
          </cell>
          <cell r="M555">
            <v>0</v>
          </cell>
          <cell r="N555">
            <v>0</v>
          </cell>
          <cell r="O555">
            <v>0</v>
          </cell>
          <cell r="P555">
            <v>0</v>
          </cell>
          <cell r="Q555">
            <v>35</v>
          </cell>
          <cell r="R555">
            <v>1.75</v>
          </cell>
          <cell r="S555">
            <v>0</v>
          </cell>
          <cell r="T555">
            <v>0</v>
          </cell>
          <cell r="U555">
            <v>0</v>
          </cell>
          <cell r="V555">
            <v>2931.37</v>
          </cell>
          <cell r="W555">
            <v>2894.62</v>
          </cell>
        </row>
        <row r="556">
          <cell r="A556" t="str">
            <v>Mead Johnson – Evansville Plant</v>
          </cell>
          <cell r="B556">
            <v>43</v>
          </cell>
          <cell r="C556">
            <v>37591</v>
          </cell>
          <cell r="D556">
            <v>37591</v>
          </cell>
          <cell r="E556">
            <v>51450</v>
          </cell>
          <cell r="F556">
            <v>8746.5</v>
          </cell>
          <cell r="G556">
            <v>0</v>
          </cell>
          <cell r="H556">
            <v>75</v>
          </cell>
          <cell r="I556">
            <v>0</v>
          </cell>
          <cell r="J556">
            <v>0</v>
          </cell>
          <cell r="K556">
            <v>0</v>
          </cell>
          <cell r="L556">
            <v>0</v>
          </cell>
          <cell r="M556">
            <v>0</v>
          </cell>
          <cell r="N556">
            <v>0</v>
          </cell>
          <cell r="O556">
            <v>0</v>
          </cell>
          <cell r="P556">
            <v>0</v>
          </cell>
          <cell r="Q556">
            <v>35</v>
          </cell>
          <cell r="R556">
            <v>2.1</v>
          </cell>
          <cell r="S556">
            <v>0</v>
          </cell>
          <cell r="T556">
            <v>0</v>
          </cell>
          <cell r="U556">
            <v>0</v>
          </cell>
          <cell r="V556">
            <v>8858.6</v>
          </cell>
          <cell r="W556">
            <v>8821.5</v>
          </cell>
        </row>
        <row r="557">
          <cell r="A557" t="str">
            <v>Inland Paperboard &amp; Packaging, Inc.</v>
          </cell>
          <cell r="B557">
            <v>44</v>
          </cell>
          <cell r="C557">
            <v>37257</v>
          </cell>
          <cell r="D557">
            <v>37257</v>
          </cell>
          <cell r="E557">
            <v>11753</v>
          </cell>
          <cell r="F557">
            <v>4771.72</v>
          </cell>
          <cell r="G557">
            <v>0</v>
          </cell>
          <cell r="H557">
            <v>75</v>
          </cell>
          <cell r="I557">
            <v>0</v>
          </cell>
          <cell r="J557">
            <v>0</v>
          </cell>
          <cell r="K557">
            <v>0</v>
          </cell>
          <cell r="L557">
            <v>0</v>
          </cell>
          <cell r="M557">
            <v>0</v>
          </cell>
          <cell r="N557">
            <v>11753</v>
          </cell>
          <cell r="O557">
            <v>35.26</v>
          </cell>
          <cell r="P557">
            <v>0</v>
          </cell>
          <cell r="Q557">
            <v>35</v>
          </cell>
          <cell r="R557">
            <v>0</v>
          </cell>
          <cell r="S557">
            <v>0</v>
          </cell>
          <cell r="T557">
            <v>0</v>
          </cell>
          <cell r="U557">
            <v>0</v>
          </cell>
          <cell r="V557">
            <v>4916.9799999999996</v>
          </cell>
          <cell r="W557">
            <v>4881.9799999999996</v>
          </cell>
        </row>
        <row r="558">
          <cell r="A558" t="str">
            <v>Inland Paperboard &amp; Packaging, Inc.</v>
          </cell>
          <cell r="B558">
            <v>44</v>
          </cell>
          <cell r="C558">
            <v>37288</v>
          </cell>
          <cell r="D558">
            <v>37288</v>
          </cell>
          <cell r="E558">
            <v>11670</v>
          </cell>
          <cell r="F558">
            <v>4738.0200000000004</v>
          </cell>
          <cell r="G558">
            <v>0</v>
          </cell>
          <cell r="H558">
            <v>75</v>
          </cell>
          <cell r="I558">
            <v>0</v>
          </cell>
          <cell r="J558">
            <v>0</v>
          </cell>
          <cell r="K558">
            <v>0</v>
          </cell>
          <cell r="L558">
            <v>0</v>
          </cell>
          <cell r="M558">
            <v>0</v>
          </cell>
          <cell r="N558">
            <v>11670</v>
          </cell>
          <cell r="O558">
            <v>-11.67</v>
          </cell>
          <cell r="P558">
            <v>0</v>
          </cell>
          <cell r="Q558">
            <v>35</v>
          </cell>
          <cell r="R558">
            <v>0</v>
          </cell>
          <cell r="S558">
            <v>0</v>
          </cell>
          <cell r="T558">
            <v>0</v>
          </cell>
          <cell r="U558">
            <v>0</v>
          </cell>
          <cell r="V558">
            <v>4836.3500000000004</v>
          </cell>
          <cell r="W558">
            <v>4801.3500000000004</v>
          </cell>
        </row>
        <row r="559">
          <cell r="A559" t="str">
            <v>Inland Paperboard &amp; Packaging, Inc.</v>
          </cell>
          <cell r="B559">
            <v>44</v>
          </cell>
          <cell r="C559">
            <v>37316</v>
          </cell>
          <cell r="D559">
            <v>37316</v>
          </cell>
          <cell r="E559">
            <v>10190</v>
          </cell>
          <cell r="F559">
            <v>4137.1400000000003</v>
          </cell>
          <cell r="G559">
            <v>0</v>
          </cell>
          <cell r="H559">
            <v>75</v>
          </cell>
          <cell r="I559">
            <v>0</v>
          </cell>
          <cell r="J559">
            <v>0</v>
          </cell>
          <cell r="K559">
            <v>0</v>
          </cell>
          <cell r="L559">
            <v>0</v>
          </cell>
          <cell r="M559">
            <v>0</v>
          </cell>
          <cell r="N559">
            <v>10190</v>
          </cell>
          <cell r="O559">
            <v>-10.19</v>
          </cell>
          <cell r="P559">
            <v>0</v>
          </cell>
          <cell r="Q559">
            <v>35</v>
          </cell>
          <cell r="R559">
            <v>0</v>
          </cell>
          <cell r="S559">
            <v>0</v>
          </cell>
          <cell r="T559">
            <v>0</v>
          </cell>
          <cell r="U559">
            <v>0</v>
          </cell>
          <cell r="V559">
            <v>4236.95</v>
          </cell>
          <cell r="W559">
            <v>4201.95</v>
          </cell>
        </row>
        <row r="560">
          <cell r="A560" t="str">
            <v>Inland Paperboard &amp; Packaging, Inc.</v>
          </cell>
          <cell r="B560">
            <v>44</v>
          </cell>
          <cell r="C560">
            <v>37347</v>
          </cell>
          <cell r="D560">
            <v>37347</v>
          </cell>
          <cell r="E560">
            <v>7084</v>
          </cell>
          <cell r="F560">
            <v>2876.1</v>
          </cell>
          <cell r="G560">
            <v>0</v>
          </cell>
          <cell r="H560">
            <v>75</v>
          </cell>
          <cell r="I560">
            <v>0</v>
          </cell>
          <cell r="J560">
            <v>0</v>
          </cell>
          <cell r="K560">
            <v>0</v>
          </cell>
          <cell r="L560">
            <v>0</v>
          </cell>
          <cell r="M560">
            <v>0</v>
          </cell>
          <cell r="N560">
            <v>7084</v>
          </cell>
          <cell r="O560">
            <v>-7.08</v>
          </cell>
          <cell r="P560">
            <v>0</v>
          </cell>
          <cell r="Q560">
            <v>35</v>
          </cell>
          <cell r="R560">
            <v>0</v>
          </cell>
          <cell r="S560">
            <v>0</v>
          </cell>
          <cell r="T560">
            <v>0</v>
          </cell>
          <cell r="U560">
            <v>0</v>
          </cell>
          <cell r="V560">
            <v>2979.02</v>
          </cell>
          <cell r="W560">
            <v>2944.02</v>
          </cell>
        </row>
        <row r="561">
          <cell r="A561" t="str">
            <v>Inland Paperboard &amp; Packaging, Inc.</v>
          </cell>
          <cell r="B561">
            <v>44</v>
          </cell>
          <cell r="C561">
            <v>37377</v>
          </cell>
          <cell r="D561">
            <v>37377</v>
          </cell>
          <cell r="E561">
            <v>5900</v>
          </cell>
          <cell r="F561">
            <v>2395.4</v>
          </cell>
          <cell r="G561">
            <v>0</v>
          </cell>
          <cell r="H561">
            <v>75</v>
          </cell>
          <cell r="I561">
            <v>0</v>
          </cell>
          <cell r="J561">
            <v>0</v>
          </cell>
          <cell r="K561">
            <v>0</v>
          </cell>
          <cell r="L561">
            <v>0</v>
          </cell>
          <cell r="M561">
            <v>0</v>
          </cell>
          <cell r="N561">
            <v>0</v>
          </cell>
          <cell r="O561">
            <v>0</v>
          </cell>
          <cell r="P561">
            <v>0</v>
          </cell>
          <cell r="Q561">
            <v>35</v>
          </cell>
          <cell r="R561">
            <v>0</v>
          </cell>
          <cell r="S561">
            <v>0</v>
          </cell>
          <cell r="T561">
            <v>0</v>
          </cell>
          <cell r="U561">
            <v>0</v>
          </cell>
          <cell r="V561">
            <v>2505.4</v>
          </cell>
          <cell r="W561">
            <v>2470.4</v>
          </cell>
        </row>
        <row r="562">
          <cell r="A562" t="str">
            <v>Inland Paperboard &amp; Packaging, Inc.</v>
          </cell>
          <cell r="B562">
            <v>44</v>
          </cell>
          <cell r="C562">
            <v>37408</v>
          </cell>
          <cell r="D562">
            <v>37408</v>
          </cell>
          <cell r="E562">
            <v>3800</v>
          </cell>
          <cell r="F562">
            <v>1542.8</v>
          </cell>
          <cell r="G562">
            <v>0</v>
          </cell>
          <cell r="H562">
            <v>75</v>
          </cell>
          <cell r="I562">
            <v>0</v>
          </cell>
          <cell r="J562">
            <v>0</v>
          </cell>
          <cell r="K562">
            <v>0</v>
          </cell>
          <cell r="L562">
            <v>0</v>
          </cell>
          <cell r="M562">
            <v>0</v>
          </cell>
          <cell r="N562">
            <v>0</v>
          </cell>
          <cell r="O562">
            <v>0</v>
          </cell>
          <cell r="P562">
            <v>0</v>
          </cell>
          <cell r="Q562">
            <v>35</v>
          </cell>
          <cell r="R562">
            <v>0</v>
          </cell>
          <cell r="S562">
            <v>0</v>
          </cell>
          <cell r="T562">
            <v>0</v>
          </cell>
          <cell r="U562">
            <v>0</v>
          </cell>
          <cell r="V562">
            <v>1652.8</v>
          </cell>
          <cell r="W562">
            <v>1617.8</v>
          </cell>
        </row>
        <row r="563">
          <cell r="A563" t="str">
            <v>Inland Paperboard &amp; Packaging, Inc.</v>
          </cell>
          <cell r="B563">
            <v>44</v>
          </cell>
          <cell r="C563">
            <v>37438</v>
          </cell>
          <cell r="D563">
            <v>37438</v>
          </cell>
          <cell r="E563">
            <v>3680</v>
          </cell>
          <cell r="F563">
            <v>1494.08</v>
          </cell>
          <cell r="G563">
            <v>0</v>
          </cell>
          <cell r="H563">
            <v>75</v>
          </cell>
          <cell r="I563">
            <v>0</v>
          </cell>
          <cell r="J563">
            <v>0</v>
          </cell>
          <cell r="K563">
            <v>0</v>
          </cell>
          <cell r="L563">
            <v>0</v>
          </cell>
          <cell r="M563">
            <v>0</v>
          </cell>
          <cell r="N563">
            <v>0</v>
          </cell>
          <cell r="O563">
            <v>0</v>
          </cell>
          <cell r="P563">
            <v>0</v>
          </cell>
          <cell r="Q563">
            <v>35</v>
          </cell>
          <cell r="R563">
            <v>0</v>
          </cell>
          <cell r="S563">
            <v>0</v>
          </cell>
          <cell r="T563">
            <v>0</v>
          </cell>
          <cell r="U563">
            <v>0</v>
          </cell>
          <cell r="V563">
            <v>1604.08</v>
          </cell>
          <cell r="W563">
            <v>1569.08</v>
          </cell>
        </row>
        <row r="564">
          <cell r="A564" t="str">
            <v>Inland Paperboard &amp; Packaging, Inc.</v>
          </cell>
          <cell r="B564">
            <v>44</v>
          </cell>
          <cell r="C564">
            <v>37469</v>
          </cell>
          <cell r="D564">
            <v>37469</v>
          </cell>
          <cell r="E564">
            <v>3528</v>
          </cell>
          <cell r="F564">
            <v>1432.37</v>
          </cell>
          <cell r="G564">
            <v>0</v>
          </cell>
          <cell r="H564">
            <v>75</v>
          </cell>
          <cell r="I564">
            <v>0</v>
          </cell>
          <cell r="J564">
            <v>0</v>
          </cell>
          <cell r="K564">
            <v>0</v>
          </cell>
          <cell r="L564">
            <v>0</v>
          </cell>
          <cell r="M564">
            <v>0</v>
          </cell>
          <cell r="N564">
            <v>0</v>
          </cell>
          <cell r="O564">
            <v>0</v>
          </cell>
          <cell r="P564">
            <v>0</v>
          </cell>
          <cell r="Q564">
            <v>35</v>
          </cell>
          <cell r="R564">
            <v>0</v>
          </cell>
          <cell r="S564">
            <v>0</v>
          </cell>
          <cell r="T564">
            <v>0</v>
          </cell>
          <cell r="U564">
            <v>0</v>
          </cell>
          <cell r="V564">
            <v>1542.37</v>
          </cell>
          <cell r="W564">
            <v>1507.37</v>
          </cell>
        </row>
        <row r="565">
          <cell r="A565" t="str">
            <v>Inland Paperboard &amp; Packaging, Inc.</v>
          </cell>
          <cell r="B565">
            <v>44</v>
          </cell>
          <cell r="C565">
            <v>37500</v>
          </cell>
          <cell r="D565">
            <v>37500</v>
          </cell>
          <cell r="E565">
            <v>3960</v>
          </cell>
          <cell r="F565">
            <v>1607.76</v>
          </cell>
          <cell r="G565">
            <v>0</v>
          </cell>
          <cell r="H565">
            <v>75</v>
          </cell>
          <cell r="I565">
            <v>0</v>
          </cell>
          <cell r="J565">
            <v>0</v>
          </cell>
          <cell r="K565">
            <v>0</v>
          </cell>
          <cell r="L565">
            <v>0</v>
          </cell>
          <cell r="M565">
            <v>0</v>
          </cell>
          <cell r="N565">
            <v>0</v>
          </cell>
          <cell r="O565">
            <v>0</v>
          </cell>
          <cell r="P565">
            <v>0</v>
          </cell>
          <cell r="Q565">
            <v>35</v>
          </cell>
          <cell r="R565">
            <v>0</v>
          </cell>
          <cell r="S565">
            <v>0</v>
          </cell>
          <cell r="T565">
            <v>0</v>
          </cell>
          <cell r="U565">
            <v>0</v>
          </cell>
          <cell r="V565">
            <v>1717.76</v>
          </cell>
          <cell r="W565">
            <v>1682.76</v>
          </cell>
        </row>
        <row r="566">
          <cell r="A566" t="str">
            <v>Inland Paperboard &amp; Packaging, Inc.</v>
          </cell>
          <cell r="B566">
            <v>44</v>
          </cell>
          <cell r="C566">
            <v>37530</v>
          </cell>
          <cell r="D566">
            <v>37530</v>
          </cell>
          <cell r="E566">
            <v>6703</v>
          </cell>
          <cell r="F566">
            <v>2721.42</v>
          </cell>
          <cell r="G566">
            <v>0</v>
          </cell>
          <cell r="H566">
            <v>75</v>
          </cell>
          <cell r="I566">
            <v>0</v>
          </cell>
          <cell r="J566">
            <v>0</v>
          </cell>
          <cell r="K566">
            <v>0</v>
          </cell>
          <cell r="L566">
            <v>0</v>
          </cell>
          <cell r="M566">
            <v>0</v>
          </cell>
          <cell r="N566">
            <v>0</v>
          </cell>
          <cell r="O566">
            <v>0</v>
          </cell>
          <cell r="P566">
            <v>0</v>
          </cell>
          <cell r="Q566">
            <v>35</v>
          </cell>
          <cell r="R566">
            <v>0</v>
          </cell>
          <cell r="S566">
            <v>0</v>
          </cell>
          <cell r="T566">
            <v>0</v>
          </cell>
          <cell r="U566">
            <v>0</v>
          </cell>
          <cell r="V566">
            <v>2831.42</v>
          </cell>
          <cell r="W566">
            <v>2796.42</v>
          </cell>
        </row>
        <row r="567">
          <cell r="A567" t="str">
            <v>Inland Paperboard &amp; Packaging, Inc.</v>
          </cell>
          <cell r="B567">
            <v>44</v>
          </cell>
          <cell r="C567">
            <v>37561</v>
          </cell>
          <cell r="D567">
            <v>37561</v>
          </cell>
          <cell r="E567">
            <v>8663</v>
          </cell>
          <cell r="F567">
            <v>3517.18</v>
          </cell>
          <cell r="G567">
            <v>0</v>
          </cell>
          <cell r="H567">
            <v>75</v>
          </cell>
          <cell r="I567">
            <v>0</v>
          </cell>
          <cell r="J567">
            <v>0</v>
          </cell>
          <cell r="K567">
            <v>0</v>
          </cell>
          <cell r="L567">
            <v>0</v>
          </cell>
          <cell r="M567">
            <v>0</v>
          </cell>
          <cell r="N567">
            <v>0</v>
          </cell>
          <cell r="O567">
            <v>0</v>
          </cell>
          <cell r="P567">
            <v>0</v>
          </cell>
          <cell r="Q567">
            <v>35</v>
          </cell>
          <cell r="R567">
            <v>0</v>
          </cell>
          <cell r="S567">
            <v>0</v>
          </cell>
          <cell r="T567">
            <v>0</v>
          </cell>
          <cell r="U567">
            <v>0</v>
          </cell>
          <cell r="V567">
            <v>3627.18</v>
          </cell>
          <cell r="W567">
            <v>3592.18</v>
          </cell>
        </row>
        <row r="568">
          <cell r="A568" t="str">
            <v>Inland Paperboard &amp; Packaging, Inc.</v>
          </cell>
          <cell r="B568">
            <v>44</v>
          </cell>
          <cell r="C568">
            <v>37591</v>
          </cell>
          <cell r="D568">
            <v>37591</v>
          </cell>
          <cell r="E568">
            <v>10902</v>
          </cell>
          <cell r="F568">
            <v>4426.21</v>
          </cell>
          <cell r="G568">
            <v>0</v>
          </cell>
          <cell r="H568">
            <v>75</v>
          </cell>
          <cell r="I568">
            <v>0</v>
          </cell>
          <cell r="J568">
            <v>0</v>
          </cell>
          <cell r="K568">
            <v>0</v>
          </cell>
          <cell r="L568">
            <v>0</v>
          </cell>
          <cell r="M568">
            <v>0</v>
          </cell>
          <cell r="N568">
            <v>0</v>
          </cell>
          <cell r="O568">
            <v>0</v>
          </cell>
          <cell r="P568">
            <v>0</v>
          </cell>
          <cell r="Q568">
            <v>35</v>
          </cell>
          <cell r="R568">
            <v>0</v>
          </cell>
          <cell r="S568">
            <v>0</v>
          </cell>
          <cell r="T568">
            <v>0</v>
          </cell>
          <cell r="U568">
            <v>0</v>
          </cell>
          <cell r="V568">
            <v>4536.21</v>
          </cell>
          <cell r="W568">
            <v>4501.21</v>
          </cell>
        </row>
        <row r="569">
          <cell r="A569" t="str">
            <v>Star Metals</v>
          </cell>
          <cell r="B569">
            <v>48</v>
          </cell>
          <cell r="C569">
            <v>37257</v>
          </cell>
          <cell r="D569">
            <v>37257</v>
          </cell>
          <cell r="E569">
            <v>0</v>
          </cell>
          <cell r="F569">
            <v>0</v>
          </cell>
          <cell r="G569">
            <v>0</v>
          </cell>
          <cell r="H569">
            <v>75</v>
          </cell>
          <cell r="I569">
            <v>0</v>
          </cell>
          <cell r="J569">
            <v>0</v>
          </cell>
          <cell r="K569">
            <v>0</v>
          </cell>
          <cell r="L569">
            <v>0</v>
          </cell>
          <cell r="M569">
            <v>0</v>
          </cell>
          <cell r="N569">
            <v>0</v>
          </cell>
          <cell r="O569">
            <v>0</v>
          </cell>
          <cell r="P569">
            <v>0</v>
          </cell>
          <cell r="Q569">
            <v>35</v>
          </cell>
          <cell r="R569">
            <v>1.75</v>
          </cell>
          <cell r="S569">
            <v>0</v>
          </cell>
          <cell r="T569">
            <v>0</v>
          </cell>
          <cell r="U569">
            <v>0</v>
          </cell>
          <cell r="V569">
            <v>111.75</v>
          </cell>
          <cell r="W569">
            <v>75</v>
          </cell>
        </row>
        <row r="570">
          <cell r="A570" t="str">
            <v>Star Metals</v>
          </cell>
          <cell r="B570">
            <v>48</v>
          </cell>
          <cell r="C570">
            <v>37288</v>
          </cell>
          <cell r="D570">
            <v>37288</v>
          </cell>
          <cell r="E570">
            <v>0</v>
          </cell>
          <cell r="F570">
            <v>0</v>
          </cell>
          <cell r="G570">
            <v>0</v>
          </cell>
          <cell r="H570">
            <v>75</v>
          </cell>
          <cell r="I570">
            <v>0</v>
          </cell>
          <cell r="J570">
            <v>0</v>
          </cell>
          <cell r="K570">
            <v>0</v>
          </cell>
          <cell r="L570">
            <v>0</v>
          </cell>
          <cell r="M570">
            <v>0</v>
          </cell>
          <cell r="N570">
            <v>0</v>
          </cell>
          <cell r="O570">
            <v>0</v>
          </cell>
          <cell r="P570">
            <v>0</v>
          </cell>
          <cell r="Q570">
            <v>35</v>
          </cell>
          <cell r="R570">
            <v>1.75</v>
          </cell>
          <cell r="S570">
            <v>0</v>
          </cell>
          <cell r="T570">
            <v>0</v>
          </cell>
          <cell r="U570">
            <v>0</v>
          </cell>
          <cell r="V570">
            <v>111.75</v>
          </cell>
          <cell r="W570">
            <v>75</v>
          </cell>
        </row>
        <row r="571">
          <cell r="A571" t="str">
            <v>Star Metals</v>
          </cell>
          <cell r="B571">
            <v>48</v>
          </cell>
          <cell r="C571">
            <v>37316</v>
          </cell>
          <cell r="D571">
            <v>37316</v>
          </cell>
          <cell r="E571">
            <v>0</v>
          </cell>
          <cell r="F571">
            <v>0</v>
          </cell>
          <cell r="G571">
            <v>0</v>
          </cell>
          <cell r="H571">
            <v>75</v>
          </cell>
          <cell r="I571">
            <v>0</v>
          </cell>
          <cell r="J571">
            <v>0</v>
          </cell>
          <cell r="K571">
            <v>0</v>
          </cell>
          <cell r="L571">
            <v>0</v>
          </cell>
          <cell r="M571">
            <v>0</v>
          </cell>
          <cell r="N571">
            <v>0</v>
          </cell>
          <cell r="O571">
            <v>0</v>
          </cell>
          <cell r="P571">
            <v>0</v>
          </cell>
          <cell r="Q571">
            <v>35</v>
          </cell>
          <cell r="R571">
            <v>1.75</v>
          </cell>
          <cell r="S571">
            <v>0</v>
          </cell>
          <cell r="T571">
            <v>0</v>
          </cell>
          <cell r="U571">
            <v>0</v>
          </cell>
          <cell r="V571">
            <v>111.75</v>
          </cell>
          <cell r="W571">
            <v>75</v>
          </cell>
        </row>
        <row r="572">
          <cell r="A572" t="str">
            <v>Star Metals</v>
          </cell>
          <cell r="B572">
            <v>48</v>
          </cell>
          <cell r="C572">
            <v>37347</v>
          </cell>
          <cell r="D572">
            <v>37347</v>
          </cell>
          <cell r="E572">
            <v>0</v>
          </cell>
          <cell r="F572">
            <v>0</v>
          </cell>
          <cell r="G572">
            <v>0</v>
          </cell>
          <cell r="H572">
            <v>75</v>
          </cell>
          <cell r="I572">
            <v>0</v>
          </cell>
          <cell r="J572">
            <v>0</v>
          </cell>
          <cell r="K572">
            <v>0</v>
          </cell>
          <cell r="L572">
            <v>0</v>
          </cell>
          <cell r="M572">
            <v>0</v>
          </cell>
          <cell r="N572">
            <v>0</v>
          </cell>
          <cell r="O572">
            <v>0</v>
          </cell>
          <cell r="P572">
            <v>0</v>
          </cell>
          <cell r="Q572">
            <v>35</v>
          </cell>
          <cell r="R572">
            <v>1.75</v>
          </cell>
          <cell r="S572">
            <v>0</v>
          </cell>
          <cell r="T572">
            <v>0</v>
          </cell>
          <cell r="U572">
            <v>0</v>
          </cell>
          <cell r="V572">
            <v>111.75</v>
          </cell>
          <cell r="W572">
            <v>75</v>
          </cell>
        </row>
        <row r="573">
          <cell r="A573" t="str">
            <v>Star Metals</v>
          </cell>
          <cell r="B573">
            <v>48</v>
          </cell>
          <cell r="C573">
            <v>37377</v>
          </cell>
          <cell r="D573">
            <v>37377</v>
          </cell>
          <cell r="E573">
            <v>500</v>
          </cell>
          <cell r="F573">
            <v>203</v>
          </cell>
          <cell r="G573">
            <v>0</v>
          </cell>
          <cell r="H573">
            <v>75</v>
          </cell>
          <cell r="I573">
            <v>0</v>
          </cell>
          <cell r="J573">
            <v>0</v>
          </cell>
          <cell r="K573">
            <v>0</v>
          </cell>
          <cell r="L573">
            <v>0</v>
          </cell>
          <cell r="M573">
            <v>0</v>
          </cell>
          <cell r="N573">
            <v>0</v>
          </cell>
          <cell r="O573">
            <v>0</v>
          </cell>
          <cell r="P573">
            <v>0</v>
          </cell>
          <cell r="Q573">
            <v>35</v>
          </cell>
          <cell r="R573">
            <v>1.75</v>
          </cell>
          <cell r="S573">
            <v>0</v>
          </cell>
          <cell r="T573">
            <v>0</v>
          </cell>
          <cell r="U573">
            <v>0</v>
          </cell>
          <cell r="V573">
            <v>314.75</v>
          </cell>
          <cell r="W573">
            <v>278</v>
          </cell>
        </row>
        <row r="574">
          <cell r="A574" t="str">
            <v>Star Metals</v>
          </cell>
          <cell r="B574">
            <v>48</v>
          </cell>
          <cell r="C574">
            <v>37408</v>
          </cell>
          <cell r="D574">
            <v>37408</v>
          </cell>
          <cell r="E574">
            <v>3400</v>
          </cell>
          <cell r="F574">
            <v>1380.4</v>
          </cell>
          <cell r="G574">
            <v>0</v>
          </cell>
          <cell r="H574">
            <v>75</v>
          </cell>
          <cell r="I574">
            <v>0</v>
          </cell>
          <cell r="J574">
            <v>0</v>
          </cell>
          <cell r="K574">
            <v>0</v>
          </cell>
          <cell r="L574">
            <v>0</v>
          </cell>
          <cell r="M574">
            <v>0</v>
          </cell>
          <cell r="N574">
            <v>0</v>
          </cell>
          <cell r="O574">
            <v>0</v>
          </cell>
          <cell r="P574">
            <v>0</v>
          </cell>
          <cell r="Q574">
            <v>35</v>
          </cell>
          <cell r="R574">
            <v>1.75</v>
          </cell>
          <cell r="S574">
            <v>0</v>
          </cell>
          <cell r="T574">
            <v>0</v>
          </cell>
          <cell r="U574">
            <v>0</v>
          </cell>
          <cell r="V574">
            <v>1492.15</v>
          </cell>
          <cell r="W574">
            <v>1455.4</v>
          </cell>
        </row>
        <row r="575">
          <cell r="A575" t="str">
            <v>Star Metals</v>
          </cell>
          <cell r="B575">
            <v>48</v>
          </cell>
          <cell r="C575">
            <v>37438</v>
          </cell>
          <cell r="D575">
            <v>37438</v>
          </cell>
          <cell r="E575">
            <v>3503</v>
          </cell>
          <cell r="F575">
            <v>1422.22</v>
          </cell>
          <cell r="G575">
            <v>0</v>
          </cell>
          <cell r="H575">
            <v>75</v>
          </cell>
          <cell r="I575">
            <v>0</v>
          </cell>
          <cell r="J575">
            <v>0</v>
          </cell>
          <cell r="K575">
            <v>0</v>
          </cell>
          <cell r="L575">
            <v>0</v>
          </cell>
          <cell r="M575">
            <v>0</v>
          </cell>
          <cell r="N575">
            <v>0</v>
          </cell>
          <cell r="O575">
            <v>0</v>
          </cell>
          <cell r="P575">
            <v>0</v>
          </cell>
          <cell r="Q575">
            <v>35</v>
          </cell>
          <cell r="R575">
            <v>1.75</v>
          </cell>
          <cell r="S575">
            <v>0</v>
          </cell>
          <cell r="T575">
            <v>0</v>
          </cell>
          <cell r="U575">
            <v>0</v>
          </cell>
          <cell r="V575">
            <v>1533.97</v>
          </cell>
          <cell r="W575">
            <v>1497.22</v>
          </cell>
        </row>
        <row r="576">
          <cell r="A576" t="str">
            <v>Star Metals</v>
          </cell>
          <cell r="B576">
            <v>48</v>
          </cell>
          <cell r="C576">
            <v>37469</v>
          </cell>
          <cell r="D576">
            <v>37469</v>
          </cell>
          <cell r="E576">
            <v>4390</v>
          </cell>
          <cell r="F576">
            <v>1782.34</v>
          </cell>
          <cell r="G576">
            <v>0</v>
          </cell>
          <cell r="H576">
            <v>75</v>
          </cell>
          <cell r="I576">
            <v>0</v>
          </cell>
          <cell r="J576">
            <v>0</v>
          </cell>
          <cell r="K576">
            <v>0</v>
          </cell>
          <cell r="L576">
            <v>0</v>
          </cell>
          <cell r="M576">
            <v>0</v>
          </cell>
          <cell r="N576">
            <v>0</v>
          </cell>
          <cell r="O576">
            <v>0</v>
          </cell>
          <cell r="P576">
            <v>0</v>
          </cell>
          <cell r="Q576">
            <v>35</v>
          </cell>
          <cell r="R576">
            <v>1.75</v>
          </cell>
          <cell r="S576">
            <v>0</v>
          </cell>
          <cell r="T576">
            <v>0</v>
          </cell>
          <cell r="U576">
            <v>0</v>
          </cell>
          <cell r="V576">
            <v>1894.09</v>
          </cell>
          <cell r="W576">
            <v>1857.34</v>
          </cell>
        </row>
        <row r="577">
          <cell r="A577" t="str">
            <v>Star Metals</v>
          </cell>
          <cell r="B577">
            <v>48</v>
          </cell>
          <cell r="C577">
            <v>37500</v>
          </cell>
          <cell r="D577">
            <v>37500</v>
          </cell>
          <cell r="E577">
            <v>5364</v>
          </cell>
          <cell r="F577">
            <v>2177.7800000000002</v>
          </cell>
          <cell r="G577">
            <v>0</v>
          </cell>
          <cell r="H577">
            <v>75</v>
          </cell>
          <cell r="I577">
            <v>0</v>
          </cell>
          <cell r="J577">
            <v>0</v>
          </cell>
          <cell r="K577">
            <v>0</v>
          </cell>
          <cell r="L577">
            <v>0</v>
          </cell>
          <cell r="M577">
            <v>0</v>
          </cell>
          <cell r="N577">
            <v>0</v>
          </cell>
          <cell r="O577">
            <v>0</v>
          </cell>
          <cell r="P577">
            <v>0</v>
          </cell>
          <cell r="Q577">
            <v>35</v>
          </cell>
          <cell r="R577">
            <v>1.75</v>
          </cell>
          <cell r="S577">
            <v>0</v>
          </cell>
          <cell r="T577">
            <v>0</v>
          </cell>
          <cell r="U577">
            <v>0</v>
          </cell>
          <cell r="V577">
            <v>2289.5300000000002</v>
          </cell>
          <cell r="W577">
            <v>2252.7800000000002</v>
          </cell>
        </row>
        <row r="578">
          <cell r="A578" t="str">
            <v>Star Metals</v>
          </cell>
          <cell r="B578">
            <v>48</v>
          </cell>
          <cell r="C578">
            <v>37530</v>
          </cell>
          <cell r="D578">
            <v>37530</v>
          </cell>
          <cell r="E578">
            <v>5790</v>
          </cell>
          <cell r="F578">
            <v>2350.7399999999998</v>
          </cell>
          <cell r="G578">
            <v>0</v>
          </cell>
          <cell r="H578">
            <v>75</v>
          </cell>
          <cell r="I578">
            <v>0</v>
          </cell>
          <cell r="J578">
            <v>0</v>
          </cell>
          <cell r="K578">
            <v>0</v>
          </cell>
          <cell r="L578">
            <v>0</v>
          </cell>
          <cell r="M578">
            <v>0</v>
          </cell>
          <cell r="N578">
            <v>0</v>
          </cell>
          <cell r="O578">
            <v>0</v>
          </cell>
          <cell r="P578">
            <v>0</v>
          </cell>
          <cell r="Q578">
            <v>35</v>
          </cell>
          <cell r="R578">
            <v>1.75</v>
          </cell>
          <cell r="S578">
            <v>0</v>
          </cell>
          <cell r="T578">
            <v>0</v>
          </cell>
          <cell r="U578">
            <v>0</v>
          </cell>
          <cell r="V578">
            <v>2462.4899999999998</v>
          </cell>
          <cell r="W578">
            <v>2425.7399999999998</v>
          </cell>
        </row>
        <row r="579">
          <cell r="A579" t="str">
            <v>Star Metals</v>
          </cell>
          <cell r="B579">
            <v>48</v>
          </cell>
          <cell r="C579">
            <v>37561</v>
          </cell>
          <cell r="D579">
            <v>37561</v>
          </cell>
          <cell r="E579">
            <v>4220</v>
          </cell>
          <cell r="F579">
            <v>1713.32</v>
          </cell>
          <cell r="G579">
            <v>0</v>
          </cell>
          <cell r="H579">
            <v>75</v>
          </cell>
          <cell r="I579">
            <v>0</v>
          </cell>
          <cell r="J579">
            <v>0</v>
          </cell>
          <cell r="K579">
            <v>0</v>
          </cell>
          <cell r="L579">
            <v>0</v>
          </cell>
          <cell r="M579">
            <v>0</v>
          </cell>
          <cell r="N579">
            <v>0</v>
          </cell>
          <cell r="O579">
            <v>0</v>
          </cell>
          <cell r="P579">
            <v>0</v>
          </cell>
          <cell r="Q579">
            <v>35</v>
          </cell>
          <cell r="R579">
            <v>693.41</v>
          </cell>
          <cell r="S579">
            <v>21876.48</v>
          </cell>
          <cell r="T579">
            <v>4220</v>
          </cell>
          <cell r="U579">
            <v>21876.48</v>
          </cell>
          <cell r="V579">
            <v>24393.21</v>
          </cell>
          <cell r="W579">
            <v>1788.32</v>
          </cell>
        </row>
        <row r="580">
          <cell r="A580" t="str">
            <v>Star Metals</v>
          </cell>
          <cell r="B580">
            <v>48</v>
          </cell>
          <cell r="C580">
            <v>37591</v>
          </cell>
          <cell r="D580">
            <v>37591</v>
          </cell>
          <cell r="E580">
            <v>1493</v>
          </cell>
          <cell r="F580">
            <v>606.16</v>
          </cell>
          <cell r="G580">
            <v>0</v>
          </cell>
          <cell r="H580">
            <v>75</v>
          </cell>
          <cell r="I580">
            <v>0</v>
          </cell>
          <cell r="J580">
            <v>0</v>
          </cell>
          <cell r="K580">
            <v>0</v>
          </cell>
          <cell r="L580">
            <v>0</v>
          </cell>
          <cell r="M580">
            <v>0</v>
          </cell>
          <cell r="N580">
            <v>0</v>
          </cell>
          <cell r="O580">
            <v>0</v>
          </cell>
          <cell r="P580">
            <v>0</v>
          </cell>
          <cell r="Q580">
            <v>35</v>
          </cell>
          <cell r="R580">
            <v>295.74</v>
          </cell>
          <cell r="S580">
            <v>7948.73</v>
          </cell>
          <cell r="T580">
            <v>1493</v>
          </cell>
          <cell r="U580">
            <v>7948.73</v>
          </cell>
          <cell r="V580">
            <v>8960.6299999999992</v>
          </cell>
          <cell r="W580">
            <v>681.16</v>
          </cell>
        </row>
        <row r="581">
          <cell r="A581" t="str">
            <v>Ameriqual Foods, Inc.</v>
          </cell>
          <cell r="B581">
            <v>50</v>
          </cell>
          <cell r="C581">
            <v>37257</v>
          </cell>
          <cell r="D581">
            <v>37257</v>
          </cell>
          <cell r="E581">
            <v>7000</v>
          </cell>
          <cell r="F581">
            <v>2842</v>
          </cell>
          <cell r="G581">
            <v>0</v>
          </cell>
          <cell r="H581">
            <v>75</v>
          </cell>
          <cell r="I581">
            <v>0</v>
          </cell>
          <cell r="J581">
            <v>0</v>
          </cell>
          <cell r="K581">
            <v>0</v>
          </cell>
          <cell r="L581">
            <v>0</v>
          </cell>
          <cell r="M581">
            <v>0</v>
          </cell>
          <cell r="N581">
            <v>7000</v>
          </cell>
          <cell r="O581">
            <v>21</v>
          </cell>
          <cell r="P581">
            <v>0</v>
          </cell>
          <cell r="Q581">
            <v>35</v>
          </cell>
          <cell r="R581">
            <v>0</v>
          </cell>
          <cell r="S581">
            <v>0</v>
          </cell>
          <cell r="T581">
            <v>0</v>
          </cell>
          <cell r="U581">
            <v>0</v>
          </cell>
          <cell r="V581">
            <v>2973</v>
          </cell>
          <cell r="W581">
            <v>2938</v>
          </cell>
        </row>
        <row r="582">
          <cell r="A582" t="str">
            <v>Ameriqual Foods, Inc.</v>
          </cell>
          <cell r="B582">
            <v>50</v>
          </cell>
          <cell r="C582">
            <v>37288</v>
          </cell>
          <cell r="D582">
            <v>37288</v>
          </cell>
          <cell r="E582">
            <v>7074</v>
          </cell>
          <cell r="F582">
            <v>2872.04</v>
          </cell>
          <cell r="G582">
            <v>0</v>
          </cell>
          <cell r="H582">
            <v>75</v>
          </cell>
          <cell r="I582">
            <v>0</v>
          </cell>
          <cell r="J582">
            <v>0</v>
          </cell>
          <cell r="K582">
            <v>0</v>
          </cell>
          <cell r="L582">
            <v>0</v>
          </cell>
          <cell r="M582">
            <v>0</v>
          </cell>
          <cell r="N582">
            <v>7074</v>
          </cell>
          <cell r="O582">
            <v>-7.07</v>
          </cell>
          <cell r="P582">
            <v>0</v>
          </cell>
          <cell r="Q582">
            <v>35</v>
          </cell>
          <cell r="R582">
            <v>0</v>
          </cell>
          <cell r="S582">
            <v>0</v>
          </cell>
          <cell r="T582">
            <v>0</v>
          </cell>
          <cell r="U582">
            <v>0</v>
          </cell>
          <cell r="V582">
            <v>2974.97</v>
          </cell>
          <cell r="W582">
            <v>2939.97</v>
          </cell>
        </row>
        <row r="583">
          <cell r="A583" t="str">
            <v>Ameriqual Foods, Inc.</v>
          </cell>
          <cell r="B583">
            <v>50</v>
          </cell>
          <cell r="C583">
            <v>37316</v>
          </cell>
          <cell r="D583">
            <v>37316</v>
          </cell>
          <cell r="E583">
            <v>7006</v>
          </cell>
          <cell r="F583">
            <v>2844.44</v>
          </cell>
          <cell r="G583">
            <v>0</v>
          </cell>
          <cell r="H583">
            <v>75</v>
          </cell>
          <cell r="I583">
            <v>0</v>
          </cell>
          <cell r="J583">
            <v>0</v>
          </cell>
          <cell r="K583">
            <v>0</v>
          </cell>
          <cell r="L583">
            <v>0</v>
          </cell>
          <cell r="M583">
            <v>0</v>
          </cell>
          <cell r="N583">
            <v>7006</v>
          </cell>
          <cell r="O583">
            <v>-7.01</v>
          </cell>
          <cell r="P583">
            <v>0</v>
          </cell>
          <cell r="Q583">
            <v>35</v>
          </cell>
          <cell r="R583">
            <v>0</v>
          </cell>
          <cell r="S583">
            <v>0</v>
          </cell>
          <cell r="T583">
            <v>0</v>
          </cell>
          <cell r="U583">
            <v>0</v>
          </cell>
          <cell r="V583">
            <v>2947.43</v>
          </cell>
          <cell r="W583">
            <v>2912.43</v>
          </cell>
        </row>
        <row r="584">
          <cell r="A584" t="str">
            <v>Ameriqual Foods, Inc.</v>
          </cell>
          <cell r="B584">
            <v>50</v>
          </cell>
          <cell r="C584">
            <v>37347</v>
          </cell>
          <cell r="D584">
            <v>37347</v>
          </cell>
          <cell r="E584">
            <v>7000</v>
          </cell>
          <cell r="F584">
            <v>2842</v>
          </cell>
          <cell r="G584">
            <v>0</v>
          </cell>
          <cell r="H584">
            <v>75</v>
          </cell>
          <cell r="I584">
            <v>0</v>
          </cell>
          <cell r="J584">
            <v>0</v>
          </cell>
          <cell r="K584">
            <v>0</v>
          </cell>
          <cell r="L584">
            <v>0</v>
          </cell>
          <cell r="M584">
            <v>0</v>
          </cell>
          <cell r="N584">
            <v>7000</v>
          </cell>
          <cell r="O584">
            <v>-7</v>
          </cell>
          <cell r="P584">
            <v>0</v>
          </cell>
          <cell r="Q584">
            <v>35</v>
          </cell>
          <cell r="R584">
            <v>0</v>
          </cell>
          <cell r="S584">
            <v>0</v>
          </cell>
          <cell r="T584">
            <v>0</v>
          </cell>
          <cell r="U584">
            <v>0</v>
          </cell>
          <cell r="V584">
            <v>2945</v>
          </cell>
          <cell r="W584">
            <v>2910</v>
          </cell>
        </row>
        <row r="585">
          <cell r="A585" t="str">
            <v>Ameriqual Foods, Inc.</v>
          </cell>
          <cell r="B585">
            <v>50</v>
          </cell>
          <cell r="C585">
            <v>37377</v>
          </cell>
          <cell r="D585">
            <v>37377</v>
          </cell>
          <cell r="E585">
            <v>7000</v>
          </cell>
          <cell r="F585">
            <v>2842</v>
          </cell>
          <cell r="G585">
            <v>0</v>
          </cell>
          <cell r="H585">
            <v>75</v>
          </cell>
          <cell r="I585">
            <v>0</v>
          </cell>
          <cell r="J585">
            <v>0</v>
          </cell>
          <cell r="K585">
            <v>0</v>
          </cell>
          <cell r="L585">
            <v>0</v>
          </cell>
          <cell r="M585">
            <v>0</v>
          </cell>
          <cell r="N585">
            <v>0</v>
          </cell>
          <cell r="O585">
            <v>0</v>
          </cell>
          <cell r="P585">
            <v>0</v>
          </cell>
          <cell r="Q585">
            <v>35</v>
          </cell>
          <cell r="R585">
            <v>0</v>
          </cell>
          <cell r="S585">
            <v>0</v>
          </cell>
          <cell r="T585">
            <v>0</v>
          </cell>
          <cell r="U585">
            <v>0</v>
          </cell>
          <cell r="V585">
            <v>2952</v>
          </cell>
          <cell r="W585">
            <v>2917</v>
          </cell>
        </row>
        <row r="586">
          <cell r="A586" t="str">
            <v>Ameriqual Foods, Inc.</v>
          </cell>
          <cell r="B586">
            <v>50</v>
          </cell>
          <cell r="C586">
            <v>37408</v>
          </cell>
          <cell r="D586">
            <v>37408</v>
          </cell>
          <cell r="E586">
            <v>7000</v>
          </cell>
          <cell r="F586">
            <v>2842</v>
          </cell>
          <cell r="G586">
            <v>0</v>
          </cell>
          <cell r="H586">
            <v>75</v>
          </cell>
          <cell r="I586">
            <v>0</v>
          </cell>
          <cell r="J586">
            <v>0</v>
          </cell>
          <cell r="K586">
            <v>0</v>
          </cell>
          <cell r="L586">
            <v>0</v>
          </cell>
          <cell r="M586">
            <v>0</v>
          </cell>
          <cell r="N586">
            <v>0</v>
          </cell>
          <cell r="O586">
            <v>0</v>
          </cell>
          <cell r="P586">
            <v>0</v>
          </cell>
          <cell r="Q586">
            <v>35</v>
          </cell>
          <cell r="R586">
            <v>0</v>
          </cell>
          <cell r="S586">
            <v>0</v>
          </cell>
          <cell r="T586">
            <v>0</v>
          </cell>
          <cell r="U586">
            <v>0</v>
          </cell>
          <cell r="V586">
            <v>2952</v>
          </cell>
          <cell r="W586">
            <v>2917</v>
          </cell>
        </row>
        <row r="587">
          <cell r="A587" t="str">
            <v>Ameriqual Foods, Inc.</v>
          </cell>
          <cell r="B587">
            <v>50</v>
          </cell>
          <cell r="C587">
            <v>37438</v>
          </cell>
          <cell r="D587">
            <v>37438</v>
          </cell>
          <cell r="E587">
            <v>7000</v>
          </cell>
          <cell r="F587">
            <v>2842</v>
          </cell>
          <cell r="G587">
            <v>0</v>
          </cell>
          <cell r="H587">
            <v>75</v>
          </cell>
          <cell r="I587">
            <v>0</v>
          </cell>
          <cell r="J587">
            <v>0</v>
          </cell>
          <cell r="K587">
            <v>0</v>
          </cell>
          <cell r="L587">
            <v>0</v>
          </cell>
          <cell r="M587">
            <v>0</v>
          </cell>
          <cell r="N587">
            <v>0</v>
          </cell>
          <cell r="O587">
            <v>0</v>
          </cell>
          <cell r="P587">
            <v>0</v>
          </cell>
          <cell r="Q587">
            <v>35</v>
          </cell>
          <cell r="R587">
            <v>0</v>
          </cell>
          <cell r="S587">
            <v>0</v>
          </cell>
          <cell r="T587">
            <v>0</v>
          </cell>
          <cell r="U587">
            <v>0</v>
          </cell>
          <cell r="V587">
            <v>2952</v>
          </cell>
          <cell r="W587">
            <v>2917</v>
          </cell>
        </row>
        <row r="588">
          <cell r="A588" t="str">
            <v>Ameriqual Foods, Inc.</v>
          </cell>
          <cell r="B588">
            <v>50</v>
          </cell>
          <cell r="C588">
            <v>37469</v>
          </cell>
          <cell r="D588">
            <v>37469</v>
          </cell>
          <cell r="E588">
            <v>7000</v>
          </cell>
          <cell r="F588">
            <v>2842</v>
          </cell>
          <cell r="G588">
            <v>0</v>
          </cell>
          <cell r="H588">
            <v>75</v>
          </cell>
          <cell r="I588">
            <v>0</v>
          </cell>
          <cell r="J588">
            <v>0</v>
          </cell>
          <cell r="K588">
            <v>0</v>
          </cell>
          <cell r="L588">
            <v>0</v>
          </cell>
          <cell r="M588">
            <v>0</v>
          </cell>
          <cell r="N588">
            <v>0</v>
          </cell>
          <cell r="O588">
            <v>0</v>
          </cell>
          <cell r="P588">
            <v>0</v>
          </cell>
          <cell r="Q588">
            <v>35</v>
          </cell>
          <cell r="R588">
            <v>0</v>
          </cell>
          <cell r="S588">
            <v>0</v>
          </cell>
          <cell r="T588">
            <v>0</v>
          </cell>
          <cell r="U588">
            <v>0</v>
          </cell>
          <cell r="V588">
            <v>2952</v>
          </cell>
          <cell r="W588">
            <v>2917</v>
          </cell>
        </row>
        <row r="589">
          <cell r="A589" t="str">
            <v>Ameriqual Foods, Inc.</v>
          </cell>
          <cell r="B589">
            <v>50</v>
          </cell>
          <cell r="C589">
            <v>37500</v>
          </cell>
          <cell r="D589">
            <v>37500</v>
          </cell>
          <cell r="E589">
            <v>6990</v>
          </cell>
          <cell r="F589">
            <v>2837.94</v>
          </cell>
          <cell r="G589">
            <v>0</v>
          </cell>
          <cell r="H589">
            <v>75</v>
          </cell>
          <cell r="I589">
            <v>0</v>
          </cell>
          <cell r="J589">
            <v>0</v>
          </cell>
          <cell r="K589">
            <v>0</v>
          </cell>
          <cell r="L589">
            <v>0</v>
          </cell>
          <cell r="M589">
            <v>0</v>
          </cell>
          <cell r="N589">
            <v>0</v>
          </cell>
          <cell r="O589">
            <v>0</v>
          </cell>
          <cell r="P589">
            <v>0</v>
          </cell>
          <cell r="Q589">
            <v>35</v>
          </cell>
          <cell r="R589">
            <v>0</v>
          </cell>
          <cell r="S589">
            <v>0</v>
          </cell>
          <cell r="T589">
            <v>0</v>
          </cell>
          <cell r="U589">
            <v>0</v>
          </cell>
          <cell r="V589">
            <v>2947.94</v>
          </cell>
          <cell r="W589">
            <v>2912.94</v>
          </cell>
        </row>
        <row r="590">
          <cell r="A590" t="str">
            <v>Ameriqual Foods, Inc.</v>
          </cell>
          <cell r="B590">
            <v>50</v>
          </cell>
          <cell r="C590">
            <v>37530</v>
          </cell>
          <cell r="D590">
            <v>37530</v>
          </cell>
          <cell r="E590">
            <v>7000</v>
          </cell>
          <cell r="F590">
            <v>2842</v>
          </cell>
          <cell r="G590">
            <v>0</v>
          </cell>
          <cell r="H590">
            <v>75</v>
          </cell>
          <cell r="I590">
            <v>0</v>
          </cell>
          <cell r="J590">
            <v>0</v>
          </cell>
          <cell r="K590">
            <v>0</v>
          </cell>
          <cell r="L590">
            <v>0</v>
          </cell>
          <cell r="M590">
            <v>0</v>
          </cell>
          <cell r="N590">
            <v>0</v>
          </cell>
          <cell r="O590">
            <v>0</v>
          </cell>
          <cell r="P590">
            <v>0</v>
          </cell>
          <cell r="Q590">
            <v>35</v>
          </cell>
          <cell r="R590">
            <v>0</v>
          </cell>
          <cell r="S590">
            <v>0</v>
          </cell>
          <cell r="T590">
            <v>0</v>
          </cell>
          <cell r="U590">
            <v>0</v>
          </cell>
          <cell r="V590">
            <v>2952</v>
          </cell>
          <cell r="W590">
            <v>2917</v>
          </cell>
        </row>
        <row r="591">
          <cell r="A591" t="str">
            <v>Ameriqual Foods, Inc.</v>
          </cell>
          <cell r="B591">
            <v>50</v>
          </cell>
          <cell r="C591">
            <v>37561</v>
          </cell>
          <cell r="D591">
            <v>37561</v>
          </cell>
          <cell r="E591">
            <v>7000</v>
          </cell>
          <cell r="F591">
            <v>2842</v>
          </cell>
          <cell r="G591">
            <v>0</v>
          </cell>
          <cell r="H591">
            <v>75</v>
          </cell>
          <cell r="I591">
            <v>0</v>
          </cell>
          <cell r="J591">
            <v>0</v>
          </cell>
          <cell r="K591">
            <v>0</v>
          </cell>
          <cell r="L591">
            <v>0</v>
          </cell>
          <cell r="M591">
            <v>0</v>
          </cell>
          <cell r="N591">
            <v>0</v>
          </cell>
          <cell r="O591">
            <v>0</v>
          </cell>
          <cell r="P591">
            <v>0</v>
          </cell>
          <cell r="Q591">
            <v>35</v>
          </cell>
          <cell r="R591">
            <v>0</v>
          </cell>
          <cell r="S591">
            <v>0</v>
          </cell>
          <cell r="T591">
            <v>0</v>
          </cell>
          <cell r="U591">
            <v>0</v>
          </cell>
          <cell r="V591">
            <v>2952</v>
          </cell>
          <cell r="W591">
            <v>2917</v>
          </cell>
        </row>
        <row r="592">
          <cell r="A592" t="str">
            <v>Ameriqual Foods, Inc.</v>
          </cell>
          <cell r="B592">
            <v>50</v>
          </cell>
          <cell r="C592">
            <v>37591</v>
          </cell>
          <cell r="D592">
            <v>37591</v>
          </cell>
          <cell r="E592">
            <v>7000</v>
          </cell>
          <cell r="F592">
            <v>2842</v>
          </cell>
          <cell r="G592">
            <v>0</v>
          </cell>
          <cell r="H592">
            <v>75</v>
          </cell>
          <cell r="I592">
            <v>0</v>
          </cell>
          <cell r="J592">
            <v>0</v>
          </cell>
          <cell r="K592">
            <v>0</v>
          </cell>
          <cell r="L592">
            <v>0</v>
          </cell>
          <cell r="M592">
            <v>0</v>
          </cell>
          <cell r="N592">
            <v>0</v>
          </cell>
          <cell r="O592">
            <v>0</v>
          </cell>
          <cell r="P592">
            <v>0</v>
          </cell>
          <cell r="Q592">
            <v>35</v>
          </cell>
          <cell r="R592">
            <v>0</v>
          </cell>
          <cell r="S592">
            <v>0</v>
          </cell>
          <cell r="T592">
            <v>0</v>
          </cell>
          <cell r="U592">
            <v>0</v>
          </cell>
          <cell r="V592">
            <v>2952</v>
          </cell>
          <cell r="W592">
            <v>2917</v>
          </cell>
        </row>
        <row r="593">
          <cell r="A593" t="str">
            <v>Vincennes University</v>
          </cell>
          <cell r="B593">
            <v>53</v>
          </cell>
          <cell r="C593">
            <v>37257</v>
          </cell>
          <cell r="D593">
            <v>37257</v>
          </cell>
          <cell r="E593">
            <v>8000</v>
          </cell>
          <cell r="F593">
            <v>3248</v>
          </cell>
          <cell r="G593">
            <v>0</v>
          </cell>
          <cell r="H593">
            <v>75</v>
          </cell>
          <cell r="I593">
            <v>0</v>
          </cell>
          <cell r="J593">
            <v>0</v>
          </cell>
          <cell r="K593">
            <v>0</v>
          </cell>
          <cell r="L593">
            <v>0</v>
          </cell>
          <cell r="M593">
            <v>-208</v>
          </cell>
          <cell r="N593">
            <v>8000</v>
          </cell>
          <cell r="O593">
            <v>24</v>
          </cell>
          <cell r="P593">
            <v>0</v>
          </cell>
          <cell r="Q593">
            <v>35</v>
          </cell>
          <cell r="R593">
            <v>0</v>
          </cell>
          <cell r="S593">
            <v>0</v>
          </cell>
          <cell r="T593">
            <v>0</v>
          </cell>
          <cell r="U593">
            <v>0</v>
          </cell>
          <cell r="V593">
            <v>3174</v>
          </cell>
          <cell r="W593">
            <v>3139</v>
          </cell>
        </row>
        <row r="594">
          <cell r="A594" t="str">
            <v>Vincennes University</v>
          </cell>
          <cell r="B594">
            <v>53</v>
          </cell>
          <cell r="C594">
            <v>37288</v>
          </cell>
          <cell r="D594">
            <v>37288</v>
          </cell>
          <cell r="E594">
            <v>6692</v>
          </cell>
          <cell r="F594">
            <v>2716.95</v>
          </cell>
          <cell r="G594">
            <v>0</v>
          </cell>
          <cell r="H594">
            <v>75</v>
          </cell>
          <cell r="I594">
            <v>0</v>
          </cell>
          <cell r="J594">
            <v>0</v>
          </cell>
          <cell r="K594">
            <v>0</v>
          </cell>
          <cell r="L594">
            <v>0</v>
          </cell>
          <cell r="M594">
            <v>26.77</v>
          </cell>
          <cell r="N594">
            <v>6692</v>
          </cell>
          <cell r="O594">
            <v>-6.69</v>
          </cell>
          <cell r="P594">
            <v>0</v>
          </cell>
          <cell r="Q594">
            <v>35</v>
          </cell>
          <cell r="R594">
            <v>0</v>
          </cell>
          <cell r="S594">
            <v>0</v>
          </cell>
          <cell r="T594">
            <v>0</v>
          </cell>
          <cell r="U594">
            <v>0</v>
          </cell>
          <cell r="V594">
            <v>2847.03</v>
          </cell>
          <cell r="W594">
            <v>2812.03</v>
          </cell>
        </row>
        <row r="595">
          <cell r="A595" t="str">
            <v>Vincennes University</v>
          </cell>
          <cell r="B595">
            <v>53</v>
          </cell>
          <cell r="C595">
            <v>37316</v>
          </cell>
          <cell r="D595">
            <v>37316</v>
          </cell>
          <cell r="E595">
            <v>4497</v>
          </cell>
          <cell r="F595">
            <v>1825.78</v>
          </cell>
          <cell r="G595">
            <v>0</v>
          </cell>
          <cell r="H595">
            <v>75</v>
          </cell>
          <cell r="I595">
            <v>0</v>
          </cell>
          <cell r="J595">
            <v>0</v>
          </cell>
          <cell r="K595">
            <v>0</v>
          </cell>
          <cell r="L595">
            <v>0</v>
          </cell>
          <cell r="M595">
            <v>17.989999999999998</v>
          </cell>
          <cell r="N595">
            <v>4497</v>
          </cell>
          <cell r="O595">
            <v>-4.5</v>
          </cell>
          <cell r="P595">
            <v>0</v>
          </cell>
          <cell r="Q595">
            <v>35</v>
          </cell>
          <cell r="R595">
            <v>0</v>
          </cell>
          <cell r="S595">
            <v>0</v>
          </cell>
          <cell r="T595">
            <v>0</v>
          </cell>
          <cell r="U595">
            <v>0</v>
          </cell>
          <cell r="V595">
            <v>1949.27</v>
          </cell>
          <cell r="W595">
            <v>1914.27</v>
          </cell>
        </row>
        <row r="596">
          <cell r="A596" t="str">
            <v>Vincennes University</v>
          </cell>
          <cell r="B596">
            <v>53</v>
          </cell>
          <cell r="C596">
            <v>37347</v>
          </cell>
          <cell r="D596">
            <v>37347</v>
          </cell>
          <cell r="E596">
            <v>0</v>
          </cell>
          <cell r="F596">
            <v>0</v>
          </cell>
          <cell r="G596">
            <v>0</v>
          </cell>
          <cell r="H596">
            <v>75</v>
          </cell>
          <cell r="I596">
            <v>0</v>
          </cell>
          <cell r="J596">
            <v>0</v>
          </cell>
          <cell r="K596">
            <v>0</v>
          </cell>
          <cell r="L596">
            <v>0</v>
          </cell>
          <cell r="M596">
            <v>0</v>
          </cell>
          <cell r="N596">
            <v>0</v>
          </cell>
          <cell r="O596">
            <v>0</v>
          </cell>
          <cell r="P596">
            <v>0</v>
          </cell>
          <cell r="Q596">
            <v>35</v>
          </cell>
          <cell r="R596">
            <v>0</v>
          </cell>
          <cell r="S596">
            <v>0</v>
          </cell>
          <cell r="T596">
            <v>0</v>
          </cell>
          <cell r="U596">
            <v>0</v>
          </cell>
          <cell r="V596">
            <v>110</v>
          </cell>
          <cell r="W596">
            <v>75</v>
          </cell>
        </row>
        <row r="597">
          <cell r="A597" t="str">
            <v>Vincennes University</v>
          </cell>
          <cell r="B597">
            <v>53</v>
          </cell>
          <cell r="C597">
            <v>37377</v>
          </cell>
          <cell r="D597">
            <v>37377</v>
          </cell>
          <cell r="E597">
            <v>3600</v>
          </cell>
          <cell r="F597">
            <v>1461.6</v>
          </cell>
          <cell r="G597">
            <v>0</v>
          </cell>
          <cell r="H597">
            <v>75</v>
          </cell>
          <cell r="I597">
            <v>0</v>
          </cell>
          <cell r="J597">
            <v>0</v>
          </cell>
          <cell r="K597">
            <v>0</v>
          </cell>
          <cell r="L597">
            <v>0</v>
          </cell>
          <cell r="M597">
            <v>0</v>
          </cell>
          <cell r="N597">
            <v>0</v>
          </cell>
          <cell r="O597">
            <v>0</v>
          </cell>
          <cell r="P597">
            <v>0</v>
          </cell>
          <cell r="Q597">
            <v>35</v>
          </cell>
          <cell r="R597">
            <v>0</v>
          </cell>
          <cell r="S597">
            <v>0</v>
          </cell>
          <cell r="T597">
            <v>0</v>
          </cell>
          <cell r="U597">
            <v>0</v>
          </cell>
          <cell r="V597">
            <v>1571.6</v>
          </cell>
          <cell r="W597">
            <v>1536.6</v>
          </cell>
        </row>
        <row r="598">
          <cell r="A598" t="str">
            <v>Vincennes University</v>
          </cell>
          <cell r="B598">
            <v>53</v>
          </cell>
          <cell r="C598">
            <v>37408</v>
          </cell>
          <cell r="D598">
            <v>37408</v>
          </cell>
          <cell r="E598">
            <v>2000</v>
          </cell>
          <cell r="F598">
            <v>812</v>
          </cell>
          <cell r="G598">
            <v>0</v>
          </cell>
          <cell r="H598">
            <v>75</v>
          </cell>
          <cell r="I598">
            <v>0</v>
          </cell>
          <cell r="J598">
            <v>0</v>
          </cell>
          <cell r="K598">
            <v>0</v>
          </cell>
          <cell r="L598">
            <v>0</v>
          </cell>
          <cell r="M598">
            <v>0</v>
          </cell>
          <cell r="N598">
            <v>0</v>
          </cell>
          <cell r="O598">
            <v>0</v>
          </cell>
          <cell r="P598">
            <v>0</v>
          </cell>
          <cell r="Q598">
            <v>35</v>
          </cell>
          <cell r="R598">
            <v>0</v>
          </cell>
          <cell r="S598">
            <v>0</v>
          </cell>
          <cell r="T598">
            <v>0</v>
          </cell>
          <cell r="U598">
            <v>0</v>
          </cell>
          <cell r="V598">
            <v>922</v>
          </cell>
          <cell r="W598">
            <v>887</v>
          </cell>
        </row>
        <row r="599">
          <cell r="A599" t="str">
            <v>Vincennes University</v>
          </cell>
          <cell r="B599">
            <v>53</v>
          </cell>
          <cell r="C599">
            <v>37438</v>
          </cell>
          <cell r="D599">
            <v>37438</v>
          </cell>
          <cell r="E599">
            <v>3000</v>
          </cell>
          <cell r="F599">
            <v>1218</v>
          </cell>
          <cell r="G599">
            <v>0</v>
          </cell>
          <cell r="H599">
            <v>75</v>
          </cell>
          <cell r="I599">
            <v>0</v>
          </cell>
          <cell r="J599">
            <v>0</v>
          </cell>
          <cell r="K599">
            <v>0</v>
          </cell>
          <cell r="L599">
            <v>0</v>
          </cell>
          <cell r="M599">
            <v>0</v>
          </cell>
          <cell r="N599">
            <v>0</v>
          </cell>
          <cell r="O599">
            <v>0</v>
          </cell>
          <cell r="P599">
            <v>0</v>
          </cell>
          <cell r="Q599">
            <v>35</v>
          </cell>
          <cell r="R599">
            <v>0</v>
          </cell>
          <cell r="S599">
            <v>0</v>
          </cell>
          <cell r="T599">
            <v>0</v>
          </cell>
          <cell r="U599">
            <v>0</v>
          </cell>
          <cell r="V599">
            <v>1328</v>
          </cell>
          <cell r="W599">
            <v>1293</v>
          </cell>
        </row>
        <row r="600">
          <cell r="A600" t="str">
            <v>Vincennes University</v>
          </cell>
          <cell r="B600">
            <v>53</v>
          </cell>
          <cell r="C600">
            <v>37469</v>
          </cell>
          <cell r="D600">
            <v>37469</v>
          </cell>
          <cell r="E600">
            <v>2837</v>
          </cell>
          <cell r="F600">
            <v>1151.82</v>
          </cell>
          <cell r="G600">
            <v>0</v>
          </cell>
          <cell r="H600">
            <v>75</v>
          </cell>
          <cell r="I600">
            <v>0</v>
          </cell>
          <cell r="J600">
            <v>0</v>
          </cell>
          <cell r="K600">
            <v>0</v>
          </cell>
          <cell r="L600">
            <v>0</v>
          </cell>
          <cell r="M600">
            <v>0</v>
          </cell>
          <cell r="N600">
            <v>0</v>
          </cell>
          <cell r="O600">
            <v>0</v>
          </cell>
          <cell r="P600">
            <v>0</v>
          </cell>
          <cell r="Q600">
            <v>35</v>
          </cell>
          <cell r="R600">
            <v>0</v>
          </cell>
          <cell r="S600">
            <v>0</v>
          </cell>
          <cell r="T600">
            <v>0</v>
          </cell>
          <cell r="U600">
            <v>0</v>
          </cell>
          <cell r="V600">
            <v>1261.82</v>
          </cell>
          <cell r="W600">
            <v>1226.82</v>
          </cell>
        </row>
        <row r="601">
          <cell r="A601" t="str">
            <v>Vincennes University</v>
          </cell>
          <cell r="B601">
            <v>53</v>
          </cell>
          <cell r="C601">
            <v>37500</v>
          </cell>
          <cell r="D601">
            <v>37500</v>
          </cell>
          <cell r="E601">
            <v>3493</v>
          </cell>
          <cell r="F601">
            <v>1418.16</v>
          </cell>
          <cell r="G601">
            <v>0</v>
          </cell>
          <cell r="H601">
            <v>75</v>
          </cell>
          <cell r="I601">
            <v>0</v>
          </cell>
          <cell r="J601">
            <v>0</v>
          </cell>
          <cell r="K601">
            <v>0</v>
          </cell>
          <cell r="L601">
            <v>0</v>
          </cell>
          <cell r="M601">
            <v>0</v>
          </cell>
          <cell r="N601">
            <v>0</v>
          </cell>
          <cell r="O601">
            <v>0</v>
          </cell>
          <cell r="P601">
            <v>0</v>
          </cell>
          <cell r="Q601">
            <v>35</v>
          </cell>
          <cell r="R601">
            <v>69.989999999999995</v>
          </cell>
          <cell r="S601">
            <v>1878.8</v>
          </cell>
          <cell r="T601">
            <v>427</v>
          </cell>
          <cell r="U601">
            <v>1878.8</v>
          </cell>
          <cell r="V601">
            <v>3476.95</v>
          </cell>
          <cell r="W601">
            <v>1493.16</v>
          </cell>
        </row>
        <row r="602">
          <cell r="A602" t="str">
            <v>Vincennes University</v>
          </cell>
          <cell r="B602">
            <v>53</v>
          </cell>
          <cell r="C602">
            <v>37530</v>
          </cell>
          <cell r="D602">
            <v>37530</v>
          </cell>
          <cell r="E602">
            <v>5476</v>
          </cell>
          <cell r="F602">
            <v>2223.2600000000002</v>
          </cell>
          <cell r="G602">
            <v>0</v>
          </cell>
          <cell r="H602">
            <v>75</v>
          </cell>
          <cell r="I602">
            <v>0</v>
          </cell>
          <cell r="J602">
            <v>0</v>
          </cell>
          <cell r="K602">
            <v>0</v>
          </cell>
          <cell r="L602">
            <v>0</v>
          </cell>
          <cell r="M602">
            <v>0</v>
          </cell>
          <cell r="N602">
            <v>0</v>
          </cell>
          <cell r="O602">
            <v>0</v>
          </cell>
          <cell r="P602">
            <v>0</v>
          </cell>
          <cell r="Q602">
            <v>35</v>
          </cell>
          <cell r="R602">
            <v>66.22</v>
          </cell>
          <cell r="S602">
            <v>5336.5599999999995</v>
          </cell>
          <cell r="T602">
            <v>404</v>
          </cell>
          <cell r="U602">
            <v>1859.61</v>
          </cell>
          <cell r="V602">
            <v>7736.04</v>
          </cell>
          <cell r="W602">
            <v>2298.2600000000002</v>
          </cell>
        </row>
        <row r="603">
          <cell r="A603" t="str">
            <v>Vincennes University</v>
          </cell>
          <cell r="B603">
            <v>53</v>
          </cell>
          <cell r="C603">
            <v>37561</v>
          </cell>
          <cell r="D603">
            <v>37561</v>
          </cell>
          <cell r="E603">
            <v>7390</v>
          </cell>
          <cell r="F603">
            <v>3000.34</v>
          </cell>
          <cell r="G603">
            <v>0</v>
          </cell>
          <cell r="H603">
            <v>75</v>
          </cell>
          <cell r="I603">
            <v>0</v>
          </cell>
          <cell r="J603">
            <v>0</v>
          </cell>
          <cell r="K603">
            <v>0</v>
          </cell>
          <cell r="L603">
            <v>0</v>
          </cell>
          <cell r="M603">
            <v>0</v>
          </cell>
          <cell r="N603">
            <v>0</v>
          </cell>
          <cell r="O603">
            <v>0</v>
          </cell>
          <cell r="P603">
            <v>0</v>
          </cell>
          <cell r="Q603">
            <v>35</v>
          </cell>
          <cell r="R603">
            <v>0</v>
          </cell>
          <cell r="S603">
            <v>4192.87</v>
          </cell>
          <cell r="T603">
            <v>0</v>
          </cell>
          <cell r="U603">
            <v>0</v>
          </cell>
          <cell r="V603">
            <v>7303.21</v>
          </cell>
          <cell r="W603">
            <v>3075.34</v>
          </cell>
        </row>
        <row r="604">
          <cell r="A604" t="str">
            <v>Vincennes University</v>
          </cell>
          <cell r="B604">
            <v>53</v>
          </cell>
          <cell r="C604">
            <v>37591</v>
          </cell>
          <cell r="D604">
            <v>37591</v>
          </cell>
          <cell r="E604">
            <v>7703</v>
          </cell>
          <cell r="F604">
            <v>3127.42</v>
          </cell>
          <cell r="G604">
            <v>0</v>
          </cell>
          <cell r="H604">
            <v>75</v>
          </cell>
          <cell r="I604">
            <v>0</v>
          </cell>
          <cell r="J604">
            <v>0</v>
          </cell>
          <cell r="K604">
            <v>0</v>
          </cell>
          <cell r="L604">
            <v>0</v>
          </cell>
          <cell r="M604">
            <v>0</v>
          </cell>
          <cell r="N604">
            <v>0</v>
          </cell>
          <cell r="O604">
            <v>0</v>
          </cell>
          <cell r="P604">
            <v>0</v>
          </cell>
          <cell r="Q604">
            <v>35</v>
          </cell>
          <cell r="R604">
            <v>0</v>
          </cell>
          <cell r="S604">
            <v>1448.13</v>
          </cell>
          <cell r="T604">
            <v>272</v>
          </cell>
          <cell r="U604">
            <v>1448.13</v>
          </cell>
          <cell r="V604">
            <v>4685.55</v>
          </cell>
          <cell r="W604">
            <v>3202.42</v>
          </cell>
        </row>
        <row r="605">
          <cell r="A605" t="str">
            <v>Packaging Corporation of America</v>
          </cell>
          <cell r="B605">
            <v>55</v>
          </cell>
          <cell r="C605">
            <v>37257</v>
          </cell>
          <cell r="D605">
            <v>37257</v>
          </cell>
          <cell r="E605">
            <v>5655</v>
          </cell>
          <cell r="F605">
            <v>2295.9299999999998</v>
          </cell>
          <cell r="G605">
            <v>0</v>
          </cell>
          <cell r="H605">
            <v>75</v>
          </cell>
          <cell r="I605">
            <v>0</v>
          </cell>
          <cell r="J605">
            <v>0</v>
          </cell>
          <cell r="K605">
            <v>0</v>
          </cell>
          <cell r="L605">
            <v>0</v>
          </cell>
          <cell r="M605">
            <v>-147.03</v>
          </cell>
          <cell r="N605">
            <v>5655</v>
          </cell>
          <cell r="O605">
            <v>16.96</v>
          </cell>
          <cell r="P605">
            <v>0</v>
          </cell>
          <cell r="Q605">
            <v>35</v>
          </cell>
          <cell r="R605">
            <v>1.75</v>
          </cell>
          <cell r="S605">
            <v>0</v>
          </cell>
          <cell r="T605">
            <v>0</v>
          </cell>
          <cell r="U605">
            <v>0</v>
          </cell>
          <cell r="V605">
            <v>2277.61</v>
          </cell>
          <cell r="W605">
            <v>2240.86</v>
          </cell>
        </row>
        <row r="606">
          <cell r="A606" t="str">
            <v>Packaging Corporation of America</v>
          </cell>
          <cell r="B606">
            <v>55</v>
          </cell>
          <cell r="C606">
            <v>37288</v>
          </cell>
          <cell r="D606">
            <v>37288</v>
          </cell>
          <cell r="E606">
            <v>5704</v>
          </cell>
          <cell r="F606">
            <v>2315.8200000000002</v>
          </cell>
          <cell r="G606">
            <v>0</v>
          </cell>
          <cell r="H606">
            <v>75</v>
          </cell>
          <cell r="I606">
            <v>0</v>
          </cell>
          <cell r="J606">
            <v>0</v>
          </cell>
          <cell r="K606">
            <v>0</v>
          </cell>
          <cell r="L606">
            <v>0</v>
          </cell>
          <cell r="M606">
            <v>22.82</v>
          </cell>
          <cell r="N606">
            <v>5704</v>
          </cell>
          <cell r="O606">
            <v>-5.7</v>
          </cell>
          <cell r="P606">
            <v>0</v>
          </cell>
          <cell r="Q606">
            <v>35</v>
          </cell>
          <cell r="R606">
            <v>1.75</v>
          </cell>
          <cell r="S606">
            <v>0</v>
          </cell>
          <cell r="T606">
            <v>0</v>
          </cell>
          <cell r="U606">
            <v>0</v>
          </cell>
          <cell r="V606">
            <v>2444.69</v>
          </cell>
          <cell r="W606">
            <v>2407.94</v>
          </cell>
        </row>
        <row r="607">
          <cell r="A607" t="str">
            <v>Packaging Corporation of America</v>
          </cell>
          <cell r="B607">
            <v>55</v>
          </cell>
          <cell r="C607">
            <v>37316</v>
          </cell>
          <cell r="D607">
            <v>37316</v>
          </cell>
          <cell r="E607">
            <v>4340</v>
          </cell>
          <cell r="F607">
            <v>1762.04</v>
          </cell>
          <cell r="G607">
            <v>0</v>
          </cell>
          <cell r="H607">
            <v>75</v>
          </cell>
          <cell r="I607">
            <v>0</v>
          </cell>
          <cell r="J607">
            <v>0</v>
          </cell>
          <cell r="K607">
            <v>0</v>
          </cell>
          <cell r="L607">
            <v>0</v>
          </cell>
          <cell r="M607">
            <v>17.36</v>
          </cell>
          <cell r="N607">
            <v>4340</v>
          </cell>
          <cell r="O607">
            <v>-4.34</v>
          </cell>
          <cell r="P607">
            <v>0</v>
          </cell>
          <cell r="Q607">
            <v>35</v>
          </cell>
          <cell r="R607">
            <v>1.75</v>
          </cell>
          <cell r="S607">
            <v>0</v>
          </cell>
          <cell r="T607">
            <v>0</v>
          </cell>
          <cell r="U607">
            <v>0</v>
          </cell>
          <cell r="V607">
            <v>1886.81</v>
          </cell>
          <cell r="W607">
            <v>1850.06</v>
          </cell>
        </row>
        <row r="608">
          <cell r="A608" t="str">
            <v>Packaging Corporation of America</v>
          </cell>
          <cell r="B608">
            <v>55</v>
          </cell>
          <cell r="C608">
            <v>37347</v>
          </cell>
          <cell r="D608">
            <v>37347</v>
          </cell>
          <cell r="E608">
            <v>3690</v>
          </cell>
          <cell r="F608">
            <v>1498.14</v>
          </cell>
          <cell r="G608">
            <v>0</v>
          </cell>
          <cell r="H608">
            <v>75</v>
          </cell>
          <cell r="I608">
            <v>0</v>
          </cell>
          <cell r="J608">
            <v>0</v>
          </cell>
          <cell r="K608">
            <v>0</v>
          </cell>
          <cell r="L608">
            <v>0</v>
          </cell>
          <cell r="M608">
            <v>14.76</v>
          </cell>
          <cell r="N608">
            <v>3690</v>
          </cell>
          <cell r="O608">
            <v>-3.69</v>
          </cell>
          <cell r="P608">
            <v>0</v>
          </cell>
          <cell r="Q608">
            <v>35</v>
          </cell>
          <cell r="R608">
            <v>1.75</v>
          </cell>
          <cell r="S608">
            <v>0</v>
          </cell>
          <cell r="T608">
            <v>0</v>
          </cell>
          <cell r="U608">
            <v>0</v>
          </cell>
          <cell r="V608">
            <v>1620.96</v>
          </cell>
          <cell r="W608">
            <v>1584.21</v>
          </cell>
        </row>
        <row r="609">
          <cell r="A609" t="str">
            <v>Packaging Corporation of America</v>
          </cell>
          <cell r="B609">
            <v>55</v>
          </cell>
          <cell r="C609">
            <v>37377</v>
          </cell>
          <cell r="D609">
            <v>37377</v>
          </cell>
          <cell r="E609">
            <v>3600</v>
          </cell>
          <cell r="F609">
            <v>1461.6</v>
          </cell>
          <cell r="G609">
            <v>0</v>
          </cell>
          <cell r="H609">
            <v>75</v>
          </cell>
          <cell r="I609">
            <v>0</v>
          </cell>
          <cell r="J609">
            <v>0</v>
          </cell>
          <cell r="K609">
            <v>0</v>
          </cell>
          <cell r="L609">
            <v>0</v>
          </cell>
          <cell r="M609">
            <v>0</v>
          </cell>
          <cell r="N609">
            <v>0</v>
          </cell>
          <cell r="O609">
            <v>0</v>
          </cell>
          <cell r="P609">
            <v>0</v>
          </cell>
          <cell r="Q609">
            <v>35</v>
          </cell>
          <cell r="R609">
            <v>1.75</v>
          </cell>
          <cell r="S609">
            <v>0</v>
          </cell>
          <cell r="T609">
            <v>0</v>
          </cell>
          <cell r="U609">
            <v>0</v>
          </cell>
          <cell r="V609">
            <v>1573.35</v>
          </cell>
          <cell r="W609">
            <v>1536.6</v>
          </cell>
        </row>
        <row r="610">
          <cell r="A610" t="str">
            <v>Packaging Corporation of America</v>
          </cell>
          <cell r="B610">
            <v>55</v>
          </cell>
          <cell r="C610">
            <v>37408</v>
          </cell>
          <cell r="D610">
            <v>37408</v>
          </cell>
          <cell r="E610">
            <v>3000</v>
          </cell>
          <cell r="F610">
            <v>1218</v>
          </cell>
          <cell r="G610">
            <v>0</v>
          </cell>
          <cell r="H610">
            <v>75</v>
          </cell>
          <cell r="I610">
            <v>0</v>
          </cell>
          <cell r="J610">
            <v>0</v>
          </cell>
          <cell r="K610">
            <v>0</v>
          </cell>
          <cell r="L610">
            <v>0</v>
          </cell>
          <cell r="M610">
            <v>0</v>
          </cell>
          <cell r="N610">
            <v>0</v>
          </cell>
          <cell r="O610">
            <v>0</v>
          </cell>
          <cell r="P610">
            <v>0</v>
          </cell>
          <cell r="Q610">
            <v>35</v>
          </cell>
          <cell r="R610">
            <v>1.75</v>
          </cell>
          <cell r="S610">
            <v>0</v>
          </cell>
          <cell r="T610">
            <v>0</v>
          </cell>
          <cell r="U610">
            <v>0</v>
          </cell>
          <cell r="V610">
            <v>1329.75</v>
          </cell>
          <cell r="W610">
            <v>1293</v>
          </cell>
        </row>
        <row r="611">
          <cell r="A611" t="str">
            <v>Packaging Corporation of America</v>
          </cell>
          <cell r="B611">
            <v>55</v>
          </cell>
          <cell r="C611">
            <v>37438</v>
          </cell>
          <cell r="D611">
            <v>37438</v>
          </cell>
          <cell r="E611">
            <v>3070</v>
          </cell>
          <cell r="F611">
            <v>1246.42</v>
          </cell>
          <cell r="G611">
            <v>0</v>
          </cell>
          <cell r="H611">
            <v>75</v>
          </cell>
          <cell r="I611">
            <v>0</v>
          </cell>
          <cell r="J611">
            <v>0</v>
          </cell>
          <cell r="K611">
            <v>0</v>
          </cell>
          <cell r="L611">
            <v>0</v>
          </cell>
          <cell r="M611">
            <v>0</v>
          </cell>
          <cell r="N611">
            <v>0</v>
          </cell>
          <cell r="O611">
            <v>0</v>
          </cell>
          <cell r="P611">
            <v>0</v>
          </cell>
          <cell r="Q611">
            <v>35</v>
          </cell>
          <cell r="R611">
            <v>1.75</v>
          </cell>
          <cell r="S611">
            <v>0</v>
          </cell>
          <cell r="T611">
            <v>0</v>
          </cell>
          <cell r="U611">
            <v>0</v>
          </cell>
          <cell r="V611">
            <v>1358.17</v>
          </cell>
          <cell r="W611">
            <v>1321.42</v>
          </cell>
        </row>
        <row r="612">
          <cell r="A612" t="str">
            <v>Packaging Corporation of America</v>
          </cell>
          <cell r="B612">
            <v>55</v>
          </cell>
          <cell r="C612">
            <v>37469</v>
          </cell>
          <cell r="D612">
            <v>37469</v>
          </cell>
          <cell r="E612">
            <v>3472</v>
          </cell>
          <cell r="F612">
            <v>1409.63</v>
          </cell>
          <cell r="G612">
            <v>0</v>
          </cell>
          <cell r="H612">
            <v>75</v>
          </cell>
          <cell r="I612">
            <v>0</v>
          </cell>
          <cell r="J612">
            <v>0</v>
          </cell>
          <cell r="K612">
            <v>0</v>
          </cell>
          <cell r="L612">
            <v>0</v>
          </cell>
          <cell r="M612">
            <v>0</v>
          </cell>
          <cell r="N612">
            <v>0</v>
          </cell>
          <cell r="O612">
            <v>0</v>
          </cell>
          <cell r="P612">
            <v>0</v>
          </cell>
          <cell r="Q612">
            <v>35</v>
          </cell>
          <cell r="R612">
            <v>1.75</v>
          </cell>
          <cell r="S612">
            <v>0</v>
          </cell>
          <cell r="T612">
            <v>0</v>
          </cell>
          <cell r="U612">
            <v>0</v>
          </cell>
          <cell r="V612">
            <v>1521.38</v>
          </cell>
          <cell r="W612">
            <v>1484.63</v>
          </cell>
        </row>
        <row r="613">
          <cell r="A613" t="str">
            <v>Packaging Corporation of America</v>
          </cell>
          <cell r="B613">
            <v>55</v>
          </cell>
          <cell r="C613">
            <v>37500</v>
          </cell>
          <cell r="D613">
            <v>37500</v>
          </cell>
          <cell r="E613">
            <v>3210</v>
          </cell>
          <cell r="F613">
            <v>1303.26</v>
          </cell>
          <cell r="G613">
            <v>0</v>
          </cell>
          <cell r="H613">
            <v>75</v>
          </cell>
          <cell r="I613">
            <v>0</v>
          </cell>
          <cell r="J613">
            <v>0</v>
          </cell>
          <cell r="K613">
            <v>0</v>
          </cell>
          <cell r="L613">
            <v>0</v>
          </cell>
          <cell r="M613">
            <v>0</v>
          </cell>
          <cell r="N613">
            <v>0</v>
          </cell>
          <cell r="O613">
            <v>0</v>
          </cell>
          <cell r="P613">
            <v>0</v>
          </cell>
          <cell r="Q613">
            <v>35</v>
          </cell>
          <cell r="R613">
            <v>1.75</v>
          </cell>
          <cell r="S613">
            <v>0</v>
          </cell>
          <cell r="T613">
            <v>0</v>
          </cell>
          <cell r="U613">
            <v>0</v>
          </cell>
          <cell r="V613">
            <v>1415.01</v>
          </cell>
          <cell r="W613">
            <v>1378.26</v>
          </cell>
        </row>
        <row r="614">
          <cell r="A614" t="str">
            <v>Packaging Corporation of America</v>
          </cell>
          <cell r="B614">
            <v>55</v>
          </cell>
          <cell r="C614">
            <v>37530</v>
          </cell>
          <cell r="D614">
            <v>37530</v>
          </cell>
          <cell r="E614">
            <v>3980</v>
          </cell>
          <cell r="F614">
            <v>1615.88</v>
          </cell>
          <cell r="G614">
            <v>0</v>
          </cell>
          <cell r="H614">
            <v>75</v>
          </cell>
          <cell r="I614">
            <v>0</v>
          </cell>
          <cell r="J614">
            <v>0</v>
          </cell>
          <cell r="K614">
            <v>0</v>
          </cell>
          <cell r="L614">
            <v>0</v>
          </cell>
          <cell r="M614">
            <v>0</v>
          </cell>
          <cell r="N614">
            <v>0</v>
          </cell>
          <cell r="O614">
            <v>0</v>
          </cell>
          <cell r="P614">
            <v>0</v>
          </cell>
          <cell r="Q614">
            <v>35</v>
          </cell>
          <cell r="R614">
            <v>1.75</v>
          </cell>
          <cell r="S614">
            <v>0</v>
          </cell>
          <cell r="T614">
            <v>0</v>
          </cell>
          <cell r="U614">
            <v>0</v>
          </cell>
          <cell r="V614">
            <v>1727.63</v>
          </cell>
          <cell r="W614">
            <v>1690.88</v>
          </cell>
        </row>
        <row r="615">
          <cell r="A615" t="str">
            <v>Packaging Corporation of America</v>
          </cell>
          <cell r="B615">
            <v>55</v>
          </cell>
          <cell r="C615">
            <v>37561</v>
          </cell>
          <cell r="D615">
            <v>37561</v>
          </cell>
          <cell r="E615">
            <v>4843</v>
          </cell>
          <cell r="F615">
            <v>1966.26</v>
          </cell>
          <cell r="G615">
            <v>0</v>
          </cell>
          <cell r="H615">
            <v>75</v>
          </cell>
          <cell r="I615">
            <v>0</v>
          </cell>
          <cell r="J615">
            <v>0</v>
          </cell>
          <cell r="K615">
            <v>0</v>
          </cell>
          <cell r="L615">
            <v>0</v>
          </cell>
          <cell r="M615">
            <v>0</v>
          </cell>
          <cell r="N615">
            <v>0</v>
          </cell>
          <cell r="O615">
            <v>0</v>
          </cell>
          <cell r="P615">
            <v>0</v>
          </cell>
          <cell r="Q615">
            <v>35</v>
          </cell>
          <cell r="R615">
            <v>1.75</v>
          </cell>
          <cell r="S615">
            <v>0</v>
          </cell>
          <cell r="T615">
            <v>0</v>
          </cell>
          <cell r="U615">
            <v>0</v>
          </cell>
          <cell r="V615">
            <v>2078.0100000000002</v>
          </cell>
          <cell r="W615">
            <v>2041.26</v>
          </cell>
        </row>
        <row r="616">
          <cell r="A616" t="str">
            <v>Packaging Corporation of America</v>
          </cell>
          <cell r="B616">
            <v>55</v>
          </cell>
          <cell r="C616">
            <v>37591</v>
          </cell>
          <cell r="D616">
            <v>37591</v>
          </cell>
          <cell r="E616">
            <v>5797</v>
          </cell>
          <cell r="F616">
            <v>2353.58</v>
          </cell>
          <cell r="G616">
            <v>0</v>
          </cell>
          <cell r="H616">
            <v>75</v>
          </cell>
          <cell r="I616">
            <v>0</v>
          </cell>
          <cell r="J616">
            <v>0</v>
          </cell>
          <cell r="K616">
            <v>0</v>
          </cell>
          <cell r="L616">
            <v>0</v>
          </cell>
          <cell r="M616">
            <v>0</v>
          </cell>
          <cell r="N616">
            <v>0</v>
          </cell>
          <cell r="O616">
            <v>0</v>
          </cell>
          <cell r="P616">
            <v>0</v>
          </cell>
          <cell r="Q616">
            <v>35</v>
          </cell>
          <cell r="R616">
            <v>2.1</v>
          </cell>
          <cell r="S616">
            <v>0</v>
          </cell>
          <cell r="T616">
            <v>0</v>
          </cell>
          <cell r="U616">
            <v>0</v>
          </cell>
          <cell r="V616">
            <v>2465.6799999999998</v>
          </cell>
          <cell r="W616">
            <v>2428.58</v>
          </cell>
        </row>
        <row r="617">
          <cell r="A617" t="str">
            <v>Superior Essex Wire</v>
          </cell>
          <cell r="B617">
            <v>56</v>
          </cell>
          <cell r="C617">
            <v>37257</v>
          </cell>
          <cell r="D617">
            <v>37257</v>
          </cell>
          <cell r="E617">
            <v>40000</v>
          </cell>
          <cell r="F617">
            <v>16240</v>
          </cell>
          <cell r="G617">
            <v>0</v>
          </cell>
          <cell r="H617">
            <v>75</v>
          </cell>
          <cell r="I617">
            <v>0</v>
          </cell>
          <cell r="J617">
            <v>0</v>
          </cell>
          <cell r="K617">
            <v>0</v>
          </cell>
          <cell r="L617">
            <v>0</v>
          </cell>
          <cell r="M617">
            <v>-1040</v>
          </cell>
          <cell r="N617">
            <v>40000</v>
          </cell>
          <cell r="O617">
            <v>120</v>
          </cell>
          <cell r="P617">
            <v>0</v>
          </cell>
          <cell r="Q617">
            <v>35</v>
          </cell>
          <cell r="R617">
            <v>0</v>
          </cell>
          <cell r="S617">
            <v>0</v>
          </cell>
          <cell r="T617">
            <v>0</v>
          </cell>
          <cell r="U617">
            <v>0</v>
          </cell>
          <cell r="V617">
            <v>15430</v>
          </cell>
          <cell r="W617">
            <v>15395</v>
          </cell>
        </row>
        <row r="618">
          <cell r="A618" t="str">
            <v>Superior Essex Wire</v>
          </cell>
          <cell r="B618">
            <v>56</v>
          </cell>
          <cell r="C618">
            <v>37288</v>
          </cell>
          <cell r="D618">
            <v>37288</v>
          </cell>
          <cell r="E618">
            <v>40000</v>
          </cell>
          <cell r="F618">
            <v>16240</v>
          </cell>
          <cell r="G618">
            <v>0</v>
          </cell>
          <cell r="H618">
            <v>75</v>
          </cell>
          <cell r="I618">
            <v>0</v>
          </cell>
          <cell r="J618">
            <v>0</v>
          </cell>
          <cell r="K618">
            <v>0</v>
          </cell>
          <cell r="L618">
            <v>0</v>
          </cell>
          <cell r="M618">
            <v>160</v>
          </cell>
          <cell r="N618">
            <v>40000</v>
          </cell>
          <cell r="O618">
            <v>-40</v>
          </cell>
          <cell r="P618">
            <v>0</v>
          </cell>
          <cell r="Q618">
            <v>35</v>
          </cell>
          <cell r="R618">
            <v>0</v>
          </cell>
          <cell r="S618">
            <v>0</v>
          </cell>
          <cell r="T618">
            <v>0</v>
          </cell>
          <cell r="U618">
            <v>0</v>
          </cell>
          <cell r="V618">
            <v>16470</v>
          </cell>
          <cell r="W618">
            <v>16435</v>
          </cell>
        </row>
        <row r="619">
          <cell r="A619" t="str">
            <v>Superior Essex Wire</v>
          </cell>
          <cell r="B619">
            <v>56</v>
          </cell>
          <cell r="C619">
            <v>37316</v>
          </cell>
          <cell r="D619">
            <v>37316</v>
          </cell>
          <cell r="E619">
            <v>39990</v>
          </cell>
          <cell r="F619">
            <v>16235.94</v>
          </cell>
          <cell r="G619">
            <v>0</v>
          </cell>
          <cell r="H619">
            <v>75</v>
          </cell>
          <cell r="I619">
            <v>0</v>
          </cell>
          <cell r="J619">
            <v>0</v>
          </cell>
          <cell r="K619">
            <v>0</v>
          </cell>
          <cell r="L619">
            <v>0</v>
          </cell>
          <cell r="M619">
            <v>159.96</v>
          </cell>
          <cell r="N619">
            <v>39990</v>
          </cell>
          <cell r="O619">
            <v>-39.99</v>
          </cell>
          <cell r="P619">
            <v>0</v>
          </cell>
          <cell r="Q619">
            <v>35</v>
          </cell>
          <cell r="R619">
            <v>0</v>
          </cell>
          <cell r="S619">
            <v>0</v>
          </cell>
          <cell r="T619">
            <v>0</v>
          </cell>
          <cell r="U619">
            <v>0</v>
          </cell>
          <cell r="V619">
            <v>16465.91</v>
          </cell>
          <cell r="W619">
            <v>16430.91</v>
          </cell>
        </row>
        <row r="620">
          <cell r="A620" t="str">
            <v>Superior Essex Wire</v>
          </cell>
          <cell r="B620">
            <v>56</v>
          </cell>
          <cell r="C620">
            <v>37347</v>
          </cell>
          <cell r="D620">
            <v>37347</v>
          </cell>
          <cell r="E620">
            <v>20000</v>
          </cell>
          <cell r="F620">
            <v>8120</v>
          </cell>
          <cell r="G620">
            <v>0</v>
          </cell>
          <cell r="H620">
            <v>75</v>
          </cell>
          <cell r="I620">
            <v>0</v>
          </cell>
          <cell r="J620">
            <v>0</v>
          </cell>
          <cell r="K620">
            <v>0</v>
          </cell>
          <cell r="L620">
            <v>0</v>
          </cell>
          <cell r="M620">
            <v>80</v>
          </cell>
          <cell r="N620">
            <v>20000</v>
          </cell>
          <cell r="O620">
            <v>-20</v>
          </cell>
          <cell r="P620">
            <v>0</v>
          </cell>
          <cell r="Q620">
            <v>35</v>
          </cell>
          <cell r="R620">
            <v>0</v>
          </cell>
          <cell r="S620">
            <v>0</v>
          </cell>
          <cell r="T620">
            <v>0</v>
          </cell>
          <cell r="U620">
            <v>0</v>
          </cell>
          <cell r="V620">
            <v>8290</v>
          </cell>
          <cell r="W620">
            <v>8255</v>
          </cell>
        </row>
        <row r="621">
          <cell r="A621" t="str">
            <v>Superior Essex Wire</v>
          </cell>
          <cell r="B621">
            <v>56</v>
          </cell>
          <cell r="C621">
            <v>37377</v>
          </cell>
          <cell r="D621">
            <v>37377</v>
          </cell>
          <cell r="E621">
            <v>31482</v>
          </cell>
          <cell r="F621">
            <v>12781.69</v>
          </cell>
          <cell r="G621">
            <v>0</v>
          </cell>
          <cell r="H621">
            <v>75</v>
          </cell>
          <cell r="I621">
            <v>0</v>
          </cell>
          <cell r="J621">
            <v>0</v>
          </cell>
          <cell r="K621">
            <v>0</v>
          </cell>
          <cell r="L621">
            <v>0</v>
          </cell>
          <cell r="M621">
            <v>0</v>
          </cell>
          <cell r="N621">
            <v>0</v>
          </cell>
          <cell r="O621">
            <v>0</v>
          </cell>
          <cell r="P621">
            <v>0</v>
          </cell>
          <cell r="Q621">
            <v>35</v>
          </cell>
          <cell r="R621">
            <v>0</v>
          </cell>
          <cell r="S621">
            <v>0</v>
          </cell>
          <cell r="T621">
            <v>0</v>
          </cell>
          <cell r="U621">
            <v>0</v>
          </cell>
          <cell r="V621">
            <v>12891.69</v>
          </cell>
          <cell r="W621">
            <v>12856.69</v>
          </cell>
        </row>
        <row r="622">
          <cell r="A622" t="str">
            <v>Superior Essex Wire</v>
          </cell>
          <cell r="B622">
            <v>56</v>
          </cell>
          <cell r="C622">
            <v>37408</v>
          </cell>
          <cell r="D622">
            <v>37408</v>
          </cell>
          <cell r="E622">
            <v>20000</v>
          </cell>
          <cell r="F622">
            <v>8120</v>
          </cell>
          <cell r="G622">
            <v>0</v>
          </cell>
          <cell r="H622">
            <v>75</v>
          </cell>
          <cell r="I622">
            <v>0</v>
          </cell>
          <cell r="J622">
            <v>0</v>
          </cell>
          <cell r="K622">
            <v>0</v>
          </cell>
          <cell r="L622">
            <v>0</v>
          </cell>
          <cell r="M622">
            <v>0</v>
          </cell>
          <cell r="N622">
            <v>0</v>
          </cell>
          <cell r="O622">
            <v>0</v>
          </cell>
          <cell r="P622">
            <v>0</v>
          </cell>
          <cell r="Q622">
            <v>35</v>
          </cell>
          <cell r="R622">
            <v>0</v>
          </cell>
          <cell r="S622">
            <v>0</v>
          </cell>
          <cell r="T622">
            <v>0</v>
          </cell>
          <cell r="U622">
            <v>0</v>
          </cell>
          <cell r="V622">
            <v>8230</v>
          </cell>
          <cell r="W622">
            <v>8195</v>
          </cell>
        </row>
        <row r="623">
          <cell r="A623" t="str">
            <v>Superior Essex Wire</v>
          </cell>
          <cell r="B623">
            <v>56</v>
          </cell>
          <cell r="C623">
            <v>37438</v>
          </cell>
          <cell r="D623">
            <v>37438</v>
          </cell>
          <cell r="E623">
            <v>37140</v>
          </cell>
          <cell r="F623">
            <v>15078.84</v>
          </cell>
          <cell r="G623">
            <v>0</v>
          </cell>
          <cell r="H623">
            <v>75</v>
          </cell>
          <cell r="I623">
            <v>0</v>
          </cell>
          <cell r="J623">
            <v>0</v>
          </cell>
          <cell r="K623">
            <v>0</v>
          </cell>
          <cell r="L623">
            <v>0</v>
          </cell>
          <cell r="M623">
            <v>0</v>
          </cell>
          <cell r="N623">
            <v>0</v>
          </cell>
          <cell r="O623">
            <v>0</v>
          </cell>
          <cell r="P623">
            <v>0</v>
          </cell>
          <cell r="Q623">
            <v>35</v>
          </cell>
          <cell r="R623">
            <v>0</v>
          </cell>
          <cell r="S623">
            <v>0</v>
          </cell>
          <cell r="T623">
            <v>0</v>
          </cell>
          <cell r="U623">
            <v>0</v>
          </cell>
          <cell r="V623">
            <v>15188.84</v>
          </cell>
          <cell r="W623">
            <v>15153.84</v>
          </cell>
        </row>
        <row r="624">
          <cell r="A624" t="str">
            <v>Superior Essex Wire</v>
          </cell>
          <cell r="B624">
            <v>56</v>
          </cell>
          <cell r="C624">
            <v>37469</v>
          </cell>
          <cell r="D624">
            <v>37469</v>
          </cell>
          <cell r="E624">
            <v>40840</v>
          </cell>
          <cell r="F624">
            <v>16581.04</v>
          </cell>
          <cell r="G624">
            <v>0</v>
          </cell>
          <cell r="H624">
            <v>75</v>
          </cell>
          <cell r="I624">
            <v>0</v>
          </cell>
          <cell r="J624">
            <v>0</v>
          </cell>
          <cell r="K624">
            <v>0</v>
          </cell>
          <cell r="L624">
            <v>0</v>
          </cell>
          <cell r="M624">
            <v>0</v>
          </cell>
          <cell r="N624">
            <v>0</v>
          </cell>
          <cell r="O624">
            <v>0</v>
          </cell>
          <cell r="P624">
            <v>0</v>
          </cell>
          <cell r="Q624">
            <v>35</v>
          </cell>
          <cell r="R624">
            <v>0</v>
          </cell>
          <cell r="S624">
            <v>0</v>
          </cell>
          <cell r="T624">
            <v>0</v>
          </cell>
          <cell r="U624">
            <v>0</v>
          </cell>
          <cell r="V624">
            <v>16691.04</v>
          </cell>
          <cell r="W624">
            <v>16656.04</v>
          </cell>
        </row>
        <row r="625">
          <cell r="A625" t="str">
            <v>Superior Essex Wire</v>
          </cell>
          <cell r="B625">
            <v>56</v>
          </cell>
          <cell r="C625">
            <v>37500</v>
          </cell>
          <cell r="D625">
            <v>37500</v>
          </cell>
          <cell r="E625">
            <v>34556</v>
          </cell>
          <cell r="F625">
            <v>14029.74</v>
          </cell>
          <cell r="G625">
            <v>0</v>
          </cell>
          <cell r="H625">
            <v>75</v>
          </cell>
          <cell r="I625">
            <v>0</v>
          </cell>
          <cell r="J625">
            <v>0</v>
          </cell>
          <cell r="K625">
            <v>0</v>
          </cell>
          <cell r="L625">
            <v>0</v>
          </cell>
          <cell r="M625">
            <v>0</v>
          </cell>
          <cell r="N625">
            <v>0</v>
          </cell>
          <cell r="O625">
            <v>0</v>
          </cell>
          <cell r="P625">
            <v>0</v>
          </cell>
          <cell r="Q625">
            <v>35</v>
          </cell>
          <cell r="R625">
            <v>0</v>
          </cell>
          <cell r="S625">
            <v>0</v>
          </cell>
          <cell r="T625">
            <v>0</v>
          </cell>
          <cell r="U625">
            <v>0</v>
          </cell>
          <cell r="V625">
            <v>14139.74</v>
          </cell>
          <cell r="W625">
            <v>14104.74</v>
          </cell>
        </row>
        <row r="626">
          <cell r="A626" t="str">
            <v>Superior Essex Wire</v>
          </cell>
          <cell r="B626">
            <v>56</v>
          </cell>
          <cell r="C626">
            <v>37530</v>
          </cell>
          <cell r="D626">
            <v>37530</v>
          </cell>
          <cell r="E626">
            <v>38200</v>
          </cell>
          <cell r="F626">
            <v>15509.2</v>
          </cell>
          <cell r="G626">
            <v>0</v>
          </cell>
          <cell r="H626">
            <v>75</v>
          </cell>
          <cell r="I626">
            <v>0</v>
          </cell>
          <cell r="J626">
            <v>0</v>
          </cell>
          <cell r="K626">
            <v>0</v>
          </cell>
          <cell r="L626">
            <v>0</v>
          </cell>
          <cell r="M626">
            <v>0</v>
          </cell>
          <cell r="N626">
            <v>0</v>
          </cell>
          <cell r="O626">
            <v>0</v>
          </cell>
          <cell r="P626">
            <v>0</v>
          </cell>
          <cell r="Q626">
            <v>35</v>
          </cell>
          <cell r="R626">
            <v>0</v>
          </cell>
          <cell r="S626">
            <v>14139.74</v>
          </cell>
          <cell r="T626">
            <v>0</v>
          </cell>
          <cell r="U626">
            <v>0</v>
          </cell>
          <cell r="V626">
            <v>29758.940000000002</v>
          </cell>
          <cell r="W626">
            <v>15584.2</v>
          </cell>
        </row>
        <row r="627">
          <cell r="A627" t="str">
            <v>Superior Essex Wire</v>
          </cell>
          <cell r="B627">
            <v>56</v>
          </cell>
          <cell r="C627">
            <v>37561</v>
          </cell>
          <cell r="D627">
            <v>37561</v>
          </cell>
          <cell r="E627">
            <v>42210</v>
          </cell>
          <cell r="F627">
            <v>17137.259999999998</v>
          </cell>
          <cell r="G627">
            <v>0</v>
          </cell>
          <cell r="H627">
            <v>75</v>
          </cell>
          <cell r="I627">
            <v>0</v>
          </cell>
          <cell r="J627">
            <v>0</v>
          </cell>
          <cell r="K627">
            <v>0</v>
          </cell>
          <cell r="L627">
            <v>0</v>
          </cell>
          <cell r="M627">
            <v>0</v>
          </cell>
          <cell r="N627">
            <v>0</v>
          </cell>
          <cell r="O627">
            <v>0</v>
          </cell>
          <cell r="P627">
            <v>0</v>
          </cell>
          <cell r="Q627">
            <v>35</v>
          </cell>
          <cell r="R627">
            <v>0</v>
          </cell>
          <cell r="S627">
            <v>0</v>
          </cell>
          <cell r="T627">
            <v>0</v>
          </cell>
          <cell r="U627">
            <v>0</v>
          </cell>
          <cell r="V627">
            <v>17247.259999999998</v>
          </cell>
          <cell r="W627">
            <v>17212.259999999998</v>
          </cell>
        </row>
        <row r="628">
          <cell r="A628" t="str">
            <v>Superior Essex Wire</v>
          </cell>
          <cell r="B628">
            <v>56</v>
          </cell>
          <cell r="C628">
            <v>37591</v>
          </cell>
          <cell r="D628">
            <v>37591</v>
          </cell>
          <cell r="E628">
            <v>43730</v>
          </cell>
          <cell r="F628">
            <v>17754.38</v>
          </cell>
          <cell r="G628">
            <v>0</v>
          </cell>
          <cell r="H628">
            <v>75</v>
          </cell>
          <cell r="I628">
            <v>0</v>
          </cell>
          <cell r="J628">
            <v>0</v>
          </cell>
          <cell r="K628">
            <v>0</v>
          </cell>
          <cell r="L628">
            <v>0</v>
          </cell>
          <cell r="M628">
            <v>0</v>
          </cell>
          <cell r="N628">
            <v>0</v>
          </cell>
          <cell r="O628">
            <v>0</v>
          </cell>
          <cell r="P628">
            <v>0</v>
          </cell>
          <cell r="Q628">
            <v>35</v>
          </cell>
          <cell r="R628">
            <v>0</v>
          </cell>
          <cell r="S628">
            <v>0</v>
          </cell>
          <cell r="T628">
            <v>0</v>
          </cell>
          <cell r="U628">
            <v>0</v>
          </cell>
          <cell r="V628">
            <v>17864.38</v>
          </cell>
          <cell r="W628">
            <v>17829.38</v>
          </cell>
        </row>
        <row r="629">
          <cell r="A629" t="str">
            <v>E &amp; B Paving</v>
          </cell>
          <cell r="B629">
            <v>57</v>
          </cell>
          <cell r="C629">
            <v>37257</v>
          </cell>
          <cell r="D629">
            <v>37257</v>
          </cell>
          <cell r="E629">
            <v>0</v>
          </cell>
          <cell r="F629">
            <v>0</v>
          </cell>
          <cell r="G629">
            <v>0</v>
          </cell>
          <cell r="H629">
            <v>75</v>
          </cell>
          <cell r="I629">
            <v>0</v>
          </cell>
          <cell r="J629">
            <v>0</v>
          </cell>
          <cell r="K629">
            <v>0</v>
          </cell>
          <cell r="L629">
            <v>0</v>
          </cell>
          <cell r="M629">
            <v>0</v>
          </cell>
          <cell r="N629">
            <v>0</v>
          </cell>
          <cell r="O629">
            <v>0</v>
          </cell>
          <cell r="P629">
            <v>0</v>
          </cell>
          <cell r="Q629">
            <v>35</v>
          </cell>
          <cell r="R629">
            <v>1.75</v>
          </cell>
          <cell r="S629">
            <v>0</v>
          </cell>
          <cell r="T629">
            <v>0</v>
          </cell>
          <cell r="U629">
            <v>0</v>
          </cell>
          <cell r="V629">
            <v>111.75</v>
          </cell>
          <cell r="W629">
            <v>75</v>
          </cell>
        </row>
        <row r="630">
          <cell r="A630" t="str">
            <v>E &amp; B Paving</v>
          </cell>
          <cell r="B630">
            <v>57</v>
          </cell>
          <cell r="C630">
            <v>37288</v>
          </cell>
          <cell r="D630">
            <v>37288</v>
          </cell>
          <cell r="E630">
            <v>0</v>
          </cell>
          <cell r="F630">
            <v>0</v>
          </cell>
          <cell r="G630">
            <v>0</v>
          </cell>
          <cell r="H630">
            <v>75</v>
          </cell>
          <cell r="I630">
            <v>0</v>
          </cell>
          <cell r="J630">
            <v>0</v>
          </cell>
          <cell r="K630">
            <v>0</v>
          </cell>
          <cell r="L630">
            <v>0</v>
          </cell>
          <cell r="M630">
            <v>0</v>
          </cell>
          <cell r="N630">
            <v>0</v>
          </cell>
          <cell r="O630">
            <v>0</v>
          </cell>
          <cell r="P630">
            <v>0</v>
          </cell>
          <cell r="Q630">
            <v>35</v>
          </cell>
          <cell r="R630">
            <v>1.75</v>
          </cell>
          <cell r="S630">
            <v>0</v>
          </cell>
          <cell r="T630">
            <v>0</v>
          </cell>
          <cell r="U630">
            <v>0</v>
          </cell>
          <cell r="V630">
            <v>111.75</v>
          </cell>
          <cell r="W630">
            <v>75</v>
          </cell>
        </row>
        <row r="631">
          <cell r="A631" t="str">
            <v>E &amp; B Paving</v>
          </cell>
          <cell r="B631">
            <v>57</v>
          </cell>
          <cell r="C631">
            <v>37316</v>
          </cell>
          <cell r="D631">
            <v>37316</v>
          </cell>
          <cell r="E631">
            <v>0</v>
          </cell>
          <cell r="F631">
            <v>0</v>
          </cell>
          <cell r="G631">
            <v>0</v>
          </cell>
          <cell r="H631">
            <v>75</v>
          </cell>
          <cell r="I631">
            <v>0</v>
          </cell>
          <cell r="J631">
            <v>0</v>
          </cell>
          <cell r="K631">
            <v>0</v>
          </cell>
          <cell r="L631">
            <v>0</v>
          </cell>
          <cell r="M631">
            <v>0</v>
          </cell>
          <cell r="N631">
            <v>0</v>
          </cell>
          <cell r="O631">
            <v>0</v>
          </cell>
          <cell r="P631">
            <v>0</v>
          </cell>
          <cell r="Q631">
            <v>35</v>
          </cell>
          <cell r="R631">
            <v>1.75</v>
          </cell>
          <cell r="S631">
            <v>0</v>
          </cell>
          <cell r="T631">
            <v>0</v>
          </cell>
          <cell r="U631">
            <v>0</v>
          </cell>
          <cell r="V631">
            <v>111.75</v>
          </cell>
          <cell r="W631">
            <v>75</v>
          </cell>
        </row>
        <row r="632">
          <cell r="A632" t="str">
            <v>E &amp; B Paving</v>
          </cell>
          <cell r="B632">
            <v>57</v>
          </cell>
          <cell r="C632">
            <v>37347</v>
          </cell>
          <cell r="D632">
            <v>37347</v>
          </cell>
          <cell r="E632">
            <v>0</v>
          </cell>
          <cell r="F632">
            <v>0</v>
          </cell>
          <cell r="G632">
            <v>0</v>
          </cell>
          <cell r="H632">
            <v>75</v>
          </cell>
          <cell r="I632">
            <v>0</v>
          </cell>
          <cell r="J632">
            <v>0</v>
          </cell>
          <cell r="K632">
            <v>0</v>
          </cell>
          <cell r="L632">
            <v>0</v>
          </cell>
          <cell r="M632">
            <v>0</v>
          </cell>
          <cell r="N632">
            <v>0</v>
          </cell>
          <cell r="O632">
            <v>0</v>
          </cell>
          <cell r="P632">
            <v>0</v>
          </cell>
          <cell r="Q632">
            <v>35</v>
          </cell>
          <cell r="R632">
            <v>1.75</v>
          </cell>
          <cell r="S632">
            <v>0</v>
          </cell>
          <cell r="T632">
            <v>0</v>
          </cell>
          <cell r="U632">
            <v>0</v>
          </cell>
          <cell r="V632">
            <v>111.75</v>
          </cell>
          <cell r="W632">
            <v>75</v>
          </cell>
        </row>
        <row r="633">
          <cell r="A633" t="str">
            <v>E &amp; B Paving</v>
          </cell>
          <cell r="B633">
            <v>57</v>
          </cell>
          <cell r="C633">
            <v>37377</v>
          </cell>
          <cell r="D633">
            <v>37377</v>
          </cell>
          <cell r="E633">
            <v>0</v>
          </cell>
          <cell r="F633">
            <v>0</v>
          </cell>
          <cell r="G633">
            <v>0</v>
          </cell>
          <cell r="H633">
            <v>75</v>
          </cell>
          <cell r="I633">
            <v>0</v>
          </cell>
          <cell r="J633">
            <v>0</v>
          </cell>
          <cell r="K633">
            <v>0</v>
          </cell>
          <cell r="L633">
            <v>0</v>
          </cell>
          <cell r="M633">
            <v>0</v>
          </cell>
          <cell r="N633">
            <v>0</v>
          </cell>
          <cell r="O633">
            <v>0</v>
          </cell>
          <cell r="P633">
            <v>0</v>
          </cell>
          <cell r="Q633">
            <v>35</v>
          </cell>
          <cell r="R633">
            <v>1.75</v>
          </cell>
          <cell r="S633">
            <v>0</v>
          </cell>
          <cell r="T633">
            <v>0</v>
          </cell>
          <cell r="U633">
            <v>0</v>
          </cell>
          <cell r="V633">
            <v>111.75</v>
          </cell>
          <cell r="W633">
            <v>75</v>
          </cell>
        </row>
        <row r="634">
          <cell r="A634" t="str">
            <v>E &amp; B Paving</v>
          </cell>
          <cell r="B634">
            <v>57</v>
          </cell>
          <cell r="C634">
            <v>37408</v>
          </cell>
          <cell r="D634">
            <v>37408</v>
          </cell>
          <cell r="E634">
            <v>10250</v>
          </cell>
          <cell r="F634">
            <v>4161.5</v>
          </cell>
          <cell r="G634">
            <v>0</v>
          </cell>
          <cell r="H634">
            <v>75</v>
          </cell>
          <cell r="I634">
            <v>0</v>
          </cell>
          <cell r="J634">
            <v>0</v>
          </cell>
          <cell r="K634">
            <v>0</v>
          </cell>
          <cell r="L634">
            <v>0</v>
          </cell>
          <cell r="M634">
            <v>0</v>
          </cell>
          <cell r="N634">
            <v>0</v>
          </cell>
          <cell r="O634">
            <v>0</v>
          </cell>
          <cell r="P634">
            <v>0</v>
          </cell>
          <cell r="Q634">
            <v>35</v>
          </cell>
          <cell r="R634">
            <v>1.75</v>
          </cell>
          <cell r="S634">
            <v>0</v>
          </cell>
          <cell r="T634">
            <v>0</v>
          </cell>
          <cell r="U634">
            <v>0</v>
          </cell>
          <cell r="V634">
            <v>4273.25</v>
          </cell>
          <cell r="W634">
            <v>4236.5</v>
          </cell>
        </row>
        <row r="635">
          <cell r="A635" t="str">
            <v>E &amp; B Paving</v>
          </cell>
          <cell r="B635">
            <v>57</v>
          </cell>
          <cell r="C635">
            <v>37438</v>
          </cell>
          <cell r="D635">
            <v>37438</v>
          </cell>
          <cell r="E635">
            <v>7500</v>
          </cell>
          <cell r="F635">
            <v>3045</v>
          </cell>
          <cell r="G635">
            <v>0</v>
          </cell>
          <cell r="H635">
            <v>75</v>
          </cell>
          <cell r="I635">
            <v>0</v>
          </cell>
          <cell r="J635">
            <v>0</v>
          </cell>
          <cell r="K635">
            <v>0</v>
          </cell>
          <cell r="L635">
            <v>0</v>
          </cell>
          <cell r="M635">
            <v>0</v>
          </cell>
          <cell r="N635">
            <v>0</v>
          </cell>
          <cell r="O635">
            <v>0</v>
          </cell>
          <cell r="P635">
            <v>0</v>
          </cell>
          <cell r="Q635">
            <v>35</v>
          </cell>
          <cell r="R635">
            <v>1.75</v>
          </cell>
          <cell r="S635">
            <v>0</v>
          </cell>
          <cell r="T635">
            <v>0</v>
          </cell>
          <cell r="U635">
            <v>0</v>
          </cell>
          <cell r="V635">
            <v>3156.75</v>
          </cell>
          <cell r="W635">
            <v>3120</v>
          </cell>
        </row>
        <row r="636">
          <cell r="A636" t="str">
            <v>E &amp; B Paving</v>
          </cell>
          <cell r="B636">
            <v>57</v>
          </cell>
          <cell r="C636">
            <v>37469</v>
          </cell>
          <cell r="D636">
            <v>37469</v>
          </cell>
          <cell r="E636">
            <v>12062</v>
          </cell>
          <cell r="F636">
            <v>4897.17</v>
          </cell>
          <cell r="G636">
            <v>0</v>
          </cell>
          <cell r="H636">
            <v>75</v>
          </cell>
          <cell r="I636">
            <v>0</v>
          </cell>
          <cell r="J636">
            <v>0</v>
          </cell>
          <cell r="K636">
            <v>0</v>
          </cell>
          <cell r="L636">
            <v>0</v>
          </cell>
          <cell r="M636">
            <v>0</v>
          </cell>
          <cell r="N636">
            <v>0</v>
          </cell>
          <cell r="O636">
            <v>0</v>
          </cell>
          <cell r="P636">
            <v>0</v>
          </cell>
          <cell r="Q636">
            <v>35</v>
          </cell>
          <cell r="R636">
            <v>1.75</v>
          </cell>
          <cell r="S636">
            <v>0</v>
          </cell>
          <cell r="T636">
            <v>0</v>
          </cell>
          <cell r="U636">
            <v>0</v>
          </cell>
          <cell r="V636">
            <v>5008.92</v>
          </cell>
          <cell r="W636">
            <v>4972.17</v>
          </cell>
        </row>
        <row r="637">
          <cell r="A637" t="str">
            <v>E &amp; B Paving</v>
          </cell>
          <cell r="B637">
            <v>57</v>
          </cell>
          <cell r="C637">
            <v>37500</v>
          </cell>
          <cell r="D637">
            <v>37500</v>
          </cell>
          <cell r="E637">
            <v>5010</v>
          </cell>
          <cell r="F637">
            <v>2034.06</v>
          </cell>
          <cell r="G637">
            <v>0</v>
          </cell>
          <cell r="H637">
            <v>75</v>
          </cell>
          <cell r="I637">
            <v>0</v>
          </cell>
          <cell r="J637">
            <v>0</v>
          </cell>
          <cell r="K637">
            <v>0</v>
          </cell>
          <cell r="L637">
            <v>0</v>
          </cell>
          <cell r="M637">
            <v>0</v>
          </cell>
          <cell r="N637">
            <v>0</v>
          </cell>
          <cell r="O637">
            <v>0</v>
          </cell>
          <cell r="P637">
            <v>0</v>
          </cell>
          <cell r="Q637">
            <v>35</v>
          </cell>
          <cell r="R637">
            <v>1.75</v>
          </cell>
          <cell r="S637">
            <v>0</v>
          </cell>
          <cell r="T637">
            <v>0</v>
          </cell>
          <cell r="U637">
            <v>0</v>
          </cell>
          <cell r="V637">
            <v>2145.81</v>
          </cell>
          <cell r="W637">
            <v>2109.06</v>
          </cell>
        </row>
        <row r="638">
          <cell r="A638" t="str">
            <v>E &amp; B Paving</v>
          </cell>
          <cell r="B638">
            <v>57</v>
          </cell>
          <cell r="C638">
            <v>37530</v>
          </cell>
          <cell r="D638">
            <v>37530</v>
          </cell>
          <cell r="E638">
            <v>5000</v>
          </cell>
          <cell r="F638">
            <v>2030</v>
          </cell>
          <cell r="G638">
            <v>0</v>
          </cell>
          <cell r="H638">
            <v>75</v>
          </cell>
          <cell r="I638">
            <v>0</v>
          </cell>
          <cell r="J638">
            <v>0</v>
          </cell>
          <cell r="K638">
            <v>0</v>
          </cell>
          <cell r="L638">
            <v>0</v>
          </cell>
          <cell r="M638">
            <v>0</v>
          </cell>
          <cell r="N638">
            <v>0</v>
          </cell>
          <cell r="O638">
            <v>0</v>
          </cell>
          <cell r="P638">
            <v>0</v>
          </cell>
          <cell r="Q638">
            <v>35</v>
          </cell>
          <cell r="R638">
            <v>1.75</v>
          </cell>
          <cell r="S638">
            <v>0</v>
          </cell>
          <cell r="T638">
            <v>0</v>
          </cell>
          <cell r="U638">
            <v>0</v>
          </cell>
          <cell r="V638">
            <v>2141.75</v>
          </cell>
          <cell r="W638">
            <v>2105</v>
          </cell>
        </row>
        <row r="639">
          <cell r="A639" t="str">
            <v>E &amp; B Paving</v>
          </cell>
          <cell r="B639">
            <v>57</v>
          </cell>
          <cell r="C639">
            <v>37561</v>
          </cell>
          <cell r="D639">
            <v>37561</v>
          </cell>
          <cell r="E639">
            <v>3600</v>
          </cell>
          <cell r="F639">
            <v>1461.6</v>
          </cell>
          <cell r="G639">
            <v>0</v>
          </cell>
          <cell r="H639">
            <v>75</v>
          </cell>
          <cell r="I639">
            <v>0</v>
          </cell>
          <cell r="J639">
            <v>0</v>
          </cell>
          <cell r="K639">
            <v>0</v>
          </cell>
          <cell r="L639">
            <v>0</v>
          </cell>
          <cell r="M639">
            <v>0</v>
          </cell>
          <cell r="N639">
            <v>0</v>
          </cell>
          <cell r="O639">
            <v>0</v>
          </cell>
          <cell r="P639">
            <v>0</v>
          </cell>
          <cell r="Q639">
            <v>35</v>
          </cell>
          <cell r="R639">
            <v>1.75</v>
          </cell>
          <cell r="S639">
            <v>0</v>
          </cell>
          <cell r="T639">
            <v>0</v>
          </cell>
          <cell r="U639">
            <v>0</v>
          </cell>
          <cell r="V639">
            <v>1573.35</v>
          </cell>
          <cell r="W639">
            <v>1536.6</v>
          </cell>
        </row>
        <row r="640">
          <cell r="A640" t="str">
            <v>E &amp; B Paving</v>
          </cell>
          <cell r="B640">
            <v>57</v>
          </cell>
          <cell r="C640">
            <v>37591</v>
          </cell>
          <cell r="D640">
            <v>37591</v>
          </cell>
          <cell r="E640">
            <v>2054</v>
          </cell>
          <cell r="F640">
            <v>833.92</v>
          </cell>
          <cell r="G640">
            <v>0</v>
          </cell>
          <cell r="H640">
            <v>75</v>
          </cell>
          <cell r="I640">
            <v>0</v>
          </cell>
          <cell r="J640">
            <v>0</v>
          </cell>
          <cell r="K640">
            <v>0</v>
          </cell>
          <cell r="L640">
            <v>0</v>
          </cell>
          <cell r="M640">
            <v>0</v>
          </cell>
          <cell r="N640">
            <v>0</v>
          </cell>
          <cell r="O640">
            <v>0</v>
          </cell>
          <cell r="P640">
            <v>0</v>
          </cell>
          <cell r="Q640">
            <v>35</v>
          </cell>
          <cell r="R640">
            <v>406.08</v>
          </cell>
          <cell r="S640">
            <v>10935.49</v>
          </cell>
          <cell r="T640">
            <v>2054</v>
          </cell>
          <cell r="U640">
            <v>10935.49</v>
          </cell>
          <cell r="V640">
            <v>12285.49</v>
          </cell>
          <cell r="W640">
            <v>908.92</v>
          </cell>
        </row>
        <row r="641">
          <cell r="A641" t="str">
            <v>Peerless Pottery</v>
          </cell>
          <cell r="B641">
            <v>58</v>
          </cell>
          <cell r="C641">
            <v>37257</v>
          </cell>
          <cell r="D641">
            <v>37257</v>
          </cell>
          <cell r="E641">
            <v>10000</v>
          </cell>
          <cell r="F641">
            <v>4060</v>
          </cell>
          <cell r="G641">
            <v>0</v>
          </cell>
          <cell r="H641">
            <v>75</v>
          </cell>
          <cell r="I641">
            <v>0</v>
          </cell>
          <cell r="J641">
            <v>0</v>
          </cell>
          <cell r="K641">
            <v>0</v>
          </cell>
          <cell r="L641">
            <v>0</v>
          </cell>
          <cell r="M641">
            <v>-10</v>
          </cell>
          <cell r="N641">
            <v>0</v>
          </cell>
          <cell r="O641">
            <v>0</v>
          </cell>
          <cell r="P641">
            <v>0</v>
          </cell>
          <cell r="Q641">
            <v>35</v>
          </cell>
          <cell r="R641">
            <v>0</v>
          </cell>
          <cell r="S641">
            <v>0</v>
          </cell>
          <cell r="T641">
            <v>0</v>
          </cell>
          <cell r="U641">
            <v>0</v>
          </cell>
          <cell r="V641">
            <v>4160</v>
          </cell>
          <cell r="W641">
            <v>4125</v>
          </cell>
        </row>
        <row r="642">
          <cell r="A642" t="str">
            <v>Peerless Pottery</v>
          </cell>
          <cell r="B642">
            <v>58</v>
          </cell>
          <cell r="C642">
            <v>37288</v>
          </cell>
          <cell r="D642">
            <v>37288</v>
          </cell>
          <cell r="E642">
            <v>12027</v>
          </cell>
          <cell r="F642">
            <v>4882.96</v>
          </cell>
          <cell r="G642">
            <v>0</v>
          </cell>
          <cell r="H642">
            <v>75</v>
          </cell>
          <cell r="I642">
            <v>0</v>
          </cell>
          <cell r="J642">
            <v>0</v>
          </cell>
          <cell r="K642">
            <v>0</v>
          </cell>
          <cell r="L642">
            <v>0</v>
          </cell>
          <cell r="M642">
            <v>-12.03</v>
          </cell>
          <cell r="N642">
            <v>0</v>
          </cell>
          <cell r="O642">
            <v>0</v>
          </cell>
          <cell r="P642">
            <v>0</v>
          </cell>
          <cell r="Q642">
            <v>35</v>
          </cell>
          <cell r="R642">
            <v>0</v>
          </cell>
          <cell r="S642">
            <v>0</v>
          </cell>
          <cell r="T642">
            <v>0</v>
          </cell>
          <cell r="U642">
            <v>0</v>
          </cell>
          <cell r="V642">
            <v>4980.93</v>
          </cell>
          <cell r="W642">
            <v>4945.93</v>
          </cell>
        </row>
        <row r="643">
          <cell r="A643" t="str">
            <v>Peerless Pottery</v>
          </cell>
          <cell r="B643">
            <v>58</v>
          </cell>
          <cell r="C643">
            <v>37316</v>
          </cell>
          <cell r="D643">
            <v>37316</v>
          </cell>
          <cell r="E643">
            <v>11078</v>
          </cell>
          <cell r="F643">
            <v>4497.67</v>
          </cell>
          <cell r="G643">
            <v>0</v>
          </cell>
          <cell r="H643">
            <v>75</v>
          </cell>
          <cell r="I643">
            <v>0</v>
          </cell>
          <cell r="J643">
            <v>0</v>
          </cell>
          <cell r="K643">
            <v>0</v>
          </cell>
          <cell r="L643">
            <v>0</v>
          </cell>
          <cell r="M643">
            <v>-11.08</v>
          </cell>
          <cell r="N643">
            <v>0</v>
          </cell>
          <cell r="O643">
            <v>0</v>
          </cell>
          <cell r="P643">
            <v>0</v>
          </cell>
          <cell r="Q643">
            <v>35</v>
          </cell>
          <cell r="R643">
            <v>0</v>
          </cell>
          <cell r="S643">
            <v>0</v>
          </cell>
          <cell r="T643">
            <v>0</v>
          </cell>
          <cell r="U643">
            <v>0</v>
          </cell>
          <cell r="V643">
            <v>4596.59</v>
          </cell>
          <cell r="W643">
            <v>4561.59</v>
          </cell>
        </row>
        <row r="644">
          <cell r="A644" t="str">
            <v>Peerless Pottery</v>
          </cell>
          <cell r="B644">
            <v>58</v>
          </cell>
          <cell r="C644">
            <v>37347</v>
          </cell>
          <cell r="D644">
            <v>37347</v>
          </cell>
          <cell r="E644">
            <v>9300</v>
          </cell>
          <cell r="F644">
            <v>3775.8</v>
          </cell>
          <cell r="G644">
            <v>0</v>
          </cell>
          <cell r="H644">
            <v>75</v>
          </cell>
          <cell r="I644">
            <v>0</v>
          </cell>
          <cell r="J644">
            <v>0</v>
          </cell>
          <cell r="K644">
            <v>0</v>
          </cell>
          <cell r="L644">
            <v>0</v>
          </cell>
          <cell r="M644">
            <v>-9.3000000000000007</v>
          </cell>
          <cell r="N644">
            <v>0</v>
          </cell>
          <cell r="O644">
            <v>0</v>
          </cell>
          <cell r="P644">
            <v>0</v>
          </cell>
          <cell r="Q644">
            <v>35</v>
          </cell>
          <cell r="R644">
            <v>0</v>
          </cell>
          <cell r="S644">
            <v>0</v>
          </cell>
          <cell r="T644">
            <v>0</v>
          </cell>
          <cell r="U644">
            <v>0</v>
          </cell>
          <cell r="V644">
            <v>3876.5</v>
          </cell>
          <cell r="W644">
            <v>3841.5</v>
          </cell>
        </row>
        <row r="645">
          <cell r="A645" t="str">
            <v>Peerless Pottery</v>
          </cell>
          <cell r="B645">
            <v>58</v>
          </cell>
          <cell r="C645">
            <v>37377</v>
          </cell>
          <cell r="D645">
            <v>37377</v>
          </cell>
          <cell r="E645">
            <v>9314</v>
          </cell>
          <cell r="F645">
            <v>3781.48</v>
          </cell>
          <cell r="G645">
            <v>0</v>
          </cell>
          <cell r="H645">
            <v>75</v>
          </cell>
          <cell r="I645">
            <v>0</v>
          </cell>
          <cell r="J645">
            <v>0</v>
          </cell>
          <cell r="K645">
            <v>0</v>
          </cell>
          <cell r="L645">
            <v>0</v>
          </cell>
          <cell r="M645">
            <v>0</v>
          </cell>
          <cell r="N645">
            <v>0</v>
          </cell>
          <cell r="O645">
            <v>0</v>
          </cell>
          <cell r="P645">
            <v>0</v>
          </cell>
          <cell r="Q645">
            <v>35</v>
          </cell>
          <cell r="R645">
            <v>0</v>
          </cell>
          <cell r="S645">
            <v>0</v>
          </cell>
          <cell r="T645">
            <v>0</v>
          </cell>
          <cell r="U645">
            <v>0</v>
          </cell>
          <cell r="V645">
            <v>3891.48</v>
          </cell>
          <cell r="W645">
            <v>3856.48</v>
          </cell>
        </row>
        <row r="646">
          <cell r="A646" t="str">
            <v>Peerless Pottery</v>
          </cell>
          <cell r="B646">
            <v>58</v>
          </cell>
          <cell r="C646">
            <v>37408</v>
          </cell>
          <cell r="D646">
            <v>37408</v>
          </cell>
          <cell r="E646">
            <v>9000</v>
          </cell>
          <cell r="F646">
            <v>3654</v>
          </cell>
          <cell r="G646">
            <v>0</v>
          </cell>
          <cell r="H646">
            <v>75</v>
          </cell>
          <cell r="I646">
            <v>0</v>
          </cell>
          <cell r="J646">
            <v>0</v>
          </cell>
          <cell r="K646">
            <v>0</v>
          </cell>
          <cell r="L646">
            <v>0</v>
          </cell>
          <cell r="M646">
            <v>0</v>
          </cell>
          <cell r="N646">
            <v>0</v>
          </cell>
          <cell r="O646">
            <v>0</v>
          </cell>
          <cell r="P646">
            <v>0</v>
          </cell>
          <cell r="Q646">
            <v>35</v>
          </cell>
          <cell r="R646">
            <v>0</v>
          </cell>
          <cell r="S646">
            <v>0</v>
          </cell>
          <cell r="T646">
            <v>0</v>
          </cell>
          <cell r="U646">
            <v>0</v>
          </cell>
          <cell r="V646">
            <v>3764</v>
          </cell>
          <cell r="W646">
            <v>3729</v>
          </cell>
        </row>
        <row r="647">
          <cell r="A647" t="str">
            <v>Peerless Pottery</v>
          </cell>
          <cell r="B647">
            <v>58</v>
          </cell>
          <cell r="C647">
            <v>37438</v>
          </cell>
          <cell r="D647">
            <v>37438</v>
          </cell>
          <cell r="E647">
            <v>8200</v>
          </cell>
          <cell r="F647">
            <v>3329.2</v>
          </cell>
          <cell r="G647">
            <v>0</v>
          </cell>
          <cell r="H647">
            <v>75</v>
          </cell>
          <cell r="I647">
            <v>0</v>
          </cell>
          <cell r="J647">
            <v>0</v>
          </cell>
          <cell r="K647">
            <v>0</v>
          </cell>
          <cell r="L647">
            <v>0</v>
          </cell>
          <cell r="M647">
            <v>0</v>
          </cell>
          <cell r="N647">
            <v>0</v>
          </cell>
          <cell r="O647">
            <v>0</v>
          </cell>
          <cell r="P647">
            <v>0</v>
          </cell>
          <cell r="Q647">
            <v>35</v>
          </cell>
          <cell r="R647">
            <v>0</v>
          </cell>
          <cell r="S647">
            <v>0</v>
          </cell>
          <cell r="T647">
            <v>0</v>
          </cell>
          <cell r="U647">
            <v>0</v>
          </cell>
          <cell r="V647">
            <v>3439.2</v>
          </cell>
          <cell r="W647">
            <v>3404.2</v>
          </cell>
        </row>
        <row r="648">
          <cell r="A648" t="str">
            <v>Peerless Pottery</v>
          </cell>
          <cell r="B648">
            <v>58</v>
          </cell>
          <cell r="C648">
            <v>37469</v>
          </cell>
          <cell r="D648">
            <v>37469</v>
          </cell>
          <cell r="E648">
            <v>7247</v>
          </cell>
          <cell r="F648">
            <v>2942.28</v>
          </cell>
          <cell r="G648">
            <v>0</v>
          </cell>
          <cell r="H648">
            <v>75</v>
          </cell>
          <cell r="I648">
            <v>0</v>
          </cell>
          <cell r="J648">
            <v>0</v>
          </cell>
          <cell r="K648">
            <v>0</v>
          </cell>
          <cell r="L648">
            <v>0</v>
          </cell>
          <cell r="M648">
            <v>0</v>
          </cell>
          <cell r="N648">
            <v>0</v>
          </cell>
          <cell r="O648">
            <v>0</v>
          </cell>
          <cell r="P648">
            <v>0</v>
          </cell>
          <cell r="Q648">
            <v>35</v>
          </cell>
          <cell r="R648">
            <v>0</v>
          </cell>
          <cell r="S648">
            <v>0</v>
          </cell>
          <cell r="T648">
            <v>0</v>
          </cell>
          <cell r="U648">
            <v>0</v>
          </cell>
          <cell r="V648">
            <v>3052.28</v>
          </cell>
          <cell r="W648">
            <v>3017.28</v>
          </cell>
        </row>
        <row r="649">
          <cell r="A649" t="str">
            <v>Peerless Pottery</v>
          </cell>
          <cell r="B649">
            <v>58</v>
          </cell>
          <cell r="C649">
            <v>37500</v>
          </cell>
          <cell r="D649">
            <v>37500</v>
          </cell>
          <cell r="E649">
            <v>8490</v>
          </cell>
          <cell r="F649">
            <v>3446.94</v>
          </cell>
          <cell r="G649">
            <v>0</v>
          </cell>
          <cell r="H649">
            <v>75</v>
          </cell>
          <cell r="I649">
            <v>0</v>
          </cell>
          <cell r="J649">
            <v>0</v>
          </cell>
          <cell r="K649">
            <v>0</v>
          </cell>
          <cell r="L649">
            <v>0</v>
          </cell>
          <cell r="M649">
            <v>0</v>
          </cell>
          <cell r="N649">
            <v>0</v>
          </cell>
          <cell r="O649">
            <v>0</v>
          </cell>
          <cell r="P649">
            <v>0</v>
          </cell>
          <cell r="Q649">
            <v>35</v>
          </cell>
          <cell r="R649">
            <v>0</v>
          </cell>
          <cell r="S649">
            <v>0</v>
          </cell>
          <cell r="T649">
            <v>0</v>
          </cell>
          <cell r="U649">
            <v>0</v>
          </cell>
          <cell r="V649">
            <v>3556.94</v>
          </cell>
          <cell r="W649">
            <v>3521.94</v>
          </cell>
        </row>
        <row r="650">
          <cell r="A650" t="str">
            <v>Peerless Pottery</v>
          </cell>
          <cell r="B650">
            <v>58</v>
          </cell>
          <cell r="C650">
            <v>37530</v>
          </cell>
          <cell r="D650">
            <v>37530</v>
          </cell>
          <cell r="E650">
            <v>10000</v>
          </cell>
          <cell r="F650">
            <v>4060</v>
          </cell>
          <cell r="G650">
            <v>0</v>
          </cell>
          <cell r="H650">
            <v>75</v>
          </cell>
          <cell r="I650">
            <v>0</v>
          </cell>
          <cell r="J650">
            <v>0</v>
          </cell>
          <cell r="K650">
            <v>0</v>
          </cell>
          <cell r="L650">
            <v>0</v>
          </cell>
          <cell r="M650">
            <v>0</v>
          </cell>
          <cell r="N650">
            <v>0</v>
          </cell>
          <cell r="O650">
            <v>0</v>
          </cell>
          <cell r="P650">
            <v>0</v>
          </cell>
          <cell r="Q650">
            <v>35</v>
          </cell>
          <cell r="R650">
            <v>0</v>
          </cell>
          <cell r="S650">
            <v>0</v>
          </cell>
          <cell r="T650">
            <v>0</v>
          </cell>
          <cell r="U650">
            <v>0</v>
          </cell>
          <cell r="V650">
            <v>4170</v>
          </cell>
          <cell r="W650">
            <v>4135</v>
          </cell>
        </row>
        <row r="651">
          <cell r="A651" t="str">
            <v>Peerless Pottery</v>
          </cell>
          <cell r="B651">
            <v>58</v>
          </cell>
          <cell r="C651">
            <v>37561</v>
          </cell>
          <cell r="D651">
            <v>37561</v>
          </cell>
          <cell r="E651">
            <v>10400</v>
          </cell>
          <cell r="F651">
            <v>4222.3999999999996</v>
          </cell>
          <cell r="G651">
            <v>0</v>
          </cell>
          <cell r="H651">
            <v>75</v>
          </cell>
          <cell r="I651">
            <v>0</v>
          </cell>
          <cell r="J651">
            <v>0</v>
          </cell>
          <cell r="K651">
            <v>0</v>
          </cell>
          <cell r="L651">
            <v>0</v>
          </cell>
          <cell r="M651">
            <v>0</v>
          </cell>
          <cell r="N651">
            <v>0</v>
          </cell>
          <cell r="O651">
            <v>0</v>
          </cell>
          <cell r="P651">
            <v>0</v>
          </cell>
          <cell r="Q651">
            <v>35</v>
          </cell>
          <cell r="R651">
            <v>0</v>
          </cell>
          <cell r="S651">
            <v>0</v>
          </cell>
          <cell r="T651">
            <v>0</v>
          </cell>
          <cell r="U651">
            <v>0</v>
          </cell>
          <cell r="V651">
            <v>4332.3999999999996</v>
          </cell>
          <cell r="W651">
            <v>4297.3999999999996</v>
          </cell>
        </row>
        <row r="652">
          <cell r="A652" t="str">
            <v>Peerless Pottery</v>
          </cell>
          <cell r="B652">
            <v>58</v>
          </cell>
          <cell r="C652">
            <v>37591</v>
          </cell>
          <cell r="D652">
            <v>37591</v>
          </cell>
          <cell r="E652">
            <v>12000</v>
          </cell>
          <cell r="F652">
            <v>4872</v>
          </cell>
          <cell r="G652">
            <v>0</v>
          </cell>
          <cell r="H652">
            <v>75</v>
          </cell>
          <cell r="I652">
            <v>0</v>
          </cell>
          <cell r="J652">
            <v>0</v>
          </cell>
          <cell r="K652">
            <v>0</v>
          </cell>
          <cell r="L652">
            <v>0</v>
          </cell>
          <cell r="M652">
            <v>0</v>
          </cell>
          <cell r="N652">
            <v>0</v>
          </cell>
          <cell r="O652">
            <v>0</v>
          </cell>
          <cell r="P652">
            <v>0</v>
          </cell>
          <cell r="Q652">
            <v>35</v>
          </cell>
          <cell r="R652">
            <v>0</v>
          </cell>
          <cell r="S652">
            <v>0</v>
          </cell>
          <cell r="T652">
            <v>0</v>
          </cell>
          <cell r="U652">
            <v>0</v>
          </cell>
          <cell r="V652">
            <v>4982</v>
          </cell>
          <cell r="W652">
            <v>4947</v>
          </cell>
        </row>
        <row r="653">
          <cell r="A653" t="str">
            <v>AB Brown Power Plant Turbine #1</v>
          </cell>
          <cell r="B653">
            <v>60</v>
          </cell>
          <cell r="C653">
            <v>37257</v>
          </cell>
          <cell r="D653">
            <v>37257</v>
          </cell>
          <cell r="E653">
            <v>3025</v>
          </cell>
          <cell r="F653">
            <v>1228.1500000000001</v>
          </cell>
          <cell r="G653">
            <v>0</v>
          </cell>
          <cell r="H653">
            <v>75</v>
          </cell>
          <cell r="I653">
            <v>0</v>
          </cell>
          <cell r="J653">
            <v>0</v>
          </cell>
          <cell r="K653">
            <v>0</v>
          </cell>
          <cell r="L653">
            <v>0</v>
          </cell>
          <cell r="M653">
            <v>0</v>
          </cell>
          <cell r="N653">
            <v>3025</v>
          </cell>
          <cell r="O653">
            <v>9.07</v>
          </cell>
          <cell r="P653">
            <v>0</v>
          </cell>
          <cell r="Q653">
            <v>35</v>
          </cell>
          <cell r="R653">
            <v>0</v>
          </cell>
          <cell r="S653">
            <v>0</v>
          </cell>
          <cell r="T653">
            <v>0</v>
          </cell>
          <cell r="U653">
            <v>0</v>
          </cell>
          <cell r="V653">
            <v>1347.22</v>
          </cell>
          <cell r="W653">
            <v>1312.22</v>
          </cell>
        </row>
        <row r="654">
          <cell r="A654" t="str">
            <v>AB Brown Power Plant Turbine #1</v>
          </cell>
          <cell r="B654">
            <v>60</v>
          </cell>
          <cell r="C654">
            <v>37288</v>
          </cell>
          <cell r="D654">
            <v>37288</v>
          </cell>
          <cell r="E654">
            <v>9708</v>
          </cell>
          <cell r="F654">
            <v>3941.45</v>
          </cell>
          <cell r="G654">
            <v>0</v>
          </cell>
          <cell r="H654">
            <v>75</v>
          </cell>
          <cell r="I654">
            <v>0</v>
          </cell>
          <cell r="J654">
            <v>0</v>
          </cell>
          <cell r="K654">
            <v>0</v>
          </cell>
          <cell r="L654">
            <v>0</v>
          </cell>
          <cell r="M654">
            <v>0</v>
          </cell>
          <cell r="N654">
            <v>9708</v>
          </cell>
          <cell r="O654">
            <v>-9.7100000000000009</v>
          </cell>
          <cell r="P654">
            <v>0</v>
          </cell>
          <cell r="Q654">
            <v>35</v>
          </cell>
          <cell r="R654">
            <v>0</v>
          </cell>
          <cell r="S654">
            <v>0</v>
          </cell>
          <cell r="T654">
            <v>0</v>
          </cell>
          <cell r="U654">
            <v>0</v>
          </cell>
          <cell r="V654">
            <v>4041.74</v>
          </cell>
          <cell r="W654">
            <v>4006.74</v>
          </cell>
        </row>
        <row r="655">
          <cell r="A655" t="str">
            <v>AB Brown Power Plant Turbine #1</v>
          </cell>
          <cell r="B655">
            <v>60</v>
          </cell>
          <cell r="C655">
            <v>37316</v>
          </cell>
          <cell r="D655">
            <v>37316</v>
          </cell>
          <cell r="E655">
            <v>23400</v>
          </cell>
          <cell r="F655">
            <v>9500.4</v>
          </cell>
          <cell r="G655">
            <v>0</v>
          </cell>
          <cell r="H655">
            <v>75</v>
          </cell>
          <cell r="I655">
            <v>0</v>
          </cell>
          <cell r="J655">
            <v>0</v>
          </cell>
          <cell r="K655">
            <v>0</v>
          </cell>
          <cell r="L655">
            <v>0</v>
          </cell>
          <cell r="M655">
            <v>0</v>
          </cell>
          <cell r="N655">
            <v>23400</v>
          </cell>
          <cell r="O655">
            <v>-23.4</v>
          </cell>
          <cell r="P655">
            <v>0</v>
          </cell>
          <cell r="Q655">
            <v>35</v>
          </cell>
          <cell r="R655">
            <v>0</v>
          </cell>
          <cell r="S655">
            <v>0</v>
          </cell>
          <cell r="T655">
            <v>0</v>
          </cell>
          <cell r="U655">
            <v>0</v>
          </cell>
          <cell r="V655">
            <v>9587</v>
          </cell>
          <cell r="W655">
            <v>9552</v>
          </cell>
        </row>
        <row r="656">
          <cell r="A656" t="str">
            <v>AB Brown Power Plant Turbine #1</v>
          </cell>
          <cell r="B656">
            <v>60</v>
          </cell>
          <cell r="C656">
            <v>37347</v>
          </cell>
          <cell r="D656">
            <v>37347</v>
          </cell>
          <cell r="E656">
            <v>38307</v>
          </cell>
          <cell r="F656">
            <v>15552.64</v>
          </cell>
          <cell r="G656">
            <v>0</v>
          </cell>
          <cell r="H656">
            <v>75</v>
          </cell>
          <cell r="I656">
            <v>0</v>
          </cell>
          <cell r="J656">
            <v>0</v>
          </cell>
          <cell r="K656">
            <v>0</v>
          </cell>
          <cell r="L656">
            <v>0</v>
          </cell>
          <cell r="M656">
            <v>0</v>
          </cell>
          <cell r="N656">
            <v>38307</v>
          </cell>
          <cell r="O656">
            <v>-38.31</v>
          </cell>
          <cell r="P656">
            <v>0</v>
          </cell>
          <cell r="Q656">
            <v>35</v>
          </cell>
          <cell r="R656">
            <v>0</v>
          </cell>
          <cell r="S656">
            <v>0</v>
          </cell>
          <cell r="T656">
            <v>0</v>
          </cell>
          <cell r="U656">
            <v>0</v>
          </cell>
          <cell r="V656">
            <v>15624.33</v>
          </cell>
          <cell r="W656">
            <v>15589.33</v>
          </cell>
        </row>
        <row r="657">
          <cell r="A657" t="str">
            <v>AB Brown Power Plant Turbine #1</v>
          </cell>
          <cell r="B657">
            <v>60</v>
          </cell>
          <cell r="C657">
            <v>37377</v>
          </cell>
          <cell r="D657">
            <v>37377</v>
          </cell>
          <cell r="E657">
            <v>0</v>
          </cell>
          <cell r="F657">
            <v>0</v>
          </cell>
          <cell r="G657">
            <v>0</v>
          </cell>
          <cell r="H657">
            <v>75</v>
          </cell>
          <cell r="I657">
            <v>0</v>
          </cell>
          <cell r="J657">
            <v>0</v>
          </cell>
          <cell r="K657">
            <v>0</v>
          </cell>
          <cell r="L657">
            <v>0</v>
          </cell>
          <cell r="M657">
            <v>0</v>
          </cell>
          <cell r="N657">
            <v>0</v>
          </cell>
          <cell r="O657">
            <v>0</v>
          </cell>
          <cell r="P657">
            <v>0</v>
          </cell>
          <cell r="Q657">
            <v>35</v>
          </cell>
          <cell r="R657">
            <v>0</v>
          </cell>
          <cell r="S657">
            <v>0</v>
          </cell>
          <cell r="T657">
            <v>0</v>
          </cell>
          <cell r="U657">
            <v>0</v>
          </cell>
          <cell r="V657">
            <v>110</v>
          </cell>
          <cell r="W657">
            <v>75</v>
          </cell>
        </row>
        <row r="658">
          <cell r="A658" t="str">
            <v>AB Brown Power Plant Turbine #1</v>
          </cell>
          <cell r="B658">
            <v>60</v>
          </cell>
          <cell r="C658">
            <v>37408</v>
          </cell>
          <cell r="D658">
            <v>37408</v>
          </cell>
          <cell r="E658">
            <v>35000</v>
          </cell>
          <cell r="F658">
            <v>14210</v>
          </cell>
          <cell r="G658">
            <v>0</v>
          </cell>
          <cell r="H658">
            <v>75</v>
          </cell>
          <cell r="I658">
            <v>0</v>
          </cell>
          <cell r="J658">
            <v>0</v>
          </cell>
          <cell r="K658">
            <v>0</v>
          </cell>
          <cell r="L658">
            <v>0</v>
          </cell>
          <cell r="M658">
            <v>0</v>
          </cell>
          <cell r="N658">
            <v>0</v>
          </cell>
          <cell r="O658">
            <v>0</v>
          </cell>
          <cell r="P658">
            <v>0</v>
          </cell>
          <cell r="Q658">
            <v>35</v>
          </cell>
          <cell r="R658">
            <v>0</v>
          </cell>
          <cell r="S658">
            <v>0</v>
          </cell>
          <cell r="T658">
            <v>0</v>
          </cell>
          <cell r="U658">
            <v>0</v>
          </cell>
          <cell r="V658">
            <v>14320</v>
          </cell>
          <cell r="W658">
            <v>14285</v>
          </cell>
        </row>
        <row r="659">
          <cell r="A659" t="str">
            <v>AB Brown Power Plant Turbine #1</v>
          </cell>
          <cell r="B659">
            <v>60</v>
          </cell>
          <cell r="C659">
            <v>37438</v>
          </cell>
          <cell r="D659">
            <v>37438</v>
          </cell>
          <cell r="E659">
            <v>100000</v>
          </cell>
          <cell r="F659">
            <v>40600</v>
          </cell>
          <cell r="G659">
            <v>0</v>
          </cell>
          <cell r="H659">
            <v>75</v>
          </cell>
          <cell r="I659">
            <v>0</v>
          </cell>
          <cell r="J659">
            <v>0</v>
          </cell>
          <cell r="K659">
            <v>0</v>
          </cell>
          <cell r="L659">
            <v>0</v>
          </cell>
          <cell r="M659">
            <v>0</v>
          </cell>
          <cell r="N659">
            <v>0</v>
          </cell>
          <cell r="O659">
            <v>0</v>
          </cell>
          <cell r="P659">
            <v>0</v>
          </cell>
          <cell r="Q659">
            <v>35</v>
          </cell>
          <cell r="R659">
            <v>0</v>
          </cell>
          <cell r="S659">
            <v>0</v>
          </cell>
          <cell r="T659">
            <v>0</v>
          </cell>
          <cell r="U659">
            <v>0</v>
          </cell>
          <cell r="V659">
            <v>40710</v>
          </cell>
          <cell r="W659">
            <v>40675</v>
          </cell>
        </row>
        <row r="660">
          <cell r="A660" t="str">
            <v>AB Brown Power Plant Turbine #1</v>
          </cell>
          <cell r="B660">
            <v>60</v>
          </cell>
          <cell r="C660">
            <v>37469</v>
          </cell>
          <cell r="D660">
            <v>37469</v>
          </cell>
          <cell r="E660">
            <v>67600</v>
          </cell>
          <cell r="F660">
            <v>27445.599999999999</v>
          </cell>
          <cell r="G660">
            <v>0</v>
          </cell>
          <cell r="H660">
            <v>75</v>
          </cell>
          <cell r="I660">
            <v>0</v>
          </cell>
          <cell r="J660">
            <v>0</v>
          </cell>
          <cell r="K660">
            <v>0</v>
          </cell>
          <cell r="L660">
            <v>0</v>
          </cell>
          <cell r="M660">
            <v>0</v>
          </cell>
          <cell r="N660">
            <v>0</v>
          </cell>
          <cell r="O660">
            <v>0</v>
          </cell>
          <cell r="P660">
            <v>0</v>
          </cell>
          <cell r="Q660">
            <v>35</v>
          </cell>
          <cell r="R660">
            <v>0</v>
          </cell>
          <cell r="S660">
            <v>0</v>
          </cell>
          <cell r="T660">
            <v>0</v>
          </cell>
          <cell r="U660">
            <v>0</v>
          </cell>
          <cell r="V660">
            <v>27555.599999999999</v>
          </cell>
          <cell r="W660">
            <v>27520.6</v>
          </cell>
        </row>
        <row r="661">
          <cell r="A661" t="str">
            <v>AB Brown Power Plant Turbine #1</v>
          </cell>
          <cell r="B661">
            <v>60</v>
          </cell>
          <cell r="C661">
            <v>37500</v>
          </cell>
          <cell r="D661">
            <v>37500</v>
          </cell>
          <cell r="E661">
            <v>100234</v>
          </cell>
          <cell r="F661">
            <v>40695</v>
          </cell>
          <cell r="G661">
            <v>0</v>
          </cell>
          <cell r="H661">
            <v>75</v>
          </cell>
          <cell r="I661">
            <v>0</v>
          </cell>
          <cell r="J661">
            <v>0</v>
          </cell>
          <cell r="K661">
            <v>0</v>
          </cell>
          <cell r="L661">
            <v>0</v>
          </cell>
          <cell r="M661">
            <v>0</v>
          </cell>
          <cell r="N661">
            <v>0</v>
          </cell>
          <cell r="O661">
            <v>0</v>
          </cell>
          <cell r="P661">
            <v>0</v>
          </cell>
          <cell r="Q661">
            <v>35</v>
          </cell>
          <cell r="R661">
            <v>0</v>
          </cell>
          <cell r="S661">
            <v>0</v>
          </cell>
          <cell r="T661">
            <v>0</v>
          </cell>
          <cell r="U661">
            <v>0</v>
          </cell>
          <cell r="V661">
            <v>40805</v>
          </cell>
          <cell r="W661">
            <v>40770</v>
          </cell>
        </row>
        <row r="662">
          <cell r="A662" t="str">
            <v>AB Brown Power Plant Turbine #1</v>
          </cell>
          <cell r="B662">
            <v>60</v>
          </cell>
          <cell r="C662">
            <v>37530</v>
          </cell>
          <cell r="D662">
            <v>37530</v>
          </cell>
          <cell r="E662">
            <v>19097</v>
          </cell>
          <cell r="F662">
            <v>7753.38</v>
          </cell>
          <cell r="G662">
            <v>0</v>
          </cell>
          <cell r="H662">
            <v>75</v>
          </cell>
          <cell r="I662">
            <v>0</v>
          </cell>
          <cell r="J662">
            <v>0</v>
          </cell>
          <cell r="K662">
            <v>0</v>
          </cell>
          <cell r="L662">
            <v>0</v>
          </cell>
          <cell r="M662">
            <v>0</v>
          </cell>
          <cell r="N662">
            <v>0</v>
          </cell>
          <cell r="O662">
            <v>0</v>
          </cell>
          <cell r="P662">
            <v>0</v>
          </cell>
          <cell r="Q662">
            <v>35</v>
          </cell>
          <cell r="R662">
            <v>0</v>
          </cell>
          <cell r="S662">
            <v>0</v>
          </cell>
          <cell r="T662">
            <v>0</v>
          </cell>
          <cell r="U662">
            <v>0</v>
          </cell>
          <cell r="V662">
            <v>7863.38</v>
          </cell>
          <cell r="W662">
            <v>7828.38</v>
          </cell>
        </row>
        <row r="663">
          <cell r="A663" t="str">
            <v>AB Brown Power Plant Turbine #1</v>
          </cell>
          <cell r="B663">
            <v>60</v>
          </cell>
          <cell r="C663">
            <v>37561</v>
          </cell>
          <cell r="D663">
            <v>37561</v>
          </cell>
          <cell r="E663">
            <v>18000</v>
          </cell>
          <cell r="F663">
            <v>7308</v>
          </cell>
          <cell r="G663">
            <v>0</v>
          </cell>
          <cell r="H663">
            <v>75</v>
          </cell>
          <cell r="I663">
            <v>0</v>
          </cell>
          <cell r="J663">
            <v>0</v>
          </cell>
          <cell r="K663">
            <v>0</v>
          </cell>
          <cell r="L663">
            <v>0</v>
          </cell>
          <cell r="M663">
            <v>0</v>
          </cell>
          <cell r="N663">
            <v>0</v>
          </cell>
          <cell r="O663">
            <v>0</v>
          </cell>
          <cell r="P663">
            <v>0</v>
          </cell>
          <cell r="Q663">
            <v>35</v>
          </cell>
          <cell r="R663">
            <v>0</v>
          </cell>
          <cell r="S663">
            <v>0</v>
          </cell>
          <cell r="T663">
            <v>0</v>
          </cell>
          <cell r="U663">
            <v>0</v>
          </cell>
          <cell r="V663">
            <v>7418</v>
          </cell>
          <cell r="W663">
            <v>7383</v>
          </cell>
        </row>
        <row r="664">
          <cell r="A664" t="str">
            <v>AB Brown Power Plant Turbine #1</v>
          </cell>
          <cell r="B664">
            <v>60</v>
          </cell>
          <cell r="C664">
            <v>37591</v>
          </cell>
          <cell r="D664">
            <v>37591</v>
          </cell>
          <cell r="E664">
            <v>26516</v>
          </cell>
          <cell r="F664">
            <v>10765.5</v>
          </cell>
          <cell r="G664">
            <v>0</v>
          </cell>
          <cell r="H664">
            <v>75</v>
          </cell>
          <cell r="I664">
            <v>0</v>
          </cell>
          <cell r="J664">
            <v>0</v>
          </cell>
          <cell r="K664">
            <v>0</v>
          </cell>
          <cell r="L664">
            <v>0</v>
          </cell>
          <cell r="M664">
            <v>0</v>
          </cell>
          <cell r="N664">
            <v>0</v>
          </cell>
          <cell r="O664">
            <v>0</v>
          </cell>
          <cell r="P664">
            <v>0</v>
          </cell>
          <cell r="Q664">
            <v>35</v>
          </cell>
          <cell r="R664">
            <v>0</v>
          </cell>
          <cell r="S664">
            <v>0</v>
          </cell>
          <cell r="T664">
            <v>0</v>
          </cell>
          <cell r="U664">
            <v>0</v>
          </cell>
          <cell r="V664">
            <v>10875.5</v>
          </cell>
          <cell r="W664">
            <v>10840.5</v>
          </cell>
        </row>
        <row r="665">
          <cell r="A665" t="str">
            <v>Broadway Ave. Gas Turbines #1</v>
          </cell>
          <cell r="B665">
            <v>61</v>
          </cell>
          <cell r="C665">
            <v>37257</v>
          </cell>
          <cell r="D665">
            <v>37257</v>
          </cell>
          <cell r="E665">
            <v>0</v>
          </cell>
          <cell r="F665">
            <v>0</v>
          </cell>
          <cell r="G665">
            <v>0</v>
          </cell>
          <cell r="H665">
            <v>75</v>
          </cell>
          <cell r="I665">
            <v>0</v>
          </cell>
          <cell r="J665">
            <v>0</v>
          </cell>
          <cell r="K665">
            <v>0</v>
          </cell>
          <cell r="L665">
            <v>0</v>
          </cell>
          <cell r="M665">
            <v>0</v>
          </cell>
          <cell r="N665">
            <v>0</v>
          </cell>
          <cell r="O665">
            <v>0</v>
          </cell>
          <cell r="P665">
            <v>0</v>
          </cell>
          <cell r="Q665">
            <v>35</v>
          </cell>
          <cell r="R665">
            <v>0</v>
          </cell>
          <cell r="S665">
            <v>0</v>
          </cell>
          <cell r="T665">
            <v>0</v>
          </cell>
          <cell r="U665">
            <v>0</v>
          </cell>
          <cell r="V665">
            <v>110</v>
          </cell>
          <cell r="W665">
            <v>75</v>
          </cell>
        </row>
        <row r="666">
          <cell r="A666" t="str">
            <v>Broadway Ave. Gas Turbines #1</v>
          </cell>
          <cell r="B666">
            <v>61</v>
          </cell>
          <cell r="C666">
            <v>37288</v>
          </cell>
          <cell r="D666">
            <v>37288</v>
          </cell>
          <cell r="E666">
            <v>5150</v>
          </cell>
          <cell r="F666">
            <v>2090.9</v>
          </cell>
          <cell r="G666">
            <v>0</v>
          </cell>
          <cell r="H666">
            <v>75</v>
          </cell>
          <cell r="I666">
            <v>0</v>
          </cell>
          <cell r="J666">
            <v>0</v>
          </cell>
          <cell r="K666">
            <v>0</v>
          </cell>
          <cell r="L666">
            <v>0</v>
          </cell>
          <cell r="M666">
            <v>0</v>
          </cell>
          <cell r="N666">
            <v>5150</v>
          </cell>
          <cell r="O666">
            <v>-5.15</v>
          </cell>
          <cell r="P666">
            <v>0</v>
          </cell>
          <cell r="Q666">
            <v>35</v>
          </cell>
          <cell r="R666">
            <v>0</v>
          </cell>
          <cell r="S666">
            <v>0</v>
          </cell>
          <cell r="T666">
            <v>0</v>
          </cell>
          <cell r="U666">
            <v>0</v>
          </cell>
          <cell r="V666">
            <v>2195.75</v>
          </cell>
          <cell r="W666">
            <v>2160.75</v>
          </cell>
        </row>
        <row r="667">
          <cell r="A667" t="str">
            <v>Broadway Ave. Gas Turbines #1</v>
          </cell>
          <cell r="B667">
            <v>61</v>
          </cell>
          <cell r="C667">
            <v>37316</v>
          </cell>
          <cell r="D667">
            <v>37316</v>
          </cell>
          <cell r="E667">
            <v>0</v>
          </cell>
          <cell r="F667">
            <v>0</v>
          </cell>
          <cell r="G667">
            <v>0</v>
          </cell>
          <cell r="H667">
            <v>75</v>
          </cell>
          <cell r="I667">
            <v>0</v>
          </cell>
          <cell r="J667">
            <v>0</v>
          </cell>
          <cell r="K667">
            <v>0</v>
          </cell>
          <cell r="L667">
            <v>0</v>
          </cell>
          <cell r="M667">
            <v>0</v>
          </cell>
          <cell r="N667">
            <v>0</v>
          </cell>
          <cell r="O667">
            <v>0</v>
          </cell>
          <cell r="P667">
            <v>0</v>
          </cell>
          <cell r="Q667">
            <v>35</v>
          </cell>
          <cell r="R667">
            <v>0</v>
          </cell>
          <cell r="S667">
            <v>0</v>
          </cell>
          <cell r="T667">
            <v>0</v>
          </cell>
          <cell r="U667">
            <v>0</v>
          </cell>
          <cell r="V667">
            <v>110</v>
          </cell>
          <cell r="W667">
            <v>75</v>
          </cell>
        </row>
        <row r="668">
          <cell r="A668" t="str">
            <v>Broadway Ave. Gas Turbines #1</v>
          </cell>
          <cell r="B668">
            <v>61</v>
          </cell>
          <cell r="C668">
            <v>37347</v>
          </cell>
          <cell r="D668">
            <v>37347</v>
          </cell>
          <cell r="E668">
            <v>0</v>
          </cell>
          <cell r="F668">
            <v>0</v>
          </cell>
          <cell r="G668">
            <v>0</v>
          </cell>
          <cell r="H668">
            <v>75</v>
          </cell>
          <cell r="I668">
            <v>0</v>
          </cell>
          <cell r="J668">
            <v>0</v>
          </cell>
          <cell r="K668">
            <v>0</v>
          </cell>
          <cell r="L668">
            <v>0</v>
          </cell>
          <cell r="M668">
            <v>0</v>
          </cell>
          <cell r="N668">
            <v>0</v>
          </cell>
          <cell r="O668">
            <v>0</v>
          </cell>
          <cell r="P668">
            <v>0</v>
          </cell>
          <cell r="Q668">
            <v>35</v>
          </cell>
          <cell r="R668">
            <v>0</v>
          </cell>
          <cell r="S668">
            <v>0</v>
          </cell>
          <cell r="T668">
            <v>0</v>
          </cell>
          <cell r="U668">
            <v>0</v>
          </cell>
          <cell r="V668">
            <v>110</v>
          </cell>
          <cell r="W668">
            <v>75</v>
          </cell>
        </row>
        <row r="669">
          <cell r="A669" t="str">
            <v>Broadway Ave. Gas Turbines #1</v>
          </cell>
          <cell r="B669">
            <v>61</v>
          </cell>
          <cell r="C669">
            <v>37377</v>
          </cell>
          <cell r="D669">
            <v>37377</v>
          </cell>
          <cell r="E669">
            <v>0</v>
          </cell>
          <cell r="F669">
            <v>0</v>
          </cell>
          <cell r="G669">
            <v>0</v>
          </cell>
          <cell r="H669">
            <v>75</v>
          </cell>
          <cell r="I669">
            <v>0</v>
          </cell>
          <cell r="J669">
            <v>0</v>
          </cell>
          <cell r="K669">
            <v>0</v>
          </cell>
          <cell r="L669">
            <v>0</v>
          </cell>
          <cell r="M669">
            <v>0</v>
          </cell>
          <cell r="N669">
            <v>0</v>
          </cell>
          <cell r="O669">
            <v>0</v>
          </cell>
          <cell r="P669">
            <v>0</v>
          </cell>
          <cell r="Q669">
            <v>35</v>
          </cell>
          <cell r="R669">
            <v>0</v>
          </cell>
          <cell r="S669">
            <v>0</v>
          </cell>
          <cell r="T669">
            <v>0</v>
          </cell>
          <cell r="U669">
            <v>0</v>
          </cell>
          <cell r="V669">
            <v>110</v>
          </cell>
          <cell r="W669">
            <v>75</v>
          </cell>
        </row>
        <row r="670">
          <cell r="A670" t="str">
            <v>Broadway Ave. Gas Turbines #1</v>
          </cell>
          <cell r="B670">
            <v>61</v>
          </cell>
          <cell r="C670">
            <v>37408</v>
          </cell>
          <cell r="D670">
            <v>37408</v>
          </cell>
          <cell r="E670">
            <v>2000</v>
          </cell>
          <cell r="F670">
            <v>812</v>
          </cell>
          <cell r="G670">
            <v>0</v>
          </cell>
          <cell r="H670">
            <v>75</v>
          </cell>
          <cell r="I670">
            <v>0</v>
          </cell>
          <cell r="J670">
            <v>0</v>
          </cell>
          <cell r="K670">
            <v>0</v>
          </cell>
          <cell r="L670">
            <v>0</v>
          </cell>
          <cell r="M670">
            <v>0</v>
          </cell>
          <cell r="N670">
            <v>0</v>
          </cell>
          <cell r="O670">
            <v>0</v>
          </cell>
          <cell r="P670">
            <v>0</v>
          </cell>
          <cell r="Q670">
            <v>35</v>
          </cell>
          <cell r="R670">
            <v>0</v>
          </cell>
          <cell r="S670">
            <v>0</v>
          </cell>
          <cell r="T670">
            <v>0</v>
          </cell>
          <cell r="U670">
            <v>0</v>
          </cell>
          <cell r="V670">
            <v>922</v>
          </cell>
          <cell r="W670">
            <v>887</v>
          </cell>
        </row>
        <row r="671">
          <cell r="A671" t="str">
            <v>Broadway Ave. Gas Turbines #1</v>
          </cell>
          <cell r="B671">
            <v>61</v>
          </cell>
          <cell r="C671">
            <v>37438</v>
          </cell>
          <cell r="D671">
            <v>37438</v>
          </cell>
          <cell r="E671">
            <v>0</v>
          </cell>
          <cell r="F671">
            <v>0</v>
          </cell>
          <cell r="G671">
            <v>0</v>
          </cell>
          <cell r="H671">
            <v>75</v>
          </cell>
          <cell r="I671">
            <v>0</v>
          </cell>
          <cell r="J671">
            <v>0</v>
          </cell>
          <cell r="K671">
            <v>0</v>
          </cell>
          <cell r="L671">
            <v>0</v>
          </cell>
          <cell r="M671">
            <v>0</v>
          </cell>
          <cell r="N671">
            <v>0</v>
          </cell>
          <cell r="O671">
            <v>0</v>
          </cell>
          <cell r="P671">
            <v>0</v>
          </cell>
          <cell r="Q671">
            <v>35</v>
          </cell>
          <cell r="R671">
            <v>0</v>
          </cell>
          <cell r="S671">
            <v>0</v>
          </cell>
          <cell r="T671">
            <v>0</v>
          </cell>
          <cell r="U671">
            <v>0</v>
          </cell>
          <cell r="V671">
            <v>110</v>
          </cell>
          <cell r="W671">
            <v>75</v>
          </cell>
        </row>
        <row r="672">
          <cell r="A672" t="str">
            <v>Broadway Ave. Gas Turbines #1</v>
          </cell>
          <cell r="B672">
            <v>61</v>
          </cell>
          <cell r="C672">
            <v>37469</v>
          </cell>
          <cell r="D672">
            <v>37469</v>
          </cell>
          <cell r="E672">
            <v>0</v>
          </cell>
          <cell r="F672">
            <v>0</v>
          </cell>
          <cell r="G672">
            <v>0</v>
          </cell>
          <cell r="H672">
            <v>75</v>
          </cell>
          <cell r="I672">
            <v>0</v>
          </cell>
          <cell r="J672">
            <v>0</v>
          </cell>
          <cell r="K672">
            <v>0</v>
          </cell>
          <cell r="L672">
            <v>0</v>
          </cell>
          <cell r="M672">
            <v>0</v>
          </cell>
          <cell r="N672">
            <v>0</v>
          </cell>
          <cell r="O672">
            <v>0</v>
          </cell>
          <cell r="P672">
            <v>0</v>
          </cell>
          <cell r="Q672">
            <v>35</v>
          </cell>
          <cell r="R672">
            <v>0</v>
          </cell>
          <cell r="S672">
            <v>0</v>
          </cell>
          <cell r="T672">
            <v>0</v>
          </cell>
          <cell r="U672">
            <v>0</v>
          </cell>
          <cell r="V672">
            <v>110</v>
          </cell>
          <cell r="W672">
            <v>75</v>
          </cell>
        </row>
        <row r="673">
          <cell r="A673" t="str">
            <v>Broadway Ave. Gas Turbines #1</v>
          </cell>
          <cell r="B673">
            <v>61</v>
          </cell>
          <cell r="C673">
            <v>37500</v>
          </cell>
          <cell r="D673">
            <v>37500</v>
          </cell>
          <cell r="E673">
            <v>0</v>
          </cell>
          <cell r="F673">
            <v>0</v>
          </cell>
          <cell r="G673">
            <v>0</v>
          </cell>
          <cell r="H673">
            <v>75</v>
          </cell>
          <cell r="I673">
            <v>0</v>
          </cell>
          <cell r="J673">
            <v>0</v>
          </cell>
          <cell r="K673">
            <v>0</v>
          </cell>
          <cell r="L673">
            <v>0</v>
          </cell>
          <cell r="M673">
            <v>0</v>
          </cell>
          <cell r="N673">
            <v>0</v>
          </cell>
          <cell r="O673">
            <v>0</v>
          </cell>
          <cell r="P673">
            <v>0</v>
          </cell>
          <cell r="Q673">
            <v>35</v>
          </cell>
          <cell r="R673">
            <v>0</v>
          </cell>
          <cell r="S673">
            <v>0</v>
          </cell>
          <cell r="T673">
            <v>0</v>
          </cell>
          <cell r="U673">
            <v>0</v>
          </cell>
          <cell r="V673">
            <v>110</v>
          </cell>
          <cell r="W673">
            <v>75</v>
          </cell>
        </row>
        <row r="674">
          <cell r="A674" t="str">
            <v>Broadway Ave. Gas Turbines #1</v>
          </cell>
          <cell r="B674">
            <v>61</v>
          </cell>
          <cell r="C674">
            <v>37530</v>
          </cell>
          <cell r="D674">
            <v>37530</v>
          </cell>
          <cell r="E674">
            <v>0</v>
          </cell>
          <cell r="F674">
            <v>0</v>
          </cell>
          <cell r="G674">
            <v>0</v>
          </cell>
          <cell r="H674">
            <v>75</v>
          </cell>
          <cell r="I674">
            <v>0</v>
          </cell>
          <cell r="J674">
            <v>0</v>
          </cell>
          <cell r="K674">
            <v>0</v>
          </cell>
          <cell r="L674">
            <v>0</v>
          </cell>
          <cell r="M674">
            <v>0</v>
          </cell>
          <cell r="N674">
            <v>0</v>
          </cell>
          <cell r="O674">
            <v>0</v>
          </cell>
          <cell r="P674">
            <v>0</v>
          </cell>
          <cell r="Q674">
            <v>35</v>
          </cell>
          <cell r="R674">
            <v>0</v>
          </cell>
          <cell r="S674">
            <v>0</v>
          </cell>
          <cell r="T674">
            <v>0</v>
          </cell>
          <cell r="U674">
            <v>0</v>
          </cell>
          <cell r="V674">
            <v>110</v>
          </cell>
          <cell r="W674">
            <v>75</v>
          </cell>
        </row>
        <row r="675">
          <cell r="A675" t="str">
            <v>Broadway Ave. Gas Turbines #1</v>
          </cell>
          <cell r="B675">
            <v>61</v>
          </cell>
          <cell r="C675">
            <v>37561</v>
          </cell>
          <cell r="D675">
            <v>37561</v>
          </cell>
          <cell r="E675">
            <v>0</v>
          </cell>
          <cell r="F675">
            <v>0</v>
          </cell>
          <cell r="G675">
            <v>0</v>
          </cell>
          <cell r="H675">
            <v>75</v>
          </cell>
          <cell r="I675">
            <v>0</v>
          </cell>
          <cell r="J675">
            <v>0</v>
          </cell>
          <cell r="K675">
            <v>0</v>
          </cell>
          <cell r="L675">
            <v>0</v>
          </cell>
          <cell r="M675">
            <v>0</v>
          </cell>
          <cell r="N675">
            <v>0</v>
          </cell>
          <cell r="O675">
            <v>0</v>
          </cell>
          <cell r="P675">
            <v>0</v>
          </cell>
          <cell r="Q675">
            <v>35</v>
          </cell>
          <cell r="R675">
            <v>0</v>
          </cell>
          <cell r="S675">
            <v>0</v>
          </cell>
          <cell r="T675">
            <v>0</v>
          </cell>
          <cell r="U675">
            <v>0</v>
          </cell>
          <cell r="V675">
            <v>110</v>
          </cell>
          <cell r="W675">
            <v>75</v>
          </cell>
        </row>
        <row r="676">
          <cell r="A676" t="str">
            <v>Broadway Ave. Gas Turbines #1</v>
          </cell>
          <cell r="B676">
            <v>61</v>
          </cell>
          <cell r="C676">
            <v>37591</v>
          </cell>
          <cell r="D676">
            <v>37591</v>
          </cell>
          <cell r="E676">
            <v>0</v>
          </cell>
          <cell r="F676">
            <v>0</v>
          </cell>
          <cell r="G676">
            <v>0</v>
          </cell>
          <cell r="H676">
            <v>75</v>
          </cell>
          <cell r="I676">
            <v>0</v>
          </cell>
          <cell r="J676">
            <v>0</v>
          </cell>
          <cell r="K676">
            <v>0</v>
          </cell>
          <cell r="L676">
            <v>0</v>
          </cell>
          <cell r="M676">
            <v>0</v>
          </cell>
          <cell r="N676">
            <v>0</v>
          </cell>
          <cell r="O676">
            <v>0</v>
          </cell>
          <cell r="P676">
            <v>0</v>
          </cell>
          <cell r="Q676">
            <v>35</v>
          </cell>
          <cell r="R676">
            <v>0</v>
          </cell>
          <cell r="S676">
            <v>0</v>
          </cell>
          <cell r="T676">
            <v>0</v>
          </cell>
          <cell r="U676">
            <v>0</v>
          </cell>
          <cell r="V676">
            <v>110</v>
          </cell>
          <cell r="W676">
            <v>75</v>
          </cell>
        </row>
        <row r="677">
          <cell r="A677" t="str">
            <v>Evansville State Hospital</v>
          </cell>
          <cell r="B677">
            <v>63</v>
          </cell>
          <cell r="C677">
            <v>37257</v>
          </cell>
          <cell r="D677">
            <v>37257</v>
          </cell>
          <cell r="E677">
            <v>10675</v>
          </cell>
          <cell r="F677">
            <v>4334.05</v>
          </cell>
          <cell r="G677">
            <v>0</v>
          </cell>
          <cell r="H677">
            <v>75</v>
          </cell>
          <cell r="I677">
            <v>0</v>
          </cell>
          <cell r="J677">
            <v>0</v>
          </cell>
          <cell r="K677">
            <v>0</v>
          </cell>
          <cell r="L677">
            <v>0</v>
          </cell>
          <cell r="M677">
            <v>0</v>
          </cell>
          <cell r="N677">
            <v>10675</v>
          </cell>
          <cell r="O677">
            <v>32.020000000000003</v>
          </cell>
          <cell r="P677">
            <v>0</v>
          </cell>
          <cell r="Q677">
            <v>35</v>
          </cell>
          <cell r="R677">
            <v>0</v>
          </cell>
          <cell r="S677">
            <v>-4.09</v>
          </cell>
          <cell r="T677">
            <v>0</v>
          </cell>
          <cell r="U677">
            <v>0</v>
          </cell>
          <cell r="V677">
            <v>4471.9799999999996</v>
          </cell>
          <cell r="W677">
            <v>4441.07</v>
          </cell>
        </row>
        <row r="678">
          <cell r="A678" t="str">
            <v>Evansville State Hospital</v>
          </cell>
          <cell r="B678">
            <v>63</v>
          </cell>
          <cell r="C678">
            <v>37288</v>
          </cell>
          <cell r="D678">
            <v>37288</v>
          </cell>
          <cell r="E678">
            <v>7900</v>
          </cell>
          <cell r="F678">
            <v>3207.4</v>
          </cell>
          <cell r="G678">
            <v>0</v>
          </cell>
          <cell r="H678">
            <v>75</v>
          </cell>
          <cell r="I678">
            <v>0</v>
          </cell>
          <cell r="J678">
            <v>0</v>
          </cell>
          <cell r="K678">
            <v>0</v>
          </cell>
          <cell r="L678">
            <v>0</v>
          </cell>
          <cell r="M678">
            <v>0</v>
          </cell>
          <cell r="N678">
            <v>7900</v>
          </cell>
          <cell r="O678">
            <v>-7.9</v>
          </cell>
          <cell r="P678">
            <v>0</v>
          </cell>
          <cell r="Q678">
            <v>35</v>
          </cell>
          <cell r="R678">
            <v>0</v>
          </cell>
          <cell r="S678">
            <v>0</v>
          </cell>
          <cell r="T678">
            <v>0</v>
          </cell>
          <cell r="U678">
            <v>0</v>
          </cell>
          <cell r="V678">
            <v>3309.5</v>
          </cell>
          <cell r="W678">
            <v>3274.5</v>
          </cell>
        </row>
        <row r="679">
          <cell r="A679" t="str">
            <v>Evansville State Hospital</v>
          </cell>
          <cell r="B679">
            <v>63</v>
          </cell>
          <cell r="C679">
            <v>37316</v>
          </cell>
          <cell r="D679">
            <v>37316</v>
          </cell>
          <cell r="E679">
            <v>8015</v>
          </cell>
          <cell r="F679">
            <v>3254.09</v>
          </cell>
          <cell r="G679">
            <v>0</v>
          </cell>
          <cell r="H679">
            <v>75</v>
          </cell>
          <cell r="I679">
            <v>0</v>
          </cell>
          <cell r="J679">
            <v>0</v>
          </cell>
          <cell r="K679">
            <v>0</v>
          </cell>
          <cell r="L679">
            <v>0</v>
          </cell>
          <cell r="M679">
            <v>0</v>
          </cell>
          <cell r="N679">
            <v>8015</v>
          </cell>
          <cell r="O679">
            <v>-8.02</v>
          </cell>
          <cell r="P679">
            <v>0</v>
          </cell>
          <cell r="Q679">
            <v>35</v>
          </cell>
          <cell r="R679">
            <v>0</v>
          </cell>
          <cell r="S679">
            <v>0</v>
          </cell>
          <cell r="T679">
            <v>0</v>
          </cell>
          <cell r="U679">
            <v>0</v>
          </cell>
          <cell r="V679">
            <v>3356.07</v>
          </cell>
          <cell r="W679">
            <v>3321.07</v>
          </cell>
        </row>
        <row r="680">
          <cell r="A680" t="str">
            <v>Evansville State Hospital</v>
          </cell>
          <cell r="B680">
            <v>63</v>
          </cell>
          <cell r="C680">
            <v>37347</v>
          </cell>
          <cell r="D680">
            <v>37347</v>
          </cell>
          <cell r="E680">
            <v>5395</v>
          </cell>
          <cell r="F680">
            <v>2190.37</v>
          </cell>
          <cell r="G680">
            <v>0</v>
          </cell>
          <cell r="H680">
            <v>75</v>
          </cell>
          <cell r="I680">
            <v>0</v>
          </cell>
          <cell r="J680">
            <v>0</v>
          </cell>
          <cell r="K680">
            <v>0</v>
          </cell>
          <cell r="L680">
            <v>0</v>
          </cell>
          <cell r="M680">
            <v>0</v>
          </cell>
          <cell r="N680">
            <v>5395</v>
          </cell>
          <cell r="O680">
            <v>-5.39</v>
          </cell>
          <cell r="P680">
            <v>0</v>
          </cell>
          <cell r="Q680">
            <v>35</v>
          </cell>
          <cell r="R680">
            <v>0</v>
          </cell>
          <cell r="S680">
            <v>3356.07</v>
          </cell>
          <cell r="T680">
            <v>0</v>
          </cell>
          <cell r="U680">
            <v>0</v>
          </cell>
          <cell r="V680">
            <v>5651.05</v>
          </cell>
          <cell r="W680">
            <v>2259.98</v>
          </cell>
        </row>
        <row r="681">
          <cell r="A681" t="str">
            <v>Evansville State Hospital</v>
          </cell>
          <cell r="B681">
            <v>63</v>
          </cell>
          <cell r="C681">
            <v>37377</v>
          </cell>
          <cell r="D681">
            <v>37377</v>
          </cell>
          <cell r="E681">
            <v>4632</v>
          </cell>
          <cell r="F681">
            <v>1880.5900000000001</v>
          </cell>
          <cell r="G681">
            <v>0</v>
          </cell>
          <cell r="H681">
            <v>75</v>
          </cell>
          <cell r="I681">
            <v>0</v>
          </cell>
          <cell r="J681">
            <v>0</v>
          </cell>
          <cell r="K681">
            <v>0</v>
          </cell>
          <cell r="L681">
            <v>0</v>
          </cell>
          <cell r="M681">
            <v>0</v>
          </cell>
          <cell r="N681">
            <v>0</v>
          </cell>
          <cell r="O681">
            <v>0</v>
          </cell>
          <cell r="P681">
            <v>0</v>
          </cell>
          <cell r="Q681">
            <v>35</v>
          </cell>
          <cell r="R681">
            <v>176.16</v>
          </cell>
          <cell r="S681">
            <v>13618.09</v>
          </cell>
          <cell r="T681">
            <v>1392</v>
          </cell>
          <cell r="U681">
            <v>8143.2</v>
          </cell>
          <cell r="V681">
            <v>15784.84</v>
          </cell>
          <cell r="W681">
            <v>1955.5900000000001</v>
          </cell>
        </row>
        <row r="682">
          <cell r="A682" t="str">
            <v>Evansville State Hospital</v>
          </cell>
          <cell r="B682">
            <v>63</v>
          </cell>
          <cell r="C682">
            <v>37408</v>
          </cell>
          <cell r="D682">
            <v>37408</v>
          </cell>
          <cell r="E682">
            <v>7320</v>
          </cell>
          <cell r="F682">
            <v>2971.92</v>
          </cell>
          <cell r="G682">
            <v>0</v>
          </cell>
          <cell r="H682">
            <v>75</v>
          </cell>
          <cell r="I682">
            <v>0</v>
          </cell>
          <cell r="J682">
            <v>0</v>
          </cell>
          <cell r="K682">
            <v>0</v>
          </cell>
          <cell r="L682">
            <v>0</v>
          </cell>
          <cell r="M682">
            <v>0</v>
          </cell>
          <cell r="N682">
            <v>0</v>
          </cell>
          <cell r="O682">
            <v>0</v>
          </cell>
          <cell r="P682">
            <v>0</v>
          </cell>
          <cell r="Q682">
            <v>35</v>
          </cell>
          <cell r="R682">
            <v>0</v>
          </cell>
          <cell r="S682">
            <v>3057.3</v>
          </cell>
          <cell r="T682">
            <v>0</v>
          </cell>
          <cell r="U682">
            <v>0</v>
          </cell>
          <cell r="V682">
            <v>6139.22</v>
          </cell>
          <cell r="W682">
            <v>3046.92</v>
          </cell>
        </row>
        <row r="683">
          <cell r="A683" t="str">
            <v>Evansville State Hospital</v>
          </cell>
          <cell r="B683">
            <v>63</v>
          </cell>
          <cell r="C683">
            <v>37438</v>
          </cell>
          <cell r="D683">
            <v>37438</v>
          </cell>
          <cell r="E683">
            <v>5486</v>
          </cell>
          <cell r="F683">
            <v>2227.3200000000002</v>
          </cell>
          <cell r="G683">
            <v>0</v>
          </cell>
          <cell r="H683">
            <v>75</v>
          </cell>
          <cell r="I683">
            <v>0</v>
          </cell>
          <cell r="J683">
            <v>0</v>
          </cell>
          <cell r="K683">
            <v>0</v>
          </cell>
          <cell r="L683">
            <v>0</v>
          </cell>
          <cell r="M683">
            <v>0</v>
          </cell>
          <cell r="N683">
            <v>0</v>
          </cell>
          <cell r="O683">
            <v>0</v>
          </cell>
          <cell r="P683">
            <v>0</v>
          </cell>
          <cell r="Q683">
            <v>35</v>
          </cell>
          <cell r="R683">
            <v>0</v>
          </cell>
          <cell r="S683">
            <v>0</v>
          </cell>
          <cell r="T683">
            <v>0</v>
          </cell>
          <cell r="U683">
            <v>0</v>
          </cell>
          <cell r="V683">
            <v>2337.3200000000002</v>
          </cell>
          <cell r="W683">
            <v>2302.3200000000002</v>
          </cell>
        </row>
        <row r="684">
          <cell r="A684" t="str">
            <v>Evansville State Hospital</v>
          </cell>
          <cell r="B684">
            <v>63</v>
          </cell>
          <cell r="C684">
            <v>37469</v>
          </cell>
          <cell r="D684">
            <v>37469</v>
          </cell>
          <cell r="E684">
            <v>6262</v>
          </cell>
          <cell r="F684">
            <v>2542.37</v>
          </cell>
          <cell r="G684">
            <v>0</v>
          </cell>
          <cell r="H684">
            <v>75</v>
          </cell>
          <cell r="I684">
            <v>0</v>
          </cell>
          <cell r="J684">
            <v>0</v>
          </cell>
          <cell r="K684">
            <v>0</v>
          </cell>
          <cell r="L684">
            <v>0</v>
          </cell>
          <cell r="M684">
            <v>0</v>
          </cell>
          <cell r="N684">
            <v>0</v>
          </cell>
          <cell r="O684">
            <v>0</v>
          </cell>
          <cell r="P684">
            <v>0</v>
          </cell>
          <cell r="Q684">
            <v>35</v>
          </cell>
          <cell r="R684">
            <v>0</v>
          </cell>
          <cell r="S684">
            <v>0</v>
          </cell>
          <cell r="T684">
            <v>0</v>
          </cell>
          <cell r="U684">
            <v>0</v>
          </cell>
          <cell r="V684">
            <v>2652.37</v>
          </cell>
          <cell r="W684">
            <v>2617.37</v>
          </cell>
        </row>
        <row r="685">
          <cell r="A685" t="str">
            <v>Evansville State Hospital</v>
          </cell>
          <cell r="B685">
            <v>63</v>
          </cell>
          <cell r="C685">
            <v>37500</v>
          </cell>
          <cell r="D685">
            <v>37500</v>
          </cell>
          <cell r="E685">
            <v>4475</v>
          </cell>
          <cell r="F685">
            <v>1816.85</v>
          </cell>
          <cell r="G685">
            <v>0</v>
          </cell>
          <cell r="H685">
            <v>75</v>
          </cell>
          <cell r="I685">
            <v>0</v>
          </cell>
          <cell r="J685">
            <v>0</v>
          </cell>
          <cell r="K685">
            <v>0</v>
          </cell>
          <cell r="L685">
            <v>0</v>
          </cell>
          <cell r="M685">
            <v>0</v>
          </cell>
          <cell r="N685">
            <v>0</v>
          </cell>
          <cell r="O685">
            <v>0</v>
          </cell>
          <cell r="P685">
            <v>0</v>
          </cell>
          <cell r="Q685">
            <v>35</v>
          </cell>
          <cell r="R685">
            <v>0</v>
          </cell>
          <cell r="S685">
            <v>0</v>
          </cell>
          <cell r="T685">
            <v>0</v>
          </cell>
          <cell r="U685">
            <v>0</v>
          </cell>
          <cell r="V685">
            <v>1926.85</v>
          </cell>
          <cell r="W685">
            <v>1891.85</v>
          </cell>
        </row>
        <row r="686">
          <cell r="A686" t="str">
            <v>Evansville State Hospital</v>
          </cell>
          <cell r="B686">
            <v>63</v>
          </cell>
          <cell r="C686">
            <v>37530</v>
          </cell>
          <cell r="D686">
            <v>37530</v>
          </cell>
          <cell r="E686">
            <v>4975</v>
          </cell>
          <cell r="F686">
            <v>2019.85</v>
          </cell>
          <cell r="G686">
            <v>0</v>
          </cell>
          <cell r="H686">
            <v>75</v>
          </cell>
          <cell r="I686">
            <v>0</v>
          </cell>
          <cell r="J686">
            <v>0</v>
          </cell>
          <cell r="K686">
            <v>0</v>
          </cell>
          <cell r="L686">
            <v>0</v>
          </cell>
          <cell r="M686">
            <v>0</v>
          </cell>
          <cell r="N686">
            <v>0</v>
          </cell>
          <cell r="O686">
            <v>0</v>
          </cell>
          <cell r="P686">
            <v>0</v>
          </cell>
          <cell r="Q686">
            <v>35</v>
          </cell>
          <cell r="R686">
            <v>0</v>
          </cell>
          <cell r="S686">
            <v>0</v>
          </cell>
          <cell r="T686">
            <v>0</v>
          </cell>
          <cell r="U686">
            <v>0</v>
          </cell>
          <cell r="V686">
            <v>2129.85</v>
          </cell>
          <cell r="W686">
            <v>2094.85</v>
          </cell>
        </row>
        <row r="687">
          <cell r="A687" t="str">
            <v>Evansville State Hospital</v>
          </cell>
          <cell r="B687">
            <v>63</v>
          </cell>
          <cell r="C687">
            <v>37561</v>
          </cell>
          <cell r="D687">
            <v>37561</v>
          </cell>
          <cell r="E687">
            <v>7205</v>
          </cell>
          <cell r="F687">
            <v>2925.23</v>
          </cell>
          <cell r="G687">
            <v>0</v>
          </cell>
          <cell r="H687">
            <v>75</v>
          </cell>
          <cell r="I687">
            <v>0</v>
          </cell>
          <cell r="J687">
            <v>0</v>
          </cell>
          <cell r="K687">
            <v>0</v>
          </cell>
          <cell r="L687">
            <v>0</v>
          </cell>
          <cell r="M687">
            <v>0</v>
          </cell>
          <cell r="N687">
            <v>0</v>
          </cell>
          <cell r="O687">
            <v>0</v>
          </cell>
          <cell r="P687">
            <v>0</v>
          </cell>
          <cell r="Q687">
            <v>35</v>
          </cell>
          <cell r="R687">
            <v>0</v>
          </cell>
          <cell r="S687">
            <v>0</v>
          </cell>
          <cell r="T687">
            <v>0</v>
          </cell>
          <cell r="U687">
            <v>0</v>
          </cell>
          <cell r="V687">
            <v>3035.23</v>
          </cell>
          <cell r="W687">
            <v>3000.23</v>
          </cell>
        </row>
        <row r="688">
          <cell r="A688" t="str">
            <v>Evansville State Hospital</v>
          </cell>
          <cell r="B688">
            <v>63</v>
          </cell>
          <cell r="C688">
            <v>37591</v>
          </cell>
          <cell r="D688">
            <v>37591</v>
          </cell>
          <cell r="E688">
            <v>8240</v>
          </cell>
          <cell r="F688">
            <v>3345.44</v>
          </cell>
          <cell r="G688">
            <v>0</v>
          </cell>
          <cell r="H688">
            <v>75</v>
          </cell>
          <cell r="I688">
            <v>0</v>
          </cell>
          <cell r="J688">
            <v>0</v>
          </cell>
          <cell r="K688">
            <v>0</v>
          </cell>
          <cell r="L688">
            <v>0</v>
          </cell>
          <cell r="M688">
            <v>0</v>
          </cell>
          <cell r="N688">
            <v>0</v>
          </cell>
          <cell r="O688">
            <v>0</v>
          </cell>
          <cell r="P688">
            <v>0</v>
          </cell>
          <cell r="Q688">
            <v>35</v>
          </cell>
          <cell r="R688">
            <v>0</v>
          </cell>
          <cell r="S688">
            <v>0</v>
          </cell>
          <cell r="T688">
            <v>0</v>
          </cell>
          <cell r="U688">
            <v>0</v>
          </cell>
          <cell r="V688">
            <v>3455.44</v>
          </cell>
          <cell r="W688">
            <v>3420.44</v>
          </cell>
        </row>
        <row r="689">
          <cell r="A689" t="str">
            <v>AB Brown Power Plant Ign #1</v>
          </cell>
          <cell r="B689">
            <v>71</v>
          </cell>
          <cell r="C689">
            <v>37257</v>
          </cell>
          <cell r="D689">
            <v>37257</v>
          </cell>
          <cell r="E689">
            <v>5690</v>
          </cell>
          <cell r="F689">
            <v>2310.14</v>
          </cell>
          <cell r="G689">
            <v>0</v>
          </cell>
          <cell r="H689">
            <v>75</v>
          </cell>
          <cell r="I689">
            <v>5690</v>
          </cell>
          <cell r="J689">
            <v>1772.43</v>
          </cell>
          <cell r="K689">
            <v>5836</v>
          </cell>
          <cell r="L689">
            <v>14910.98</v>
          </cell>
          <cell r="M689">
            <v>0</v>
          </cell>
          <cell r="N689">
            <v>5690</v>
          </cell>
          <cell r="O689">
            <v>17.07</v>
          </cell>
          <cell r="P689">
            <v>0</v>
          </cell>
          <cell r="Q689">
            <v>35</v>
          </cell>
          <cell r="R689">
            <v>0</v>
          </cell>
          <cell r="S689">
            <v>0</v>
          </cell>
          <cell r="T689">
            <v>0</v>
          </cell>
          <cell r="U689">
            <v>0</v>
          </cell>
          <cell r="V689">
            <v>19120.62</v>
          </cell>
          <cell r="W689">
            <v>2402.21</v>
          </cell>
        </row>
        <row r="690">
          <cell r="A690" t="str">
            <v>AB Brown Power Plant Ign #1</v>
          </cell>
          <cell r="B690">
            <v>71</v>
          </cell>
          <cell r="C690">
            <v>37288</v>
          </cell>
          <cell r="D690">
            <v>37288</v>
          </cell>
          <cell r="E690">
            <v>3974</v>
          </cell>
          <cell r="F690">
            <v>1613.44</v>
          </cell>
          <cell r="G690">
            <v>0</v>
          </cell>
          <cell r="H690">
            <v>75</v>
          </cell>
          <cell r="I690">
            <v>3974</v>
          </cell>
          <cell r="J690">
            <v>1237.9000000000001</v>
          </cell>
          <cell r="K690">
            <v>4075</v>
          </cell>
          <cell r="L690">
            <v>10411.620000000001</v>
          </cell>
          <cell r="M690">
            <v>0</v>
          </cell>
          <cell r="N690">
            <v>3974</v>
          </cell>
          <cell r="O690">
            <v>-3.97</v>
          </cell>
          <cell r="P690">
            <v>0</v>
          </cell>
          <cell r="Q690">
            <v>35</v>
          </cell>
          <cell r="R690">
            <v>0</v>
          </cell>
          <cell r="S690">
            <v>0</v>
          </cell>
          <cell r="T690">
            <v>0</v>
          </cell>
          <cell r="U690">
            <v>0</v>
          </cell>
          <cell r="V690">
            <v>13368.99</v>
          </cell>
          <cell r="W690">
            <v>1684.47</v>
          </cell>
        </row>
        <row r="691">
          <cell r="A691" t="str">
            <v>AB Brown Power Plant Ign #1</v>
          </cell>
          <cell r="B691">
            <v>71</v>
          </cell>
          <cell r="C691">
            <v>37316</v>
          </cell>
          <cell r="D691">
            <v>37316</v>
          </cell>
          <cell r="E691">
            <v>8972</v>
          </cell>
          <cell r="F691">
            <v>3642.63</v>
          </cell>
          <cell r="G691">
            <v>0</v>
          </cell>
          <cell r="H691">
            <v>75</v>
          </cell>
          <cell r="I691">
            <v>8972</v>
          </cell>
          <cell r="J691">
            <v>2794.78</v>
          </cell>
          <cell r="K691">
            <v>9202</v>
          </cell>
          <cell r="L691">
            <v>21974.38</v>
          </cell>
          <cell r="M691">
            <v>0</v>
          </cell>
          <cell r="N691">
            <v>8972</v>
          </cell>
          <cell r="O691">
            <v>-8.9700000000000006</v>
          </cell>
          <cell r="P691">
            <v>0</v>
          </cell>
          <cell r="Q691">
            <v>35</v>
          </cell>
          <cell r="R691">
            <v>0</v>
          </cell>
          <cell r="S691">
            <v>0</v>
          </cell>
          <cell r="T691">
            <v>0</v>
          </cell>
          <cell r="U691">
            <v>0</v>
          </cell>
          <cell r="V691">
            <v>28512.82</v>
          </cell>
          <cell r="W691">
            <v>3708.66</v>
          </cell>
        </row>
        <row r="692">
          <cell r="A692" t="str">
            <v>AB Brown Power Plant Ign #1</v>
          </cell>
          <cell r="B692">
            <v>71</v>
          </cell>
          <cell r="C692">
            <v>37347</v>
          </cell>
          <cell r="D692">
            <v>37347</v>
          </cell>
          <cell r="E692">
            <v>6722</v>
          </cell>
          <cell r="F692">
            <v>2729.13</v>
          </cell>
          <cell r="G692">
            <v>0</v>
          </cell>
          <cell r="H692">
            <v>75</v>
          </cell>
          <cell r="I692">
            <v>6722</v>
          </cell>
          <cell r="J692">
            <v>2093.9</v>
          </cell>
          <cell r="K692">
            <v>6907</v>
          </cell>
          <cell r="L692">
            <v>23981.1</v>
          </cell>
          <cell r="M692">
            <v>0</v>
          </cell>
          <cell r="N692">
            <v>6722</v>
          </cell>
          <cell r="O692">
            <v>-6.72</v>
          </cell>
          <cell r="P692">
            <v>0</v>
          </cell>
          <cell r="Q692">
            <v>35</v>
          </cell>
          <cell r="R692">
            <v>0</v>
          </cell>
          <cell r="S692">
            <v>0</v>
          </cell>
          <cell r="T692">
            <v>0</v>
          </cell>
          <cell r="U692">
            <v>0</v>
          </cell>
          <cell r="V692">
            <v>28907.41</v>
          </cell>
          <cell r="W692">
            <v>2797.41</v>
          </cell>
        </row>
        <row r="693">
          <cell r="A693" t="str">
            <v>AB Brown Power Plant Ign #1</v>
          </cell>
          <cell r="B693">
            <v>71</v>
          </cell>
          <cell r="C693">
            <v>37377</v>
          </cell>
          <cell r="D693">
            <v>37377</v>
          </cell>
          <cell r="E693">
            <v>5357</v>
          </cell>
          <cell r="F693">
            <v>2174.94</v>
          </cell>
          <cell r="G693">
            <v>0</v>
          </cell>
          <cell r="H693">
            <v>75</v>
          </cell>
          <cell r="I693">
            <v>5357</v>
          </cell>
          <cell r="J693">
            <v>1668.71</v>
          </cell>
          <cell r="K693">
            <v>5505</v>
          </cell>
          <cell r="L693">
            <v>18271.099999999999</v>
          </cell>
          <cell r="M693">
            <v>0</v>
          </cell>
          <cell r="N693">
            <v>0</v>
          </cell>
          <cell r="O693">
            <v>0</v>
          </cell>
          <cell r="P693">
            <v>0</v>
          </cell>
          <cell r="Q693">
            <v>35</v>
          </cell>
          <cell r="R693">
            <v>0</v>
          </cell>
          <cell r="S693">
            <v>0</v>
          </cell>
          <cell r="T693">
            <v>0</v>
          </cell>
          <cell r="U693">
            <v>0</v>
          </cell>
          <cell r="V693">
            <v>22224.75</v>
          </cell>
          <cell r="W693">
            <v>2249.94</v>
          </cell>
        </row>
        <row r="694">
          <cell r="A694" t="str">
            <v>AB Brown Power Plant Ign #1</v>
          </cell>
          <cell r="B694">
            <v>71</v>
          </cell>
          <cell r="C694">
            <v>37408</v>
          </cell>
          <cell r="D694">
            <v>37408</v>
          </cell>
          <cell r="E694">
            <v>3402</v>
          </cell>
          <cell r="F694">
            <v>1381.21</v>
          </cell>
          <cell r="G694">
            <v>0</v>
          </cell>
          <cell r="H694">
            <v>75</v>
          </cell>
          <cell r="I694">
            <v>3402</v>
          </cell>
          <cell r="J694">
            <v>1059.72</v>
          </cell>
          <cell r="K694">
            <v>3496</v>
          </cell>
          <cell r="L694">
            <v>11956.32</v>
          </cell>
          <cell r="M694">
            <v>0</v>
          </cell>
          <cell r="N694">
            <v>0</v>
          </cell>
          <cell r="O694">
            <v>0</v>
          </cell>
          <cell r="P694">
            <v>0</v>
          </cell>
          <cell r="Q694">
            <v>35</v>
          </cell>
          <cell r="R694">
            <v>0</v>
          </cell>
          <cell r="S694">
            <v>0</v>
          </cell>
          <cell r="T694">
            <v>0</v>
          </cell>
          <cell r="U694">
            <v>0</v>
          </cell>
          <cell r="V694">
            <v>14507.25</v>
          </cell>
          <cell r="W694">
            <v>1456.21</v>
          </cell>
        </row>
        <row r="695">
          <cell r="A695" t="str">
            <v>AB Brown Power Plant Ign #1</v>
          </cell>
          <cell r="B695">
            <v>71</v>
          </cell>
          <cell r="C695">
            <v>37438</v>
          </cell>
          <cell r="D695">
            <v>37438</v>
          </cell>
          <cell r="E695">
            <v>9627</v>
          </cell>
          <cell r="F695">
            <v>3908.56</v>
          </cell>
          <cell r="G695">
            <v>0</v>
          </cell>
          <cell r="H695">
            <v>75</v>
          </cell>
          <cell r="I695">
            <v>9627</v>
          </cell>
          <cell r="J695">
            <v>2998.81</v>
          </cell>
          <cell r="K695">
            <v>9893</v>
          </cell>
          <cell r="L695">
            <v>32429.25</v>
          </cell>
          <cell r="M695">
            <v>0</v>
          </cell>
          <cell r="N695">
            <v>0</v>
          </cell>
          <cell r="O695">
            <v>0</v>
          </cell>
          <cell r="P695">
            <v>0</v>
          </cell>
          <cell r="Q695">
            <v>35</v>
          </cell>
          <cell r="R695">
            <v>0</v>
          </cell>
          <cell r="S695">
            <v>0</v>
          </cell>
          <cell r="T695">
            <v>0</v>
          </cell>
          <cell r="U695">
            <v>0</v>
          </cell>
          <cell r="V695">
            <v>39446.620000000003</v>
          </cell>
          <cell r="W695">
            <v>3983.56</v>
          </cell>
        </row>
        <row r="696">
          <cell r="A696" t="str">
            <v>AB Brown Power Plant Ign #1</v>
          </cell>
          <cell r="B696">
            <v>71</v>
          </cell>
          <cell r="C696">
            <v>37469</v>
          </cell>
          <cell r="D696">
            <v>37469</v>
          </cell>
          <cell r="E696">
            <v>12465</v>
          </cell>
          <cell r="F696">
            <v>5060.79</v>
          </cell>
          <cell r="G696">
            <v>0</v>
          </cell>
          <cell r="H696">
            <v>75</v>
          </cell>
          <cell r="I696">
            <v>12465</v>
          </cell>
          <cell r="J696">
            <v>4281.7299999999996</v>
          </cell>
          <cell r="K696">
            <v>12810</v>
          </cell>
          <cell r="L696">
            <v>38122.559999999998</v>
          </cell>
          <cell r="M696">
            <v>0</v>
          </cell>
          <cell r="N696">
            <v>0</v>
          </cell>
          <cell r="O696">
            <v>0</v>
          </cell>
          <cell r="P696">
            <v>0</v>
          </cell>
          <cell r="Q696">
            <v>35</v>
          </cell>
          <cell r="R696">
            <v>0</v>
          </cell>
          <cell r="S696">
            <v>0</v>
          </cell>
          <cell r="T696">
            <v>0</v>
          </cell>
          <cell r="U696">
            <v>0</v>
          </cell>
          <cell r="V696">
            <v>47575.08</v>
          </cell>
          <cell r="W696">
            <v>5135.79</v>
          </cell>
        </row>
        <row r="697">
          <cell r="A697" t="str">
            <v>AB Brown Power Plant Ign #1</v>
          </cell>
          <cell r="B697">
            <v>71</v>
          </cell>
          <cell r="C697">
            <v>37500</v>
          </cell>
          <cell r="D697">
            <v>37500</v>
          </cell>
          <cell r="E697">
            <v>10715</v>
          </cell>
          <cell r="F697">
            <v>4350.29</v>
          </cell>
          <cell r="G697">
            <v>0</v>
          </cell>
          <cell r="H697">
            <v>75</v>
          </cell>
          <cell r="I697">
            <v>10715</v>
          </cell>
          <cell r="J697">
            <v>3315.22</v>
          </cell>
          <cell r="K697">
            <v>11012</v>
          </cell>
          <cell r="L697">
            <v>36207.46</v>
          </cell>
          <cell r="M697">
            <v>0</v>
          </cell>
          <cell r="N697">
            <v>0</v>
          </cell>
          <cell r="O697">
            <v>0</v>
          </cell>
          <cell r="P697">
            <v>0</v>
          </cell>
          <cell r="Q697">
            <v>35</v>
          </cell>
          <cell r="R697">
            <v>0</v>
          </cell>
          <cell r="S697">
            <v>0</v>
          </cell>
          <cell r="T697">
            <v>0</v>
          </cell>
          <cell r="U697">
            <v>0</v>
          </cell>
          <cell r="V697">
            <v>43982.97</v>
          </cell>
          <cell r="W697">
            <v>4425.29</v>
          </cell>
        </row>
        <row r="698">
          <cell r="A698" t="str">
            <v>AB Brown Power Plant Ign #1</v>
          </cell>
          <cell r="B698">
            <v>71</v>
          </cell>
          <cell r="C698">
            <v>37530</v>
          </cell>
          <cell r="D698">
            <v>37530</v>
          </cell>
          <cell r="E698">
            <v>6268</v>
          </cell>
          <cell r="F698">
            <v>2544.81</v>
          </cell>
          <cell r="G698">
            <v>0</v>
          </cell>
          <cell r="H698">
            <v>75</v>
          </cell>
          <cell r="I698">
            <v>6268</v>
          </cell>
          <cell r="J698">
            <v>1939.32</v>
          </cell>
          <cell r="K698">
            <v>6442</v>
          </cell>
          <cell r="L698">
            <v>23745.21</v>
          </cell>
          <cell r="M698">
            <v>0</v>
          </cell>
          <cell r="N698">
            <v>0</v>
          </cell>
          <cell r="O698">
            <v>0</v>
          </cell>
          <cell r="P698">
            <v>0</v>
          </cell>
          <cell r="Q698">
            <v>35</v>
          </cell>
          <cell r="R698">
            <v>0</v>
          </cell>
          <cell r="S698">
            <v>0</v>
          </cell>
          <cell r="T698">
            <v>0</v>
          </cell>
          <cell r="U698">
            <v>0</v>
          </cell>
          <cell r="V698">
            <v>28339.34</v>
          </cell>
          <cell r="W698">
            <v>2619.81</v>
          </cell>
        </row>
        <row r="699">
          <cell r="A699" t="str">
            <v>AB Brown Power Plant Ign #1</v>
          </cell>
          <cell r="B699">
            <v>71</v>
          </cell>
          <cell r="C699">
            <v>37561</v>
          </cell>
          <cell r="D699">
            <v>37561</v>
          </cell>
          <cell r="E699">
            <v>9311</v>
          </cell>
          <cell r="F699">
            <v>3780.27</v>
          </cell>
          <cell r="G699">
            <v>0</v>
          </cell>
          <cell r="H699">
            <v>75</v>
          </cell>
          <cell r="I699">
            <v>9311</v>
          </cell>
          <cell r="J699">
            <v>2648.04</v>
          </cell>
          <cell r="K699">
            <v>9597</v>
          </cell>
          <cell r="L699">
            <v>39597.22</v>
          </cell>
          <cell r="M699">
            <v>0</v>
          </cell>
          <cell r="N699">
            <v>0</v>
          </cell>
          <cell r="O699">
            <v>0</v>
          </cell>
          <cell r="P699">
            <v>0</v>
          </cell>
          <cell r="Q699">
            <v>35</v>
          </cell>
          <cell r="R699">
            <v>0</v>
          </cell>
          <cell r="S699">
            <v>0</v>
          </cell>
          <cell r="T699">
            <v>0</v>
          </cell>
          <cell r="U699">
            <v>0</v>
          </cell>
          <cell r="V699">
            <v>46135.53</v>
          </cell>
          <cell r="W699">
            <v>3855.27</v>
          </cell>
        </row>
        <row r="700">
          <cell r="A700" t="str">
            <v>AB Brown Power Plant Ign #1</v>
          </cell>
          <cell r="B700">
            <v>71</v>
          </cell>
          <cell r="C700">
            <v>37591</v>
          </cell>
          <cell r="D700">
            <v>37591</v>
          </cell>
          <cell r="E700">
            <v>4080</v>
          </cell>
          <cell r="F700">
            <v>1656.48</v>
          </cell>
          <cell r="G700">
            <v>0</v>
          </cell>
          <cell r="H700">
            <v>75</v>
          </cell>
          <cell r="I700">
            <v>4080</v>
          </cell>
          <cell r="J700">
            <v>1160.3499999999999</v>
          </cell>
          <cell r="K700">
            <v>4206</v>
          </cell>
          <cell r="L700">
            <v>17412.84</v>
          </cell>
          <cell r="M700">
            <v>0</v>
          </cell>
          <cell r="N700">
            <v>0</v>
          </cell>
          <cell r="O700">
            <v>0</v>
          </cell>
          <cell r="P700">
            <v>0</v>
          </cell>
          <cell r="Q700">
            <v>35</v>
          </cell>
          <cell r="R700">
            <v>0</v>
          </cell>
          <cell r="S700">
            <v>0</v>
          </cell>
          <cell r="T700">
            <v>0</v>
          </cell>
          <cell r="U700">
            <v>0</v>
          </cell>
          <cell r="V700">
            <v>20339.669999999998</v>
          </cell>
          <cell r="W700">
            <v>1731.48</v>
          </cell>
        </row>
        <row r="701">
          <cell r="A701" t="str">
            <v>AB Brown Power Plant Ign #2</v>
          </cell>
          <cell r="B701">
            <v>72</v>
          </cell>
          <cell r="C701">
            <v>37257</v>
          </cell>
          <cell r="D701">
            <v>37257</v>
          </cell>
          <cell r="E701">
            <v>11249</v>
          </cell>
          <cell r="F701">
            <v>4567.09</v>
          </cell>
          <cell r="G701">
            <v>0</v>
          </cell>
          <cell r="H701">
            <v>75</v>
          </cell>
          <cell r="I701">
            <v>11249</v>
          </cell>
          <cell r="J701">
            <v>3504.06</v>
          </cell>
          <cell r="K701">
            <v>11537</v>
          </cell>
          <cell r="L701">
            <v>29477.03</v>
          </cell>
          <cell r="M701">
            <v>0</v>
          </cell>
          <cell r="N701">
            <v>11249</v>
          </cell>
          <cell r="O701">
            <v>33.75</v>
          </cell>
          <cell r="P701">
            <v>0</v>
          </cell>
          <cell r="Q701">
            <v>35</v>
          </cell>
          <cell r="R701">
            <v>0</v>
          </cell>
          <cell r="S701">
            <v>0</v>
          </cell>
          <cell r="T701">
            <v>0</v>
          </cell>
          <cell r="U701">
            <v>0</v>
          </cell>
          <cell r="V701">
            <v>37691.93</v>
          </cell>
          <cell r="W701">
            <v>4675.84</v>
          </cell>
        </row>
        <row r="702">
          <cell r="A702" t="str">
            <v>AB Brown Power Plant Ign #2</v>
          </cell>
          <cell r="B702">
            <v>72</v>
          </cell>
          <cell r="C702">
            <v>37288</v>
          </cell>
          <cell r="D702">
            <v>37288</v>
          </cell>
          <cell r="E702">
            <v>13490</v>
          </cell>
          <cell r="F702">
            <v>5476.94</v>
          </cell>
          <cell r="G702">
            <v>0</v>
          </cell>
          <cell r="H702">
            <v>75</v>
          </cell>
          <cell r="I702">
            <v>13490</v>
          </cell>
          <cell r="J702">
            <v>4202.13</v>
          </cell>
          <cell r="K702">
            <v>13836</v>
          </cell>
          <cell r="L702">
            <v>35350.980000000003</v>
          </cell>
          <cell r="M702">
            <v>0</v>
          </cell>
          <cell r="N702">
            <v>13490</v>
          </cell>
          <cell r="O702">
            <v>-13.49</v>
          </cell>
          <cell r="P702">
            <v>0</v>
          </cell>
          <cell r="Q702">
            <v>35</v>
          </cell>
          <cell r="R702">
            <v>0</v>
          </cell>
          <cell r="S702">
            <v>0</v>
          </cell>
          <cell r="T702">
            <v>0</v>
          </cell>
          <cell r="U702">
            <v>0</v>
          </cell>
          <cell r="V702">
            <v>45126.559999999998</v>
          </cell>
          <cell r="W702">
            <v>5538.45</v>
          </cell>
        </row>
        <row r="703">
          <cell r="A703" t="str">
            <v>AB Brown Power Plant Ign #2</v>
          </cell>
          <cell r="B703">
            <v>72</v>
          </cell>
          <cell r="C703">
            <v>37316</v>
          </cell>
          <cell r="D703">
            <v>37316</v>
          </cell>
          <cell r="E703">
            <v>0</v>
          </cell>
          <cell r="F703">
            <v>0</v>
          </cell>
          <cell r="G703">
            <v>0</v>
          </cell>
          <cell r="H703">
            <v>75</v>
          </cell>
          <cell r="I703">
            <v>0</v>
          </cell>
          <cell r="J703">
            <v>0</v>
          </cell>
          <cell r="K703">
            <v>0</v>
          </cell>
          <cell r="L703">
            <v>0</v>
          </cell>
          <cell r="M703">
            <v>0</v>
          </cell>
          <cell r="N703">
            <v>0</v>
          </cell>
          <cell r="O703">
            <v>0</v>
          </cell>
          <cell r="P703">
            <v>0</v>
          </cell>
          <cell r="Q703">
            <v>35</v>
          </cell>
          <cell r="R703">
            <v>0</v>
          </cell>
          <cell r="S703">
            <v>0</v>
          </cell>
          <cell r="T703">
            <v>0</v>
          </cell>
          <cell r="U703">
            <v>0</v>
          </cell>
          <cell r="V703">
            <v>110</v>
          </cell>
          <cell r="W703">
            <v>75</v>
          </cell>
        </row>
        <row r="704">
          <cell r="A704" t="str">
            <v>AB Brown Power Plant Ign #2</v>
          </cell>
          <cell r="B704">
            <v>72</v>
          </cell>
          <cell r="C704">
            <v>37347</v>
          </cell>
          <cell r="D704">
            <v>37347</v>
          </cell>
          <cell r="E704">
            <v>5586</v>
          </cell>
          <cell r="F704">
            <v>2267.92</v>
          </cell>
          <cell r="G704">
            <v>0</v>
          </cell>
          <cell r="H704">
            <v>75</v>
          </cell>
          <cell r="I704">
            <v>5586</v>
          </cell>
          <cell r="J704">
            <v>1740.04</v>
          </cell>
          <cell r="K704">
            <v>5741</v>
          </cell>
          <cell r="L704">
            <v>19932.75</v>
          </cell>
          <cell r="M704">
            <v>0</v>
          </cell>
          <cell r="N704">
            <v>5586</v>
          </cell>
          <cell r="O704">
            <v>-5.59</v>
          </cell>
          <cell r="P704">
            <v>0</v>
          </cell>
          <cell r="Q704">
            <v>35</v>
          </cell>
          <cell r="R704">
            <v>0</v>
          </cell>
          <cell r="S704">
            <v>0</v>
          </cell>
          <cell r="T704">
            <v>0</v>
          </cell>
          <cell r="U704">
            <v>0</v>
          </cell>
          <cell r="V704">
            <v>24045.119999999999</v>
          </cell>
          <cell r="W704">
            <v>2337.33</v>
          </cell>
        </row>
        <row r="705">
          <cell r="A705" t="str">
            <v>AB Brown Power Plant Ign #2</v>
          </cell>
          <cell r="B705">
            <v>72</v>
          </cell>
          <cell r="C705">
            <v>37377</v>
          </cell>
          <cell r="D705">
            <v>37377</v>
          </cell>
          <cell r="E705">
            <v>3348</v>
          </cell>
          <cell r="F705">
            <v>1359.29</v>
          </cell>
          <cell r="G705">
            <v>0</v>
          </cell>
          <cell r="H705">
            <v>75</v>
          </cell>
          <cell r="I705">
            <v>3348</v>
          </cell>
          <cell r="J705">
            <v>1042.9000000000001</v>
          </cell>
          <cell r="K705">
            <v>3440</v>
          </cell>
          <cell r="L705">
            <v>11417.36</v>
          </cell>
          <cell r="M705">
            <v>0</v>
          </cell>
          <cell r="N705">
            <v>0</v>
          </cell>
          <cell r="O705">
            <v>0</v>
          </cell>
          <cell r="P705">
            <v>0</v>
          </cell>
          <cell r="Q705">
            <v>35</v>
          </cell>
          <cell r="R705">
            <v>0</v>
          </cell>
          <cell r="S705">
            <v>0</v>
          </cell>
          <cell r="T705">
            <v>0</v>
          </cell>
          <cell r="U705">
            <v>0</v>
          </cell>
          <cell r="V705">
            <v>13929.55</v>
          </cell>
          <cell r="W705">
            <v>1434.29</v>
          </cell>
        </row>
        <row r="706">
          <cell r="A706" t="str">
            <v>AB Brown Power Plant Ign #2</v>
          </cell>
          <cell r="B706">
            <v>72</v>
          </cell>
          <cell r="C706">
            <v>37408</v>
          </cell>
          <cell r="D706">
            <v>37408</v>
          </cell>
          <cell r="E706">
            <v>5891</v>
          </cell>
          <cell r="F706">
            <v>2391.75</v>
          </cell>
          <cell r="G706">
            <v>0</v>
          </cell>
          <cell r="H706">
            <v>75</v>
          </cell>
          <cell r="I706">
            <v>5891</v>
          </cell>
          <cell r="J706">
            <v>1835.05</v>
          </cell>
          <cell r="K706">
            <v>6054</v>
          </cell>
          <cell r="L706">
            <v>20704.68</v>
          </cell>
          <cell r="M706">
            <v>0</v>
          </cell>
          <cell r="N706">
            <v>0</v>
          </cell>
          <cell r="O706">
            <v>0</v>
          </cell>
          <cell r="P706">
            <v>0</v>
          </cell>
          <cell r="Q706">
            <v>35</v>
          </cell>
          <cell r="R706">
            <v>0</v>
          </cell>
          <cell r="S706">
            <v>0</v>
          </cell>
          <cell r="T706">
            <v>0</v>
          </cell>
          <cell r="U706">
            <v>0</v>
          </cell>
          <cell r="V706">
            <v>25041.48</v>
          </cell>
          <cell r="W706">
            <v>2466.75</v>
          </cell>
        </row>
        <row r="707">
          <cell r="A707" t="str">
            <v>AB Brown Power Plant Ign #2</v>
          </cell>
          <cell r="B707">
            <v>72</v>
          </cell>
          <cell r="C707">
            <v>37438</v>
          </cell>
          <cell r="D707">
            <v>37438</v>
          </cell>
          <cell r="E707">
            <v>2227</v>
          </cell>
          <cell r="F707">
            <v>904.16</v>
          </cell>
          <cell r="G707">
            <v>0</v>
          </cell>
          <cell r="H707">
            <v>75</v>
          </cell>
          <cell r="I707">
            <v>2227</v>
          </cell>
          <cell r="J707">
            <v>693.71</v>
          </cell>
          <cell r="K707">
            <v>2288</v>
          </cell>
          <cell r="L707">
            <v>7500.06</v>
          </cell>
          <cell r="M707">
            <v>0</v>
          </cell>
          <cell r="N707">
            <v>0</v>
          </cell>
          <cell r="O707">
            <v>0</v>
          </cell>
          <cell r="P707">
            <v>0</v>
          </cell>
          <cell r="Q707">
            <v>35</v>
          </cell>
          <cell r="R707">
            <v>0</v>
          </cell>
          <cell r="S707">
            <v>0</v>
          </cell>
          <cell r="T707">
            <v>0</v>
          </cell>
          <cell r="U707">
            <v>0</v>
          </cell>
          <cell r="V707">
            <v>9207.93</v>
          </cell>
          <cell r="W707">
            <v>979.16</v>
          </cell>
        </row>
        <row r="708">
          <cell r="A708" t="str">
            <v>AB Brown Power Plant Ign #2</v>
          </cell>
          <cell r="B708">
            <v>72</v>
          </cell>
          <cell r="C708">
            <v>37469</v>
          </cell>
          <cell r="D708">
            <v>37469</v>
          </cell>
          <cell r="E708">
            <v>7314</v>
          </cell>
          <cell r="F708">
            <v>2969.48</v>
          </cell>
          <cell r="G708">
            <v>0</v>
          </cell>
          <cell r="H708">
            <v>75</v>
          </cell>
          <cell r="I708">
            <v>7314</v>
          </cell>
          <cell r="J708">
            <v>2512.36</v>
          </cell>
          <cell r="K708">
            <v>7516</v>
          </cell>
          <cell r="L708">
            <v>22367.62</v>
          </cell>
          <cell r="M708">
            <v>0</v>
          </cell>
          <cell r="N708">
            <v>0</v>
          </cell>
          <cell r="O708">
            <v>0</v>
          </cell>
          <cell r="P708">
            <v>0</v>
          </cell>
          <cell r="Q708">
            <v>35</v>
          </cell>
          <cell r="R708">
            <v>0</v>
          </cell>
          <cell r="S708">
            <v>0</v>
          </cell>
          <cell r="T708">
            <v>0</v>
          </cell>
          <cell r="U708">
            <v>0</v>
          </cell>
          <cell r="V708">
            <v>27959.46</v>
          </cell>
          <cell r="W708">
            <v>3044.48</v>
          </cell>
        </row>
        <row r="709">
          <cell r="A709" t="str">
            <v>AB Brown Power Plant Ign #2</v>
          </cell>
          <cell r="B709">
            <v>72</v>
          </cell>
          <cell r="C709">
            <v>37500</v>
          </cell>
          <cell r="D709">
            <v>37500</v>
          </cell>
          <cell r="E709">
            <v>0</v>
          </cell>
          <cell r="F709">
            <v>0</v>
          </cell>
          <cell r="G709">
            <v>0</v>
          </cell>
          <cell r="H709">
            <v>75</v>
          </cell>
          <cell r="I709">
            <v>0</v>
          </cell>
          <cell r="J709">
            <v>0</v>
          </cell>
          <cell r="K709">
            <v>0</v>
          </cell>
          <cell r="L709">
            <v>0</v>
          </cell>
          <cell r="M709">
            <v>0</v>
          </cell>
          <cell r="N709">
            <v>0</v>
          </cell>
          <cell r="O709">
            <v>0</v>
          </cell>
          <cell r="P709">
            <v>0</v>
          </cell>
          <cell r="Q709">
            <v>35</v>
          </cell>
          <cell r="R709">
            <v>0</v>
          </cell>
          <cell r="S709">
            <v>0</v>
          </cell>
          <cell r="T709">
            <v>0</v>
          </cell>
          <cell r="U709">
            <v>0</v>
          </cell>
          <cell r="V709">
            <v>110</v>
          </cell>
          <cell r="W709">
            <v>75</v>
          </cell>
        </row>
        <row r="710">
          <cell r="A710" t="str">
            <v>AB Brown Power Plant Ign #2</v>
          </cell>
          <cell r="B710">
            <v>72</v>
          </cell>
          <cell r="C710">
            <v>37530</v>
          </cell>
          <cell r="D710">
            <v>37530</v>
          </cell>
          <cell r="E710">
            <v>3073</v>
          </cell>
          <cell r="F710">
            <v>1247.6400000000001</v>
          </cell>
          <cell r="G710">
            <v>0</v>
          </cell>
          <cell r="H710">
            <v>75</v>
          </cell>
          <cell r="I710">
            <v>3073</v>
          </cell>
          <cell r="J710">
            <v>950.79</v>
          </cell>
          <cell r="K710">
            <v>3158</v>
          </cell>
          <cell r="L710">
            <v>11640.39</v>
          </cell>
          <cell r="M710">
            <v>0</v>
          </cell>
          <cell r="N710">
            <v>0</v>
          </cell>
          <cell r="O710">
            <v>0</v>
          </cell>
          <cell r="P710">
            <v>0</v>
          </cell>
          <cell r="Q710">
            <v>35</v>
          </cell>
          <cell r="R710">
            <v>0</v>
          </cell>
          <cell r="S710">
            <v>0</v>
          </cell>
          <cell r="T710">
            <v>0</v>
          </cell>
          <cell r="U710">
            <v>0</v>
          </cell>
          <cell r="V710">
            <v>13948.82</v>
          </cell>
          <cell r="W710">
            <v>1322.64</v>
          </cell>
        </row>
        <row r="711">
          <cell r="A711" t="str">
            <v>AB Brown Power Plant Ign #2</v>
          </cell>
          <cell r="B711">
            <v>72</v>
          </cell>
          <cell r="C711">
            <v>37561</v>
          </cell>
          <cell r="D711">
            <v>37561</v>
          </cell>
          <cell r="E711">
            <v>4129</v>
          </cell>
          <cell r="F711">
            <v>1676.37</v>
          </cell>
          <cell r="G711">
            <v>0</v>
          </cell>
          <cell r="H711">
            <v>75</v>
          </cell>
          <cell r="I711">
            <v>4129</v>
          </cell>
          <cell r="J711">
            <v>1174.29</v>
          </cell>
          <cell r="K711">
            <v>4256</v>
          </cell>
          <cell r="L711">
            <v>17560.259999999998</v>
          </cell>
          <cell r="M711">
            <v>0</v>
          </cell>
          <cell r="N711">
            <v>0</v>
          </cell>
          <cell r="O711">
            <v>0</v>
          </cell>
          <cell r="P711">
            <v>0</v>
          </cell>
          <cell r="Q711">
            <v>35</v>
          </cell>
          <cell r="R711">
            <v>0</v>
          </cell>
          <cell r="S711">
            <v>0</v>
          </cell>
          <cell r="T711">
            <v>0</v>
          </cell>
          <cell r="U711">
            <v>0</v>
          </cell>
          <cell r="V711">
            <v>20520.919999999998</v>
          </cell>
          <cell r="W711">
            <v>1751.37</v>
          </cell>
        </row>
        <row r="712">
          <cell r="A712" t="str">
            <v>AB Brown Power Plant Ign #2</v>
          </cell>
          <cell r="B712">
            <v>72</v>
          </cell>
          <cell r="C712">
            <v>37591</v>
          </cell>
          <cell r="D712">
            <v>37591</v>
          </cell>
          <cell r="E712">
            <v>6928</v>
          </cell>
          <cell r="F712">
            <v>2812.77</v>
          </cell>
          <cell r="G712">
            <v>0</v>
          </cell>
          <cell r="H712">
            <v>75</v>
          </cell>
          <cell r="I712">
            <v>6928</v>
          </cell>
          <cell r="J712">
            <v>1970.33</v>
          </cell>
          <cell r="K712">
            <v>7141</v>
          </cell>
          <cell r="L712">
            <v>29563.74</v>
          </cell>
          <cell r="M712">
            <v>0</v>
          </cell>
          <cell r="N712">
            <v>0</v>
          </cell>
          <cell r="O712">
            <v>0</v>
          </cell>
          <cell r="P712">
            <v>0</v>
          </cell>
          <cell r="Q712">
            <v>35</v>
          </cell>
          <cell r="R712">
            <v>0</v>
          </cell>
          <cell r="S712">
            <v>0</v>
          </cell>
          <cell r="T712">
            <v>0</v>
          </cell>
          <cell r="U712">
            <v>0</v>
          </cell>
          <cell r="V712">
            <v>34456.839999999997</v>
          </cell>
          <cell r="W712">
            <v>2887.77</v>
          </cell>
        </row>
        <row r="713">
          <cell r="A713" t="str">
            <v>Broadway Ave. Gas Turbines #2</v>
          </cell>
          <cell r="B713">
            <v>73</v>
          </cell>
          <cell r="C713">
            <v>37257</v>
          </cell>
          <cell r="D713">
            <v>37257</v>
          </cell>
          <cell r="E713">
            <v>9641</v>
          </cell>
          <cell r="F713">
            <v>3914.25</v>
          </cell>
          <cell r="G713">
            <v>0</v>
          </cell>
          <cell r="H713">
            <v>75</v>
          </cell>
          <cell r="I713">
            <v>0</v>
          </cell>
          <cell r="J713">
            <v>0</v>
          </cell>
          <cell r="K713">
            <v>0</v>
          </cell>
          <cell r="L713">
            <v>0</v>
          </cell>
          <cell r="M713">
            <v>0</v>
          </cell>
          <cell r="N713">
            <v>9641</v>
          </cell>
          <cell r="O713">
            <v>28.92</v>
          </cell>
          <cell r="P713">
            <v>0</v>
          </cell>
          <cell r="Q713">
            <v>35</v>
          </cell>
          <cell r="R713">
            <v>0</v>
          </cell>
          <cell r="S713">
            <v>0</v>
          </cell>
          <cell r="T713">
            <v>0</v>
          </cell>
          <cell r="U713">
            <v>0</v>
          </cell>
          <cell r="V713">
            <v>4053.17</v>
          </cell>
          <cell r="W713">
            <v>4018.17</v>
          </cell>
        </row>
        <row r="714">
          <cell r="A714" t="str">
            <v>Broadway Ave. Gas Turbines #2</v>
          </cell>
          <cell r="B714">
            <v>73</v>
          </cell>
          <cell r="C714">
            <v>37288</v>
          </cell>
          <cell r="D714">
            <v>37288</v>
          </cell>
          <cell r="E714">
            <v>22780</v>
          </cell>
          <cell r="F714">
            <v>9248.68</v>
          </cell>
          <cell r="G714">
            <v>0</v>
          </cell>
          <cell r="H714">
            <v>75</v>
          </cell>
          <cell r="I714">
            <v>0</v>
          </cell>
          <cell r="J714">
            <v>0</v>
          </cell>
          <cell r="K714">
            <v>0</v>
          </cell>
          <cell r="L714">
            <v>0</v>
          </cell>
          <cell r="M714">
            <v>0</v>
          </cell>
          <cell r="N714">
            <v>22780</v>
          </cell>
          <cell r="O714">
            <v>-22.78</v>
          </cell>
          <cell r="P714">
            <v>0</v>
          </cell>
          <cell r="Q714">
            <v>35</v>
          </cell>
          <cell r="R714">
            <v>0</v>
          </cell>
          <cell r="S714">
            <v>0</v>
          </cell>
          <cell r="T714">
            <v>0</v>
          </cell>
          <cell r="U714">
            <v>0</v>
          </cell>
          <cell r="V714">
            <v>9335.9</v>
          </cell>
          <cell r="W714">
            <v>9300.9</v>
          </cell>
        </row>
        <row r="715">
          <cell r="A715" t="str">
            <v>Broadway Ave. Gas Turbines #2</v>
          </cell>
          <cell r="B715">
            <v>73</v>
          </cell>
          <cell r="C715">
            <v>37316</v>
          </cell>
          <cell r="D715">
            <v>37316</v>
          </cell>
          <cell r="E715">
            <v>74186</v>
          </cell>
          <cell r="F715">
            <v>30119.52</v>
          </cell>
          <cell r="G715">
            <v>0</v>
          </cell>
          <cell r="H715">
            <v>75</v>
          </cell>
          <cell r="I715">
            <v>0</v>
          </cell>
          <cell r="J715">
            <v>0</v>
          </cell>
          <cell r="K715">
            <v>0</v>
          </cell>
          <cell r="L715">
            <v>0</v>
          </cell>
          <cell r="M715">
            <v>0</v>
          </cell>
          <cell r="N715">
            <v>74186</v>
          </cell>
          <cell r="O715">
            <v>-74.19</v>
          </cell>
          <cell r="P715">
            <v>0</v>
          </cell>
          <cell r="Q715">
            <v>35</v>
          </cell>
          <cell r="R715">
            <v>0</v>
          </cell>
          <cell r="S715">
            <v>0</v>
          </cell>
          <cell r="T715">
            <v>0</v>
          </cell>
          <cell r="U715">
            <v>0</v>
          </cell>
          <cell r="V715">
            <v>30155.33</v>
          </cell>
          <cell r="W715">
            <v>30120.33</v>
          </cell>
        </row>
        <row r="716">
          <cell r="A716" t="str">
            <v>Broadway Ave. Gas Turbines #2</v>
          </cell>
          <cell r="B716">
            <v>73</v>
          </cell>
          <cell r="C716">
            <v>37347</v>
          </cell>
          <cell r="D716">
            <v>37347</v>
          </cell>
          <cell r="E716">
            <v>64000</v>
          </cell>
          <cell r="F716">
            <v>25984</v>
          </cell>
          <cell r="G716">
            <v>0</v>
          </cell>
          <cell r="H716">
            <v>75</v>
          </cell>
          <cell r="I716">
            <v>0</v>
          </cell>
          <cell r="J716">
            <v>0</v>
          </cell>
          <cell r="K716">
            <v>0</v>
          </cell>
          <cell r="L716">
            <v>0</v>
          </cell>
          <cell r="M716">
            <v>0</v>
          </cell>
          <cell r="N716">
            <v>64000</v>
          </cell>
          <cell r="O716">
            <v>-64</v>
          </cell>
          <cell r="P716">
            <v>0</v>
          </cell>
          <cell r="Q716">
            <v>35</v>
          </cell>
          <cell r="R716">
            <v>0</v>
          </cell>
          <cell r="S716">
            <v>0</v>
          </cell>
          <cell r="T716">
            <v>0</v>
          </cell>
          <cell r="U716">
            <v>0</v>
          </cell>
          <cell r="V716">
            <v>26030</v>
          </cell>
          <cell r="W716">
            <v>25995</v>
          </cell>
        </row>
        <row r="717">
          <cell r="A717" t="str">
            <v>Broadway Ave. Gas Turbines #2</v>
          </cell>
          <cell r="B717">
            <v>73</v>
          </cell>
          <cell r="C717">
            <v>37377</v>
          </cell>
          <cell r="D717">
            <v>37377</v>
          </cell>
          <cell r="E717">
            <v>0</v>
          </cell>
          <cell r="F717">
            <v>0</v>
          </cell>
          <cell r="G717">
            <v>0</v>
          </cell>
          <cell r="H717">
            <v>75</v>
          </cell>
          <cell r="I717">
            <v>0</v>
          </cell>
          <cell r="J717">
            <v>0</v>
          </cell>
          <cell r="K717">
            <v>0</v>
          </cell>
          <cell r="L717">
            <v>0</v>
          </cell>
          <cell r="M717">
            <v>0</v>
          </cell>
          <cell r="N717">
            <v>0</v>
          </cell>
          <cell r="O717">
            <v>0</v>
          </cell>
          <cell r="P717">
            <v>0</v>
          </cell>
          <cell r="Q717">
            <v>35</v>
          </cell>
          <cell r="R717">
            <v>0</v>
          </cell>
          <cell r="S717">
            <v>0</v>
          </cell>
          <cell r="T717">
            <v>0</v>
          </cell>
          <cell r="U717">
            <v>0</v>
          </cell>
          <cell r="V717">
            <v>110</v>
          </cell>
          <cell r="W717">
            <v>75</v>
          </cell>
        </row>
        <row r="718">
          <cell r="A718" t="str">
            <v>Broadway Ave. Gas Turbines #2</v>
          </cell>
          <cell r="B718">
            <v>73</v>
          </cell>
          <cell r="C718">
            <v>37408</v>
          </cell>
          <cell r="D718">
            <v>37408</v>
          </cell>
          <cell r="E718">
            <v>63573</v>
          </cell>
          <cell r="F718">
            <v>25810.639999999999</v>
          </cell>
          <cell r="G718">
            <v>0</v>
          </cell>
          <cell r="H718">
            <v>75</v>
          </cell>
          <cell r="I718">
            <v>0</v>
          </cell>
          <cell r="J718">
            <v>0</v>
          </cell>
          <cell r="K718">
            <v>0</v>
          </cell>
          <cell r="L718">
            <v>0</v>
          </cell>
          <cell r="M718">
            <v>0</v>
          </cell>
          <cell r="N718">
            <v>0</v>
          </cell>
          <cell r="O718">
            <v>0</v>
          </cell>
          <cell r="P718">
            <v>0</v>
          </cell>
          <cell r="Q718">
            <v>35</v>
          </cell>
          <cell r="R718">
            <v>0</v>
          </cell>
          <cell r="S718">
            <v>0</v>
          </cell>
          <cell r="T718">
            <v>0</v>
          </cell>
          <cell r="U718">
            <v>0</v>
          </cell>
          <cell r="V718">
            <v>25920.639999999999</v>
          </cell>
          <cell r="W718">
            <v>25885.64</v>
          </cell>
        </row>
        <row r="719">
          <cell r="A719" t="str">
            <v>Broadway Ave. Gas Turbines #2</v>
          </cell>
          <cell r="B719">
            <v>73</v>
          </cell>
          <cell r="C719">
            <v>37438</v>
          </cell>
          <cell r="D719">
            <v>37438</v>
          </cell>
          <cell r="E719">
            <v>219365</v>
          </cell>
          <cell r="F719">
            <v>89062.19</v>
          </cell>
          <cell r="G719">
            <v>0</v>
          </cell>
          <cell r="H719">
            <v>75</v>
          </cell>
          <cell r="I719">
            <v>0</v>
          </cell>
          <cell r="J719">
            <v>0</v>
          </cell>
          <cell r="K719">
            <v>0</v>
          </cell>
          <cell r="L719">
            <v>0</v>
          </cell>
          <cell r="M719">
            <v>0</v>
          </cell>
          <cell r="N719">
            <v>0</v>
          </cell>
          <cell r="O719">
            <v>0</v>
          </cell>
          <cell r="P719">
            <v>0</v>
          </cell>
          <cell r="Q719">
            <v>35</v>
          </cell>
          <cell r="R719">
            <v>0</v>
          </cell>
          <cell r="S719">
            <v>0</v>
          </cell>
          <cell r="T719">
            <v>0</v>
          </cell>
          <cell r="U719">
            <v>0</v>
          </cell>
          <cell r="V719">
            <v>89172.19</v>
          </cell>
          <cell r="W719">
            <v>89137.19</v>
          </cell>
        </row>
        <row r="720">
          <cell r="A720" t="str">
            <v>Broadway Ave. Gas Turbines #2</v>
          </cell>
          <cell r="B720">
            <v>73</v>
          </cell>
          <cell r="C720">
            <v>37469</v>
          </cell>
          <cell r="D720">
            <v>37469</v>
          </cell>
          <cell r="E720">
            <v>109400</v>
          </cell>
          <cell r="F720">
            <v>44416.4</v>
          </cell>
          <cell r="G720">
            <v>0</v>
          </cell>
          <cell r="H720">
            <v>75</v>
          </cell>
          <cell r="I720">
            <v>0</v>
          </cell>
          <cell r="J720">
            <v>0</v>
          </cell>
          <cell r="K720">
            <v>0</v>
          </cell>
          <cell r="L720">
            <v>0</v>
          </cell>
          <cell r="M720">
            <v>0</v>
          </cell>
          <cell r="N720">
            <v>0</v>
          </cell>
          <cell r="O720">
            <v>0</v>
          </cell>
          <cell r="P720">
            <v>0</v>
          </cell>
          <cell r="Q720">
            <v>35</v>
          </cell>
          <cell r="R720">
            <v>0</v>
          </cell>
          <cell r="S720">
            <v>0</v>
          </cell>
          <cell r="T720">
            <v>0</v>
          </cell>
          <cell r="U720">
            <v>0</v>
          </cell>
          <cell r="V720">
            <v>44526.400000000001</v>
          </cell>
          <cell r="W720">
            <v>44491.4</v>
          </cell>
        </row>
        <row r="721">
          <cell r="A721" t="str">
            <v>Broadway Ave. Gas Turbines #2</v>
          </cell>
          <cell r="B721">
            <v>73</v>
          </cell>
          <cell r="C721">
            <v>37500</v>
          </cell>
          <cell r="D721">
            <v>37500</v>
          </cell>
          <cell r="E721">
            <v>97815</v>
          </cell>
          <cell r="F721">
            <v>39712.89</v>
          </cell>
          <cell r="G721">
            <v>0</v>
          </cell>
          <cell r="H721">
            <v>75</v>
          </cell>
          <cell r="I721">
            <v>0</v>
          </cell>
          <cell r="J721">
            <v>0</v>
          </cell>
          <cell r="K721">
            <v>0</v>
          </cell>
          <cell r="L721">
            <v>0</v>
          </cell>
          <cell r="M721">
            <v>0</v>
          </cell>
          <cell r="N721">
            <v>0</v>
          </cell>
          <cell r="O721">
            <v>0</v>
          </cell>
          <cell r="P721">
            <v>0</v>
          </cell>
          <cell r="Q721">
            <v>35</v>
          </cell>
          <cell r="R721">
            <v>0</v>
          </cell>
          <cell r="S721">
            <v>0</v>
          </cell>
          <cell r="T721">
            <v>0</v>
          </cell>
          <cell r="U721">
            <v>0</v>
          </cell>
          <cell r="V721">
            <v>39822.89</v>
          </cell>
          <cell r="W721">
            <v>39787.89</v>
          </cell>
        </row>
        <row r="722">
          <cell r="A722" t="str">
            <v>Broadway Ave. Gas Turbines #2</v>
          </cell>
          <cell r="B722">
            <v>73</v>
          </cell>
          <cell r="C722">
            <v>37530</v>
          </cell>
          <cell r="D722">
            <v>37530</v>
          </cell>
          <cell r="E722">
            <v>0</v>
          </cell>
          <cell r="F722">
            <v>0</v>
          </cell>
          <cell r="G722">
            <v>0</v>
          </cell>
          <cell r="H722">
            <v>75</v>
          </cell>
          <cell r="I722">
            <v>0</v>
          </cell>
          <cell r="J722">
            <v>0</v>
          </cell>
          <cell r="K722">
            <v>0</v>
          </cell>
          <cell r="L722">
            <v>0</v>
          </cell>
          <cell r="M722">
            <v>0</v>
          </cell>
          <cell r="N722">
            <v>0</v>
          </cell>
          <cell r="O722">
            <v>0</v>
          </cell>
          <cell r="P722">
            <v>0</v>
          </cell>
          <cell r="Q722">
            <v>35</v>
          </cell>
          <cell r="R722">
            <v>0</v>
          </cell>
          <cell r="S722">
            <v>0</v>
          </cell>
          <cell r="T722">
            <v>0</v>
          </cell>
          <cell r="U722">
            <v>0</v>
          </cell>
          <cell r="V722">
            <v>110</v>
          </cell>
          <cell r="W722">
            <v>75</v>
          </cell>
        </row>
        <row r="723">
          <cell r="A723" t="str">
            <v>Broadway Ave. Gas Turbines #2</v>
          </cell>
          <cell r="B723">
            <v>73</v>
          </cell>
          <cell r="C723">
            <v>37561</v>
          </cell>
          <cell r="D723">
            <v>37561</v>
          </cell>
          <cell r="E723">
            <v>0</v>
          </cell>
          <cell r="F723">
            <v>0</v>
          </cell>
          <cell r="G723">
            <v>0</v>
          </cell>
          <cell r="H723">
            <v>75</v>
          </cell>
          <cell r="I723">
            <v>0</v>
          </cell>
          <cell r="J723">
            <v>0</v>
          </cell>
          <cell r="K723">
            <v>0</v>
          </cell>
          <cell r="L723">
            <v>0</v>
          </cell>
          <cell r="M723">
            <v>0</v>
          </cell>
          <cell r="N723">
            <v>0</v>
          </cell>
          <cell r="O723">
            <v>0</v>
          </cell>
          <cell r="P723">
            <v>0</v>
          </cell>
          <cell r="Q723">
            <v>35</v>
          </cell>
          <cell r="R723">
            <v>0</v>
          </cell>
          <cell r="S723">
            <v>0</v>
          </cell>
          <cell r="T723">
            <v>0</v>
          </cell>
          <cell r="U723">
            <v>0</v>
          </cell>
          <cell r="V723">
            <v>110</v>
          </cell>
          <cell r="W723">
            <v>75</v>
          </cell>
        </row>
        <row r="724">
          <cell r="A724" t="str">
            <v>Broadway Ave. Gas Turbines #2</v>
          </cell>
          <cell r="B724">
            <v>73</v>
          </cell>
          <cell r="C724">
            <v>37591</v>
          </cell>
          <cell r="D724">
            <v>37591</v>
          </cell>
          <cell r="E724">
            <v>0</v>
          </cell>
          <cell r="F724">
            <v>0</v>
          </cell>
          <cell r="G724">
            <v>0</v>
          </cell>
          <cell r="H724">
            <v>75</v>
          </cell>
          <cell r="I724">
            <v>0</v>
          </cell>
          <cell r="J724">
            <v>0</v>
          </cell>
          <cell r="K724">
            <v>0</v>
          </cell>
          <cell r="L724">
            <v>0</v>
          </cell>
          <cell r="M724">
            <v>0</v>
          </cell>
          <cell r="N724">
            <v>0</v>
          </cell>
          <cell r="O724">
            <v>0</v>
          </cell>
          <cell r="P724">
            <v>0</v>
          </cell>
          <cell r="Q724">
            <v>35</v>
          </cell>
          <cell r="R724">
            <v>0</v>
          </cell>
          <cell r="S724">
            <v>0</v>
          </cell>
          <cell r="T724">
            <v>0</v>
          </cell>
          <cell r="U724">
            <v>0</v>
          </cell>
          <cell r="V724">
            <v>110</v>
          </cell>
          <cell r="W724">
            <v>75</v>
          </cell>
        </row>
        <row r="725">
          <cell r="A725" t="str">
            <v>AMROX</v>
          </cell>
          <cell r="B725">
            <v>74</v>
          </cell>
          <cell r="C725">
            <v>37257</v>
          </cell>
          <cell r="D725">
            <v>37257</v>
          </cell>
          <cell r="E725">
            <v>18600</v>
          </cell>
          <cell r="F725">
            <v>7551.6</v>
          </cell>
          <cell r="G725">
            <v>0</v>
          </cell>
          <cell r="H725">
            <v>75</v>
          </cell>
          <cell r="I725">
            <v>0</v>
          </cell>
          <cell r="J725">
            <v>0</v>
          </cell>
          <cell r="K725">
            <v>0</v>
          </cell>
          <cell r="L725">
            <v>0</v>
          </cell>
          <cell r="M725">
            <v>0</v>
          </cell>
          <cell r="N725">
            <v>18600</v>
          </cell>
          <cell r="O725">
            <v>55.8</v>
          </cell>
          <cell r="P725">
            <v>0</v>
          </cell>
          <cell r="Q725">
            <v>35</v>
          </cell>
          <cell r="R725">
            <v>1.75</v>
          </cell>
          <cell r="S725">
            <v>31181.22</v>
          </cell>
          <cell r="T725">
            <v>0</v>
          </cell>
          <cell r="U725">
            <v>0</v>
          </cell>
          <cell r="V725">
            <v>38900.370000000003</v>
          </cell>
          <cell r="W725">
            <v>7682.4</v>
          </cell>
        </row>
        <row r="726">
          <cell r="A726" t="str">
            <v>AMROX</v>
          </cell>
          <cell r="B726">
            <v>74</v>
          </cell>
          <cell r="C726">
            <v>37288</v>
          </cell>
          <cell r="D726">
            <v>37288</v>
          </cell>
          <cell r="E726">
            <v>16800</v>
          </cell>
          <cell r="F726">
            <v>6820.8</v>
          </cell>
          <cell r="G726">
            <v>0</v>
          </cell>
          <cell r="H726">
            <v>75</v>
          </cell>
          <cell r="I726">
            <v>0</v>
          </cell>
          <cell r="J726">
            <v>0</v>
          </cell>
          <cell r="K726">
            <v>0</v>
          </cell>
          <cell r="L726">
            <v>0</v>
          </cell>
          <cell r="M726">
            <v>0</v>
          </cell>
          <cell r="N726">
            <v>16800</v>
          </cell>
          <cell r="O726">
            <v>-16.8</v>
          </cell>
          <cell r="P726">
            <v>0</v>
          </cell>
          <cell r="Q726">
            <v>35</v>
          </cell>
          <cell r="R726">
            <v>1.75</v>
          </cell>
          <cell r="S726">
            <v>31999.22</v>
          </cell>
          <cell r="T726">
            <v>0</v>
          </cell>
          <cell r="U726">
            <v>0</v>
          </cell>
          <cell r="V726">
            <v>38914.97</v>
          </cell>
          <cell r="W726">
            <v>6879</v>
          </cell>
        </row>
        <row r="727">
          <cell r="A727" t="str">
            <v>AMROX</v>
          </cell>
          <cell r="B727">
            <v>74</v>
          </cell>
          <cell r="C727">
            <v>37316</v>
          </cell>
          <cell r="D727">
            <v>37316</v>
          </cell>
          <cell r="E727">
            <v>16400</v>
          </cell>
          <cell r="F727">
            <v>6658.4</v>
          </cell>
          <cell r="G727">
            <v>0</v>
          </cell>
          <cell r="H727">
            <v>75</v>
          </cell>
          <cell r="I727">
            <v>0</v>
          </cell>
          <cell r="J727">
            <v>0</v>
          </cell>
          <cell r="K727">
            <v>0</v>
          </cell>
          <cell r="L727">
            <v>0</v>
          </cell>
          <cell r="M727">
            <v>0</v>
          </cell>
          <cell r="N727">
            <v>16400</v>
          </cell>
          <cell r="O727">
            <v>-16.399999999999999</v>
          </cell>
          <cell r="P727">
            <v>0</v>
          </cell>
          <cell r="Q727">
            <v>35</v>
          </cell>
          <cell r="R727">
            <v>1.75</v>
          </cell>
          <cell r="S727">
            <v>0</v>
          </cell>
          <cell r="T727">
            <v>0</v>
          </cell>
          <cell r="U727">
            <v>0</v>
          </cell>
          <cell r="V727">
            <v>6753.75</v>
          </cell>
          <cell r="W727">
            <v>6717</v>
          </cell>
        </row>
        <row r="728">
          <cell r="A728" t="str">
            <v>AMROX</v>
          </cell>
          <cell r="B728">
            <v>74</v>
          </cell>
          <cell r="C728">
            <v>37347</v>
          </cell>
          <cell r="D728">
            <v>37347</v>
          </cell>
          <cell r="E728">
            <v>18960</v>
          </cell>
          <cell r="F728">
            <v>7697.76</v>
          </cell>
          <cell r="G728">
            <v>0</v>
          </cell>
          <cell r="H728">
            <v>75</v>
          </cell>
          <cell r="I728">
            <v>0</v>
          </cell>
          <cell r="J728">
            <v>0</v>
          </cell>
          <cell r="K728">
            <v>0</v>
          </cell>
          <cell r="L728">
            <v>0</v>
          </cell>
          <cell r="M728">
            <v>0</v>
          </cell>
          <cell r="N728">
            <v>18960</v>
          </cell>
          <cell r="O728">
            <v>-18.96</v>
          </cell>
          <cell r="P728">
            <v>0</v>
          </cell>
          <cell r="Q728">
            <v>35</v>
          </cell>
          <cell r="R728">
            <v>1.75</v>
          </cell>
          <cell r="S728">
            <v>37949.57</v>
          </cell>
          <cell r="T728">
            <v>0</v>
          </cell>
          <cell r="U728">
            <v>0</v>
          </cell>
          <cell r="V728">
            <v>45740.119999999995</v>
          </cell>
          <cell r="W728">
            <v>7753.8</v>
          </cell>
        </row>
        <row r="729">
          <cell r="A729" t="str">
            <v>AMROX</v>
          </cell>
          <cell r="B729">
            <v>74</v>
          </cell>
          <cell r="C729">
            <v>37377</v>
          </cell>
          <cell r="D729">
            <v>37377</v>
          </cell>
          <cell r="E729">
            <v>19800</v>
          </cell>
          <cell r="F729">
            <v>8038.8</v>
          </cell>
          <cell r="G729">
            <v>0</v>
          </cell>
          <cell r="H729">
            <v>75</v>
          </cell>
          <cell r="I729">
            <v>0</v>
          </cell>
          <cell r="J729">
            <v>0</v>
          </cell>
          <cell r="K729">
            <v>0</v>
          </cell>
          <cell r="L729">
            <v>0</v>
          </cell>
          <cell r="M729">
            <v>0</v>
          </cell>
          <cell r="N729">
            <v>0</v>
          </cell>
          <cell r="O729">
            <v>0</v>
          </cell>
          <cell r="P729">
            <v>0</v>
          </cell>
          <cell r="Q729">
            <v>35</v>
          </cell>
          <cell r="R729">
            <v>1.75</v>
          </cell>
          <cell r="S729">
            <v>45740.12</v>
          </cell>
          <cell r="T729">
            <v>0</v>
          </cell>
          <cell r="U729">
            <v>0</v>
          </cell>
          <cell r="V729">
            <v>53890.670000000006</v>
          </cell>
          <cell r="W729">
            <v>8113.8</v>
          </cell>
        </row>
        <row r="730">
          <cell r="A730" t="str">
            <v>AMROX</v>
          </cell>
          <cell r="B730">
            <v>74</v>
          </cell>
          <cell r="C730">
            <v>37408</v>
          </cell>
          <cell r="D730">
            <v>37408</v>
          </cell>
          <cell r="E730">
            <v>18000</v>
          </cell>
          <cell r="F730">
            <v>7308</v>
          </cell>
          <cell r="G730">
            <v>0</v>
          </cell>
          <cell r="H730">
            <v>75</v>
          </cell>
          <cell r="I730">
            <v>0</v>
          </cell>
          <cell r="J730">
            <v>0</v>
          </cell>
          <cell r="K730">
            <v>0</v>
          </cell>
          <cell r="L730">
            <v>0</v>
          </cell>
          <cell r="M730">
            <v>0</v>
          </cell>
          <cell r="N730">
            <v>0</v>
          </cell>
          <cell r="O730">
            <v>0</v>
          </cell>
          <cell r="P730">
            <v>0</v>
          </cell>
          <cell r="Q730">
            <v>35</v>
          </cell>
          <cell r="R730">
            <v>1.75</v>
          </cell>
          <cell r="S730">
            <v>24280.07</v>
          </cell>
          <cell r="T730">
            <v>0</v>
          </cell>
          <cell r="U730">
            <v>0</v>
          </cell>
          <cell r="V730">
            <v>31699.82</v>
          </cell>
          <cell r="W730">
            <v>7383</v>
          </cell>
        </row>
        <row r="731">
          <cell r="A731" t="str">
            <v>AMROX</v>
          </cell>
          <cell r="B731">
            <v>74</v>
          </cell>
          <cell r="C731">
            <v>37438</v>
          </cell>
          <cell r="D731">
            <v>37438</v>
          </cell>
          <cell r="E731">
            <v>17900</v>
          </cell>
          <cell r="F731">
            <v>7267.4</v>
          </cell>
          <cell r="G731">
            <v>0</v>
          </cell>
          <cell r="H731">
            <v>75</v>
          </cell>
          <cell r="I731">
            <v>0</v>
          </cell>
          <cell r="J731">
            <v>0</v>
          </cell>
          <cell r="K731">
            <v>0</v>
          </cell>
          <cell r="L731">
            <v>0</v>
          </cell>
          <cell r="M731">
            <v>0</v>
          </cell>
          <cell r="N731">
            <v>0</v>
          </cell>
          <cell r="O731">
            <v>0</v>
          </cell>
          <cell r="P731">
            <v>0</v>
          </cell>
          <cell r="Q731">
            <v>35</v>
          </cell>
          <cell r="R731">
            <v>1.75</v>
          </cell>
          <cell r="S731">
            <v>0</v>
          </cell>
          <cell r="T731">
            <v>0</v>
          </cell>
          <cell r="U731">
            <v>0</v>
          </cell>
          <cell r="V731">
            <v>7379.15</v>
          </cell>
          <cell r="W731">
            <v>7342.4</v>
          </cell>
        </row>
        <row r="732">
          <cell r="A732" t="str">
            <v>AMROX</v>
          </cell>
          <cell r="B732">
            <v>74</v>
          </cell>
          <cell r="C732">
            <v>37469</v>
          </cell>
          <cell r="D732">
            <v>37469</v>
          </cell>
          <cell r="E732">
            <v>15950</v>
          </cell>
          <cell r="F732">
            <v>6475.7</v>
          </cell>
          <cell r="G732">
            <v>0</v>
          </cell>
          <cell r="H732">
            <v>75</v>
          </cell>
          <cell r="I732">
            <v>0</v>
          </cell>
          <cell r="J732">
            <v>0</v>
          </cell>
          <cell r="K732">
            <v>0</v>
          </cell>
          <cell r="L732">
            <v>0</v>
          </cell>
          <cell r="M732">
            <v>0</v>
          </cell>
          <cell r="N732">
            <v>0</v>
          </cell>
          <cell r="O732">
            <v>0</v>
          </cell>
          <cell r="P732">
            <v>0</v>
          </cell>
          <cell r="Q732">
            <v>35</v>
          </cell>
          <cell r="R732">
            <v>1.75</v>
          </cell>
          <cell r="S732">
            <v>0</v>
          </cell>
          <cell r="T732">
            <v>0</v>
          </cell>
          <cell r="U732">
            <v>0</v>
          </cell>
          <cell r="V732">
            <v>6587.45</v>
          </cell>
          <cell r="W732">
            <v>6550.7</v>
          </cell>
        </row>
        <row r="733">
          <cell r="A733" t="str">
            <v>AMROX</v>
          </cell>
          <cell r="B733">
            <v>74</v>
          </cell>
          <cell r="C733">
            <v>37500</v>
          </cell>
          <cell r="D733">
            <v>37500</v>
          </cell>
          <cell r="E733">
            <v>18090</v>
          </cell>
          <cell r="F733">
            <v>7344.54</v>
          </cell>
          <cell r="G733">
            <v>0</v>
          </cell>
          <cell r="H733">
            <v>75</v>
          </cell>
          <cell r="I733">
            <v>0</v>
          </cell>
          <cell r="J733">
            <v>0</v>
          </cell>
          <cell r="K733">
            <v>0</v>
          </cell>
          <cell r="L733">
            <v>0</v>
          </cell>
          <cell r="M733">
            <v>0</v>
          </cell>
          <cell r="N733">
            <v>0</v>
          </cell>
          <cell r="O733">
            <v>0</v>
          </cell>
          <cell r="P733">
            <v>0</v>
          </cell>
          <cell r="Q733">
            <v>35</v>
          </cell>
          <cell r="R733">
            <v>1.75</v>
          </cell>
          <cell r="S733">
            <v>0</v>
          </cell>
          <cell r="T733">
            <v>0</v>
          </cell>
          <cell r="U733">
            <v>0</v>
          </cell>
          <cell r="V733">
            <v>7456.29</v>
          </cell>
          <cell r="W733">
            <v>7419.54</v>
          </cell>
        </row>
        <row r="734">
          <cell r="A734" t="str">
            <v>AMROX</v>
          </cell>
          <cell r="B734">
            <v>74</v>
          </cell>
          <cell r="C734">
            <v>37530</v>
          </cell>
          <cell r="D734">
            <v>37530</v>
          </cell>
          <cell r="E734">
            <v>19840</v>
          </cell>
          <cell r="F734">
            <v>8055.04</v>
          </cell>
          <cell r="G734">
            <v>0</v>
          </cell>
          <cell r="H734">
            <v>75</v>
          </cell>
          <cell r="I734">
            <v>0</v>
          </cell>
          <cell r="J734">
            <v>0</v>
          </cell>
          <cell r="K734">
            <v>0</v>
          </cell>
          <cell r="L734">
            <v>0</v>
          </cell>
          <cell r="M734">
            <v>0</v>
          </cell>
          <cell r="N734">
            <v>0</v>
          </cell>
          <cell r="O734">
            <v>0</v>
          </cell>
          <cell r="P734">
            <v>0</v>
          </cell>
          <cell r="Q734">
            <v>35</v>
          </cell>
          <cell r="R734">
            <v>1.75</v>
          </cell>
          <cell r="S734">
            <v>0</v>
          </cell>
          <cell r="T734">
            <v>0</v>
          </cell>
          <cell r="U734">
            <v>0</v>
          </cell>
          <cell r="V734">
            <v>8166.79</v>
          </cell>
          <cell r="W734">
            <v>8130.04</v>
          </cell>
        </row>
        <row r="735">
          <cell r="A735" t="str">
            <v>AMROX</v>
          </cell>
          <cell r="B735">
            <v>74</v>
          </cell>
          <cell r="C735">
            <v>37561</v>
          </cell>
          <cell r="D735">
            <v>37561</v>
          </cell>
          <cell r="E735">
            <v>18400</v>
          </cell>
          <cell r="F735">
            <v>7470.4</v>
          </cell>
          <cell r="G735">
            <v>0</v>
          </cell>
          <cell r="H735">
            <v>75</v>
          </cell>
          <cell r="I735">
            <v>0</v>
          </cell>
          <cell r="J735">
            <v>0</v>
          </cell>
          <cell r="K735">
            <v>0</v>
          </cell>
          <cell r="L735">
            <v>0</v>
          </cell>
          <cell r="M735">
            <v>0</v>
          </cell>
          <cell r="N735">
            <v>0</v>
          </cell>
          <cell r="O735">
            <v>0</v>
          </cell>
          <cell r="P735">
            <v>0</v>
          </cell>
          <cell r="Q735">
            <v>35</v>
          </cell>
          <cell r="R735">
            <v>1.75</v>
          </cell>
          <cell r="S735">
            <v>8166.79</v>
          </cell>
          <cell r="T735">
            <v>0</v>
          </cell>
          <cell r="U735">
            <v>0</v>
          </cell>
          <cell r="V735">
            <v>15748.939999999999</v>
          </cell>
          <cell r="W735">
            <v>7545.4</v>
          </cell>
        </row>
        <row r="736">
          <cell r="A736" t="str">
            <v>AMROX</v>
          </cell>
          <cell r="B736">
            <v>74</v>
          </cell>
          <cell r="C736">
            <v>37591</v>
          </cell>
          <cell r="D736">
            <v>37591</v>
          </cell>
          <cell r="E736">
            <v>19300</v>
          </cell>
          <cell r="F736">
            <v>7835.8</v>
          </cell>
          <cell r="G736">
            <v>0</v>
          </cell>
          <cell r="H736">
            <v>75</v>
          </cell>
          <cell r="I736">
            <v>0</v>
          </cell>
          <cell r="J736">
            <v>0</v>
          </cell>
          <cell r="K736">
            <v>0</v>
          </cell>
          <cell r="L736">
            <v>0</v>
          </cell>
          <cell r="M736">
            <v>0</v>
          </cell>
          <cell r="N736">
            <v>0</v>
          </cell>
          <cell r="O736">
            <v>0</v>
          </cell>
          <cell r="P736">
            <v>0</v>
          </cell>
          <cell r="Q736">
            <v>35</v>
          </cell>
          <cell r="R736">
            <v>2.1</v>
          </cell>
          <cell r="S736">
            <v>0</v>
          </cell>
          <cell r="T736">
            <v>0</v>
          </cell>
          <cell r="U736">
            <v>0</v>
          </cell>
          <cell r="V736">
            <v>7947.9</v>
          </cell>
          <cell r="W736">
            <v>7910.8</v>
          </cell>
        </row>
        <row r="737">
          <cell r="A737" t="str">
            <v>AB Brown Plant Turbine #2</v>
          </cell>
          <cell r="B737">
            <v>78</v>
          </cell>
          <cell r="C737">
            <v>37377</v>
          </cell>
          <cell r="D737">
            <v>37377</v>
          </cell>
          <cell r="E737">
            <v>30997</v>
          </cell>
          <cell r="F737">
            <v>12584.78</v>
          </cell>
          <cell r="G737">
            <v>0</v>
          </cell>
          <cell r="H737">
            <v>75</v>
          </cell>
          <cell r="I737">
            <v>0</v>
          </cell>
          <cell r="J737">
            <v>0</v>
          </cell>
          <cell r="K737">
            <v>0</v>
          </cell>
          <cell r="L737">
            <v>0</v>
          </cell>
          <cell r="M737">
            <v>0</v>
          </cell>
          <cell r="N737">
            <v>0</v>
          </cell>
          <cell r="O737">
            <v>0</v>
          </cell>
          <cell r="P737">
            <v>0</v>
          </cell>
          <cell r="Q737">
            <v>35</v>
          </cell>
          <cell r="R737">
            <v>0</v>
          </cell>
          <cell r="S737">
            <v>0</v>
          </cell>
          <cell r="T737">
            <v>0</v>
          </cell>
          <cell r="U737">
            <v>0</v>
          </cell>
          <cell r="V737">
            <v>12694.78</v>
          </cell>
          <cell r="W737">
            <v>12659.78</v>
          </cell>
        </row>
        <row r="738">
          <cell r="A738" t="str">
            <v>AB Brown Plant Turbine #2</v>
          </cell>
          <cell r="B738">
            <v>78</v>
          </cell>
          <cell r="C738">
            <v>37408</v>
          </cell>
          <cell r="D738">
            <v>37408</v>
          </cell>
          <cell r="E738">
            <v>40000</v>
          </cell>
          <cell r="F738">
            <v>16240</v>
          </cell>
          <cell r="G738">
            <v>0</v>
          </cell>
          <cell r="H738">
            <v>75</v>
          </cell>
          <cell r="I738">
            <v>0</v>
          </cell>
          <cell r="J738">
            <v>0</v>
          </cell>
          <cell r="K738">
            <v>0</v>
          </cell>
          <cell r="L738">
            <v>0</v>
          </cell>
          <cell r="M738">
            <v>0</v>
          </cell>
          <cell r="N738">
            <v>0</v>
          </cell>
          <cell r="O738">
            <v>0</v>
          </cell>
          <cell r="P738">
            <v>0</v>
          </cell>
          <cell r="Q738">
            <v>35</v>
          </cell>
          <cell r="R738">
            <v>0</v>
          </cell>
          <cell r="S738">
            <v>0</v>
          </cell>
          <cell r="T738">
            <v>0</v>
          </cell>
          <cell r="U738">
            <v>0</v>
          </cell>
          <cell r="V738">
            <v>16350</v>
          </cell>
          <cell r="W738">
            <v>16315</v>
          </cell>
        </row>
        <row r="739">
          <cell r="A739" t="str">
            <v>AB Brown Plant Turbine #2</v>
          </cell>
          <cell r="B739">
            <v>78</v>
          </cell>
          <cell r="C739">
            <v>37438</v>
          </cell>
          <cell r="D739">
            <v>37438</v>
          </cell>
          <cell r="E739">
            <v>130000</v>
          </cell>
          <cell r="F739">
            <v>52780</v>
          </cell>
          <cell r="G739">
            <v>0</v>
          </cell>
          <cell r="H739">
            <v>75</v>
          </cell>
          <cell r="I739">
            <v>0</v>
          </cell>
          <cell r="J739">
            <v>0</v>
          </cell>
          <cell r="K739">
            <v>0</v>
          </cell>
          <cell r="L739">
            <v>0</v>
          </cell>
          <cell r="M739">
            <v>0</v>
          </cell>
          <cell r="N739">
            <v>0</v>
          </cell>
          <cell r="O739">
            <v>0</v>
          </cell>
          <cell r="P739">
            <v>0</v>
          </cell>
          <cell r="Q739">
            <v>35</v>
          </cell>
          <cell r="R739">
            <v>0</v>
          </cell>
          <cell r="S739">
            <v>0</v>
          </cell>
          <cell r="T739">
            <v>0</v>
          </cell>
          <cell r="U739">
            <v>0</v>
          </cell>
          <cell r="V739">
            <v>52890</v>
          </cell>
          <cell r="W739">
            <v>52855</v>
          </cell>
        </row>
        <row r="740">
          <cell r="A740" t="str">
            <v>AB Brown Plant Turbine #2</v>
          </cell>
          <cell r="B740">
            <v>78</v>
          </cell>
          <cell r="C740">
            <v>37469</v>
          </cell>
          <cell r="D740">
            <v>37469</v>
          </cell>
          <cell r="E740">
            <v>109000</v>
          </cell>
          <cell r="F740">
            <v>44254</v>
          </cell>
          <cell r="G740">
            <v>0</v>
          </cell>
          <cell r="H740">
            <v>75</v>
          </cell>
          <cell r="I740">
            <v>0</v>
          </cell>
          <cell r="J740">
            <v>0</v>
          </cell>
          <cell r="K740">
            <v>0</v>
          </cell>
          <cell r="L740">
            <v>0</v>
          </cell>
          <cell r="M740">
            <v>0</v>
          </cell>
          <cell r="N740">
            <v>0</v>
          </cell>
          <cell r="O740">
            <v>0</v>
          </cell>
          <cell r="P740">
            <v>0</v>
          </cell>
          <cell r="Q740">
            <v>35</v>
          </cell>
          <cell r="R740">
            <v>0</v>
          </cell>
          <cell r="S740">
            <v>0</v>
          </cell>
          <cell r="T740">
            <v>0</v>
          </cell>
          <cell r="U740">
            <v>0</v>
          </cell>
          <cell r="V740">
            <v>44364</v>
          </cell>
          <cell r="W740">
            <v>44329</v>
          </cell>
        </row>
        <row r="741">
          <cell r="A741" t="str">
            <v>AB Brown Plant Turbine #2</v>
          </cell>
          <cell r="B741">
            <v>78</v>
          </cell>
          <cell r="C741">
            <v>37500</v>
          </cell>
          <cell r="D741">
            <v>37500</v>
          </cell>
          <cell r="E741">
            <v>100043</v>
          </cell>
          <cell r="F741">
            <v>40617.46</v>
          </cell>
          <cell r="G741">
            <v>0</v>
          </cell>
          <cell r="H741">
            <v>75</v>
          </cell>
          <cell r="I741">
            <v>0</v>
          </cell>
          <cell r="J741">
            <v>0</v>
          </cell>
          <cell r="K741">
            <v>0</v>
          </cell>
          <cell r="L741">
            <v>0</v>
          </cell>
          <cell r="M741">
            <v>0</v>
          </cell>
          <cell r="N741">
            <v>0</v>
          </cell>
          <cell r="O741">
            <v>0</v>
          </cell>
          <cell r="P741">
            <v>0</v>
          </cell>
          <cell r="Q741">
            <v>35</v>
          </cell>
          <cell r="R741">
            <v>0</v>
          </cell>
          <cell r="S741">
            <v>0</v>
          </cell>
          <cell r="T741">
            <v>0</v>
          </cell>
          <cell r="U741">
            <v>0</v>
          </cell>
          <cell r="V741">
            <v>40727.46</v>
          </cell>
          <cell r="W741">
            <v>40692.46</v>
          </cell>
        </row>
        <row r="742">
          <cell r="A742" t="str">
            <v>AB Brown Plant Turbine #2</v>
          </cell>
          <cell r="B742">
            <v>78</v>
          </cell>
          <cell r="C742">
            <v>37530</v>
          </cell>
          <cell r="D742">
            <v>37530</v>
          </cell>
          <cell r="E742">
            <v>30407</v>
          </cell>
          <cell r="F742">
            <v>12345.24</v>
          </cell>
          <cell r="G742">
            <v>0</v>
          </cell>
          <cell r="H742">
            <v>75</v>
          </cell>
          <cell r="I742">
            <v>0</v>
          </cell>
          <cell r="J742">
            <v>0</v>
          </cell>
          <cell r="K742">
            <v>0</v>
          </cell>
          <cell r="L742">
            <v>0</v>
          </cell>
          <cell r="M742">
            <v>0</v>
          </cell>
          <cell r="N742">
            <v>0</v>
          </cell>
          <cell r="O742">
            <v>0</v>
          </cell>
          <cell r="P742">
            <v>0</v>
          </cell>
          <cell r="Q742">
            <v>35</v>
          </cell>
          <cell r="R742">
            <v>0</v>
          </cell>
          <cell r="S742">
            <v>0</v>
          </cell>
          <cell r="T742">
            <v>0</v>
          </cell>
          <cell r="U742">
            <v>0</v>
          </cell>
          <cell r="V742">
            <v>12455.24</v>
          </cell>
          <cell r="W742">
            <v>12420.24</v>
          </cell>
        </row>
        <row r="743">
          <cell r="A743" t="str">
            <v>AB Brown Plant Turbine #2</v>
          </cell>
          <cell r="B743">
            <v>78</v>
          </cell>
          <cell r="C743">
            <v>37561</v>
          </cell>
          <cell r="D743">
            <v>37561</v>
          </cell>
          <cell r="E743">
            <v>42382</v>
          </cell>
          <cell r="F743">
            <v>17207.09</v>
          </cell>
          <cell r="G743">
            <v>0</v>
          </cell>
          <cell r="H743">
            <v>75</v>
          </cell>
          <cell r="I743">
            <v>0</v>
          </cell>
          <cell r="J743">
            <v>0</v>
          </cell>
          <cell r="K743">
            <v>0</v>
          </cell>
          <cell r="L743">
            <v>0</v>
          </cell>
          <cell r="M743">
            <v>0</v>
          </cell>
          <cell r="N743">
            <v>0</v>
          </cell>
          <cell r="O743">
            <v>0</v>
          </cell>
          <cell r="P743">
            <v>0</v>
          </cell>
          <cell r="Q743">
            <v>35</v>
          </cell>
          <cell r="R743">
            <v>0</v>
          </cell>
          <cell r="S743">
            <v>0</v>
          </cell>
          <cell r="T743">
            <v>0</v>
          </cell>
          <cell r="U743">
            <v>0</v>
          </cell>
          <cell r="V743">
            <v>17317.09</v>
          </cell>
          <cell r="W743">
            <v>17282.09</v>
          </cell>
        </row>
        <row r="744">
          <cell r="A744" t="str">
            <v>AB Brown Plant Turbine #2</v>
          </cell>
          <cell r="B744">
            <v>78</v>
          </cell>
          <cell r="C744">
            <v>37591</v>
          </cell>
          <cell r="D744">
            <v>37591</v>
          </cell>
          <cell r="E744">
            <v>61516</v>
          </cell>
          <cell r="F744">
            <v>24975.5</v>
          </cell>
          <cell r="G744">
            <v>0</v>
          </cell>
          <cell r="H744">
            <v>75</v>
          </cell>
          <cell r="I744">
            <v>0</v>
          </cell>
          <cell r="J744">
            <v>0</v>
          </cell>
          <cell r="K744">
            <v>0</v>
          </cell>
          <cell r="L744">
            <v>0</v>
          </cell>
          <cell r="M744">
            <v>0</v>
          </cell>
          <cell r="N744">
            <v>0</v>
          </cell>
          <cell r="O744">
            <v>0</v>
          </cell>
          <cell r="P744">
            <v>0</v>
          </cell>
          <cell r="Q744">
            <v>35</v>
          </cell>
          <cell r="R744">
            <v>0</v>
          </cell>
          <cell r="S744">
            <v>0</v>
          </cell>
          <cell r="T744">
            <v>0</v>
          </cell>
          <cell r="U744">
            <v>0</v>
          </cell>
          <cell r="V744">
            <v>25085.5</v>
          </cell>
          <cell r="W744">
            <v>25050.5</v>
          </cell>
        </row>
        <row r="746">
          <cell r="A746" t="str">
            <v xml:space="preserve">     TOTAL RATE C</v>
          </cell>
          <cell r="E746">
            <v>6746134</v>
          </cell>
          <cell r="F746">
            <v>2625527.9499999979</v>
          </cell>
          <cell r="G746">
            <v>0</v>
          </cell>
          <cell r="H746">
            <v>2625527.9499999979</v>
          </cell>
          <cell r="I746">
            <v>149818</v>
          </cell>
          <cell r="J746">
            <v>46596.570000000007</v>
          </cell>
          <cell r="K746">
            <v>196414.57</v>
          </cell>
          <cell r="L746">
            <v>494534.90999999992</v>
          </cell>
          <cell r="M746">
            <v>-1497.2699999999998</v>
          </cell>
          <cell r="N746">
            <v>493037.6399999999</v>
          </cell>
          <cell r="O746">
            <v>183.83999999999997</v>
          </cell>
          <cell r="P746">
            <v>0</v>
          </cell>
          <cell r="Q746">
            <v>183.83999999999997</v>
          </cell>
          <cell r="R746">
            <v>5493.76</v>
          </cell>
          <cell r="S746">
            <v>416353.75999999995</v>
          </cell>
          <cell r="T746">
            <v>421847.51999999996</v>
          </cell>
          <cell r="U746">
            <v>175596.11</v>
          </cell>
          <cell r="V746">
            <v>3642193.52</v>
          </cell>
          <cell r="W746">
            <v>3817789.63</v>
          </cell>
        </row>
        <row r="749">
          <cell r="A749" t="str">
            <v>RATE D</v>
          </cell>
        </row>
        <row r="750">
          <cell r="A750" t="str">
            <v>Aluminum Company of America</v>
          </cell>
          <cell r="B750">
            <v>4</v>
          </cell>
          <cell r="C750">
            <v>37257</v>
          </cell>
          <cell r="D750">
            <v>37257</v>
          </cell>
          <cell r="E750">
            <v>499000</v>
          </cell>
          <cell r="F750">
            <v>36261</v>
          </cell>
          <cell r="G750">
            <v>0</v>
          </cell>
          <cell r="H750">
            <v>75</v>
          </cell>
          <cell r="I750">
            <v>0</v>
          </cell>
          <cell r="J750">
            <v>0</v>
          </cell>
          <cell r="K750">
            <v>0</v>
          </cell>
          <cell r="L750">
            <v>0</v>
          </cell>
          <cell r="M750">
            <v>0</v>
          </cell>
          <cell r="N750">
            <v>0</v>
          </cell>
          <cell r="O750">
            <v>0</v>
          </cell>
          <cell r="P750">
            <v>1797</v>
          </cell>
          <cell r="Q750">
            <v>75</v>
          </cell>
          <cell r="R750">
            <v>0</v>
          </cell>
          <cell r="S750">
            <v>76140.789999999994</v>
          </cell>
          <cell r="T750">
            <v>0</v>
          </cell>
          <cell r="U750">
            <v>0</v>
          </cell>
          <cell r="V750">
            <v>114348.79</v>
          </cell>
          <cell r="W750">
            <v>36336</v>
          </cell>
        </row>
        <row r="751">
          <cell r="A751" t="str">
            <v>Aluminum Company of America</v>
          </cell>
          <cell r="B751">
            <v>4</v>
          </cell>
          <cell r="C751">
            <v>37288</v>
          </cell>
          <cell r="D751">
            <v>37288</v>
          </cell>
          <cell r="E751">
            <v>256000</v>
          </cell>
          <cell r="F751">
            <v>24716</v>
          </cell>
          <cell r="G751">
            <v>0</v>
          </cell>
          <cell r="H751">
            <v>75</v>
          </cell>
          <cell r="I751">
            <v>0</v>
          </cell>
          <cell r="J751">
            <v>0</v>
          </cell>
          <cell r="K751">
            <v>0</v>
          </cell>
          <cell r="L751">
            <v>0</v>
          </cell>
          <cell r="M751">
            <v>0</v>
          </cell>
          <cell r="N751">
            <v>256000</v>
          </cell>
          <cell r="O751">
            <v>-256</v>
          </cell>
          <cell r="P751">
            <v>1797</v>
          </cell>
          <cell r="Q751">
            <v>75</v>
          </cell>
          <cell r="R751">
            <v>0</v>
          </cell>
          <cell r="S751">
            <v>76140.789999999994</v>
          </cell>
          <cell r="T751">
            <v>0</v>
          </cell>
          <cell r="U751">
            <v>0</v>
          </cell>
          <cell r="V751">
            <v>102547.79</v>
          </cell>
          <cell r="W751">
            <v>24535</v>
          </cell>
        </row>
        <row r="752">
          <cell r="A752" t="str">
            <v>Aluminum Company of America</v>
          </cell>
          <cell r="B752">
            <v>4</v>
          </cell>
          <cell r="C752">
            <v>37316</v>
          </cell>
          <cell r="D752">
            <v>37316</v>
          </cell>
          <cell r="E752">
            <v>295900</v>
          </cell>
          <cell r="F752">
            <v>27149.9</v>
          </cell>
          <cell r="G752">
            <v>0</v>
          </cell>
          <cell r="H752">
            <v>75</v>
          </cell>
          <cell r="I752">
            <v>0</v>
          </cell>
          <cell r="J752">
            <v>0</v>
          </cell>
          <cell r="K752">
            <v>0</v>
          </cell>
          <cell r="L752">
            <v>0</v>
          </cell>
          <cell r="M752">
            <v>0</v>
          </cell>
          <cell r="N752">
            <v>295900</v>
          </cell>
          <cell r="O752">
            <v>-295.89999999999998</v>
          </cell>
          <cell r="P752">
            <v>1797</v>
          </cell>
          <cell r="Q752">
            <v>75</v>
          </cell>
          <cell r="R752">
            <v>0</v>
          </cell>
          <cell r="S752">
            <v>0</v>
          </cell>
          <cell r="T752">
            <v>0</v>
          </cell>
          <cell r="U752">
            <v>0</v>
          </cell>
          <cell r="V752">
            <v>28801</v>
          </cell>
          <cell r="W752">
            <v>26929</v>
          </cell>
        </row>
        <row r="753">
          <cell r="A753" t="str">
            <v>Aluminum Company of America</v>
          </cell>
          <cell r="B753">
            <v>4</v>
          </cell>
          <cell r="C753">
            <v>37347</v>
          </cell>
          <cell r="D753">
            <v>37347</v>
          </cell>
          <cell r="E753">
            <v>263000</v>
          </cell>
          <cell r="F753">
            <v>25143</v>
          </cell>
          <cell r="G753">
            <v>0</v>
          </cell>
          <cell r="H753">
            <v>75</v>
          </cell>
          <cell r="I753">
            <v>0</v>
          </cell>
          <cell r="J753">
            <v>0</v>
          </cell>
          <cell r="K753">
            <v>0</v>
          </cell>
          <cell r="L753">
            <v>0</v>
          </cell>
          <cell r="M753">
            <v>0</v>
          </cell>
          <cell r="N753">
            <v>263000</v>
          </cell>
          <cell r="O753">
            <v>-263</v>
          </cell>
          <cell r="P753">
            <v>1797</v>
          </cell>
          <cell r="Q753">
            <v>75</v>
          </cell>
          <cell r="R753">
            <v>0</v>
          </cell>
          <cell r="S753">
            <v>76140.789999999994</v>
          </cell>
          <cell r="T753">
            <v>0</v>
          </cell>
          <cell r="U753">
            <v>0</v>
          </cell>
          <cell r="V753">
            <v>102967.79</v>
          </cell>
          <cell r="W753">
            <v>24955</v>
          </cell>
        </row>
        <row r="754">
          <cell r="A754" t="str">
            <v>Aluminum Company of America</v>
          </cell>
          <cell r="B754">
            <v>4</v>
          </cell>
          <cell r="C754">
            <v>37377</v>
          </cell>
          <cell r="D754">
            <v>37377</v>
          </cell>
          <cell r="E754">
            <v>248800</v>
          </cell>
          <cell r="F754">
            <v>24276.799999999999</v>
          </cell>
          <cell r="G754">
            <v>0</v>
          </cell>
          <cell r="H754">
            <v>75</v>
          </cell>
          <cell r="I754">
            <v>0</v>
          </cell>
          <cell r="J754">
            <v>0</v>
          </cell>
          <cell r="K754">
            <v>0</v>
          </cell>
          <cell r="L754">
            <v>0</v>
          </cell>
          <cell r="M754">
            <v>0</v>
          </cell>
          <cell r="N754">
            <v>0</v>
          </cell>
          <cell r="O754">
            <v>0</v>
          </cell>
          <cell r="P754">
            <v>1797</v>
          </cell>
          <cell r="Q754">
            <v>75</v>
          </cell>
          <cell r="R754">
            <v>0</v>
          </cell>
          <cell r="S754">
            <v>-10628.11</v>
          </cell>
          <cell r="T754">
            <v>0</v>
          </cell>
          <cell r="U754">
            <v>0</v>
          </cell>
          <cell r="V754">
            <v>15595.689999999999</v>
          </cell>
          <cell r="W754">
            <v>24351.8</v>
          </cell>
        </row>
        <row r="755">
          <cell r="A755" t="str">
            <v>Aluminum Company of America</v>
          </cell>
          <cell r="B755">
            <v>4</v>
          </cell>
          <cell r="C755">
            <v>37408</v>
          </cell>
          <cell r="D755">
            <v>37408</v>
          </cell>
          <cell r="E755">
            <v>226000</v>
          </cell>
          <cell r="F755">
            <v>22886</v>
          </cell>
          <cell r="G755">
            <v>0</v>
          </cell>
          <cell r="H755">
            <v>75</v>
          </cell>
          <cell r="I755">
            <v>0</v>
          </cell>
          <cell r="J755">
            <v>0</v>
          </cell>
          <cell r="K755">
            <v>0</v>
          </cell>
          <cell r="L755">
            <v>0</v>
          </cell>
          <cell r="M755">
            <v>0</v>
          </cell>
          <cell r="N755">
            <v>0</v>
          </cell>
          <cell r="O755">
            <v>0</v>
          </cell>
          <cell r="P755">
            <v>1797</v>
          </cell>
          <cell r="Q755">
            <v>75</v>
          </cell>
          <cell r="R755">
            <v>0</v>
          </cell>
          <cell r="S755">
            <v>15595.69</v>
          </cell>
          <cell r="T755">
            <v>0</v>
          </cell>
          <cell r="U755">
            <v>0</v>
          </cell>
          <cell r="V755">
            <v>40428.69</v>
          </cell>
          <cell r="W755">
            <v>22961</v>
          </cell>
        </row>
        <row r="756">
          <cell r="A756" t="str">
            <v>Aluminum Company of America</v>
          </cell>
          <cell r="B756">
            <v>4</v>
          </cell>
          <cell r="C756">
            <v>37438</v>
          </cell>
          <cell r="D756">
            <v>37438</v>
          </cell>
          <cell r="E756">
            <v>233200</v>
          </cell>
          <cell r="F756">
            <v>23325.200000000001</v>
          </cell>
          <cell r="G756">
            <v>0</v>
          </cell>
          <cell r="H756">
            <v>75</v>
          </cell>
          <cell r="I756">
            <v>0</v>
          </cell>
          <cell r="J756">
            <v>0</v>
          </cell>
          <cell r="K756">
            <v>0</v>
          </cell>
          <cell r="L756">
            <v>0</v>
          </cell>
          <cell r="M756">
            <v>0</v>
          </cell>
          <cell r="N756">
            <v>0</v>
          </cell>
          <cell r="O756">
            <v>0</v>
          </cell>
          <cell r="P756">
            <v>1797</v>
          </cell>
          <cell r="Q756">
            <v>75</v>
          </cell>
          <cell r="R756">
            <v>0</v>
          </cell>
          <cell r="S756">
            <v>-11231.31</v>
          </cell>
          <cell r="T756">
            <v>0</v>
          </cell>
          <cell r="U756">
            <v>0</v>
          </cell>
          <cell r="V756">
            <v>14040.890000000001</v>
          </cell>
          <cell r="W756">
            <v>23400.2</v>
          </cell>
        </row>
        <row r="757">
          <cell r="A757" t="str">
            <v>Aluminum Company of America</v>
          </cell>
          <cell r="B757">
            <v>4</v>
          </cell>
          <cell r="C757">
            <v>37469</v>
          </cell>
          <cell r="D757">
            <v>37469</v>
          </cell>
          <cell r="E757">
            <v>218200</v>
          </cell>
          <cell r="F757">
            <v>22410.2</v>
          </cell>
          <cell r="G757">
            <v>0</v>
          </cell>
          <cell r="H757">
            <v>75</v>
          </cell>
          <cell r="I757">
            <v>0</v>
          </cell>
          <cell r="J757">
            <v>0</v>
          </cell>
          <cell r="K757">
            <v>0</v>
          </cell>
          <cell r="L757">
            <v>0</v>
          </cell>
          <cell r="M757">
            <v>0</v>
          </cell>
          <cell r="N757">
            <v>0</v>
          </cell>
          <cell r="O757">
            <v>0</v>
          </cell>
          <cell r="P757">
            <v>1797</v>
          </cell>
          <cell r="Q757">
            <v>75</v>
          </cell>
          <cell r="R757">
            <v>0</v>
          </cell>
          <cell r="S757">
            <v>14040.89</v>
          </cell>
          <cell r="T757">
            <v>0</v>
          </cell>
          <cell r="U757">
            <v>0</v>
          </cell>
          <cell r="V757">
            <v>38398.089999999997</v>
          </cell>
          <cell r="W757">
            <v>22485.200000000001</v>
          </cell>
        </row>
        <row r="758">
          <cell r="A758" t="str">
            <v>Aluminum Company of America</v>
          </cell>
          <cell r="B758">
            <v>4</v>
          </cell>
          <cell r="C758">
            <v>37500</v>
          </cell>
          <cell r="D758">
            <v>37500</v>
          </cell>
          <cell r="E758">
            <v>224500</v>
          </cell>
          <cell r="F758">
            <v>22794.5</v>
          </cell>
          <cell r="G758">
            <v>0</v>
          </cell>
          <cell r="H758">
            <v>75</v>
          </cell>
          <cell r="I758">
            <v>0</v>
          </cell>
          <cell r="J758">
            <v>0</v>
          </cell>
          <cell r="K758">
            <v>0</v>
          </cell>
          <cell r="L758">
            <v>0</v>
          </cell>
          <cell r="M758">
            <v>0</v>
          </cell>
          <cell r="N758">
            <v>0</v>
          </cell>
          <cell r="O758">
            <v>0</v>
          </cell>
          <cell r="P758">
            <v>1797</v>
          </cell>
          <cell r="Q758">
            <v>75</v>
          </cell>
          <cell r="R758">
            <v>0</v>
          </cell>
          <cell r="S758">
            <v>0</v>
          </cell>
          <cell r="T758">
            <v>0</v>
          </cell>
          <cell r="U758">
            <v>0</v>
          </cell>
          <cell r="V758">
            <v>24741.5</v>
          </cell>
          <cell r="W758">
            <v>22869.5</v>
          </cell>
        </row>
        <row r="759">
          <cell r="A759" t="str">
            <v>Aluminum Company of America</v>
          </cell>
          <cell r="B759">
            <v>4</v>
          </cell>
          <cell r="C759">
            <v>37530</v>
          </cell>
          <cell r="D759">
            <v>37530</v>
          </cell>
          <cell r="E759">
            <v>267000</v>
          </cell>
          <cell r="F759">
            <v>25387</v>
          </cell>
          <cell r="G759">
            <v>0</v>
          </cell>
          <cell r="H759">
            <v>75</v>
          </cell>
          <cell r="I759">
            <v>0</v>
          </cell>
          <cell r="J759">
            <v>0</v>
          </cell>
          <cell r="K759">
            <v>0</v>
          </cell>
          <cell r="L759">
            <v>0</v>
          </cell>
          <cell r="M759">
            <v>0</v>
          </cell>
          <cell r="N759">
            <v>0</v>
          </cell>
          <cell r="O759">
            <v>0</v>
          </cell>
          <cell r="P759">
            <v>1797</v>
          </cell>
          <cell r="Q759">
            <v>75</v>
          </cell>
          <cell r="R759">
            <v>0</v>
          </cell>
          <cell r="S759">
            <v>63139.59</v>
          </cell>
          <cell r="T759">
            <v>0</v>
          </cell>
          <cell r="U759">
            <v>0</v>
          </cell>
          <cell r="V759">
            <v>90473.59</v>
          </cell>
          <cell r="W759">
            <v>25462</v>
          </cell>
        </row>
        <row r="760">
          <cell r="A760" t="str">
            <v>Aluminum Company of America</v>
          </cell>
          <cell r="B760">
            <v>4</v>
          </cell>
          <cell r="C760">
            <v>37561</v>
          </cell>
          <cell r="D760">
            <v>37561</v>
          </cell>
          <cell r="E760">
            <v>267000</v>
          </cell>
          <cell r="F760">
            <v>25387</v>
          </cell>
          <cell r="G760">
            <v>0</v>
          </cell>
          <cell r="H760">
            <v>75</v>
          </cell>
          <cell r="I760">
            <v>0</v>
          </cell>
          <cell r="J760">
            <v>0</v>
          </cell>
          <cell r="K760">
            <v>0</v>
          </cell>
          <cell r="L760">
            <v>0</v>
          </cell>
          <cell r="M760">
            <v>0</v>
          </cell>
          <cell r="N760">
            <v>0</v>
          </cell>
          <cell r="O760">
            <v>0</v>
          </cell>
          <cell r="P760">
            <v>1797</v>
          </cell>
          <cell r="Q760">
            <v>75</v>
          </cell>
          <cell r="R760">
            <v>0</v>
          </cell>
          <cell r="S760">
            <v>90473.59</v>
          </cell>
          <cell r="T760">
            <v>0</v>
          </cell>
          <cell r="U760">
            <v>0</v>
          </cell>
          <cell r="V760">
            <v>117807.59</v>
          </cell>
          <cell r="W760">
            <v>25462</v>
          </cell>
        </row>
        <row r="761">
          <cell r="A761" t="str">
            <v>Aluminum Company of America</v>
          </cell>
          <cell r="B761">
            <v>4</v>
          </cell>
          <cell r="C761">
            <v>37591</v>
          </cell>
          <cell r="D761">
            <v>37591</v>
          </cell>
          <cell r="E761">
            <v>286500</v>
          </cell>
          <cell r="F761">
            <v>26576.5</v>
          </cell>
          <cell r="G761">
            <v>0</v>
          </cell>
          <cell r="H761">
            <v>75</v>
          </cell>
          <cell r="I761">
            <v>0</v>
          </cell>
          <cell r="J761">
            <v>0</v>
          </cell>
          <cell r="K761">
            <v>0</v>
          </cell>
          <cell r="L761">
            <v>0</v>
          </cell>
          <cell r="M761">
            <v>0</v>
          </cell>
          <cell r="N761">
            <v>0</v>
          </cell>
          <cell r="O761">
            <v>0</v>
          </cell>
          <cell r="P761">
            <v>1797</v>
          </cell>
          <cell r="Q761">
            <v>75</v>
          </cell>
          <cell r="R761">
            <v>0</v>
          </cell>
          <cell r="S761">
            <v>0</v>
          </cell>
          <cell r="T761">
            <v>0</v>
          </cell>
          <cell r="U761">
            <v>0</v>
          </cell>
          <cell r="V761">
            <v>28523.5</v>
          </cell>
          <cell r="W761">
            <v>26651.5</v>
          </cell>
        </row>
        <row r="762">
          <cell r="A762" t="str">
            <v>Toyota Motor Manufacturing, Indiana</v>
          </cell>
          <cell r="B762">
            <v>31</v>
          </cell>
          <cell r="C762">
            <v>37257</v>
          </cell>
          <cell r="D762">
            <v>37257</v>
          </cell>
          <cell r="E762">
            <v>99742</v>
          </cell>
          <cell r="F762">
            <v>11270.85</v>
          </cell>
          <cell r="G762">
            <v>0</v>
          </cell>
          <cell r="H762">
            <v>75</v>
          </cell>
          <cell r="I762">
            <v>0</v>
          </cell>
          <cell r="J762">
            <v>0</v>
          </cell>
          <cell r="K762">
            <v>0</v>
          </cell>
          <cell r="L762">
            <v>0</v>
          </cell>
          <cell r="M762">
            <v>0</v>
          </cell>
          <cell r="N762">
            <v>0</v>
          </cell>
          <cell r="O762">
            <v>0</v>
          </cell>
          <cell r="P762">
            <v>0</v>
          </cell>
          <cell r="Q762">
            <v>75</v>
          </cell>
          <cell r="R762">
            <v>0</v>
          </cell>
          <cell r="S762">
            <v>0</v>
          </cell>
          <cell r="T762">
            <v>0</v>
          </cell>
          <cell r="U762">
            <v>0</v>
          </cell>
          <cell r="V762">
            <v>11420.85</v>
          </cell>
          <cell r="W762">
            <v>11345.85</v>
          </cell>
        </row>
        <row r="763">
          <cell r="A763" t="str">
            <v>Toyota Motor Manufacturing, Indiana</v>
          </cell>
          <cell r="B763">
            <v>31</v>
          </cell>
          <cell r="C763">
            <v>37288</v>
          </cell>
          <cell r="D763">
            <v>37288</v>
          </cell>
          <cell r="E763">
            <v>104874</v>
          </cell>
          <cell r="F763">
            <v>11850.76</v>
          </cell>
          <cell r="G763">
            <v>0</v>
          </cell>
          <cell r="H763">
            <v>75</v>
          </cell>
          <cell r="I763">
            <v>0</v>
          </cell>
          <cell r="J763">
            <v>0</v>
          </cell>
          <cell r="K763">
            <v>0</v>
          </cell>
          <cell r="L763">
            <v>0</v>
          </cell>
          <cell r="M763">
            <v>0</v>
          </cell>
          <cell r="N763">
            <v>104874</v>
          </cell>
          <cell r="O763">
            <v>-104.87</v>
          </cell>
          <cell r="P763">
            <v>0</v>
          </cell>
          <cell r="Q763">
            <v>75</v>
          </cell>
          <cell r="R763">
            <v>0</v>
          </cell>
          <cell r="S763">
            <v>-7493.87</v>
          </cell>
          <cell r="T763">
            <v>0</v>
          </cell>
          <cell r="U763">
            <v>0</v>
          </cell>
          <cell r="V763">
            <v>4402.0200000000004</v>
          </cell>
          <cell r="W763">
            <v>11820.89</v>
          </cell>
        </row>
        <row r="764">
          <cell r="A764" t="str">
            <v>Toyota Motor Manufacturing, Indiana</v>
          </cell>
          <cell r="B764">
            <v>31</v>
          </cell>
          <cell r="C764">
            <v>37316</v>
          </cell>
          <cell r="D764">
            <v>37316</v>
          </cell>
          <cell r="E764">
            <v>96645</v>
          </cell>
          <cell r="F764">
            <v>10920.88</v>
          </cell>
          <cell r="G764">
            <v>0</v>
          </cell>
          <cell r="H764">
            <v>75</v>
          </cell>
          <cell r="I764">
            <v>0</v>
          </cell>
          <cell r="J764">
            <v>0</v>
          </cell>
          <cell r="K764">
            <v>0</v>
          </cell>
          <cell r="L764">
            <v>0</v>
          </cell>
          <cell r="M764">
            <v>0</v>
          </cell>
          <cell r="N764">
            <v>96645</v>
          </cell>
          <cell r="O764">
            <v>-96.64</v>
          </cell>
          <cell r="P764">
            <v>0</v>
          </cell>
          <cell r="Q764">
            <v>75</v>
          </cell>
          <cell r="R764">
            <v>0</v>
          </cell>
          <cell r="S764">
            <v>0</v>
          </cell>
          <cell r="T764">
            <v>0</v>
          </cell>
          <cell r="U764">
            <v>0</v>
          </cell>
          <cell r="V764">
            <v>10974.24</v>
          </cell>
          <cell r="W764">
            <v>10899.24</v>
          </cell>
        </row>
        <row r="765">
          <cell r="A765" t="str">
            <v>Toyota Motor Manufacturing, Indiana</v>
          </cell>
          <cell r="B765">
            <v>31</v>
          </cell>
          <cell r="C765">
            <v>37347</v>
          </cell>
          <cell r="D765">
            <v>37347</v>
          </cell>
          <cell r="E765">
            <v>79621</v>
          </cell>
          <cell r="F765">
            <v>8997.17</v>
          </cell>
          <cell r="G765">
            <v>0</v>
          </cell>
          <cell r="H765">
            <v>75</v>
          </cell>
          <cell r="I765">
            <v>0</v>
          </cell>
          <cell r="J765">
            <v>0</v>
          </cell>
          <cell r="K765">
            <v>0</v>
          </cell>
          <cell r="L765">
            <v>0</v>
          </cell>
          <cell r="M765">
            <v>0</v>
          </cell>
          <cell r="N765">
            <v>79621</v>
          </cell>
          <cell r="O765">
            <v>-79.62</v>
          </cell>
          <cell r="P765">
            <v>0</v>
          </cell>
          <cell r="Q765">
            <v>75</v>
          </cell>
          <cell r="R765">
            <v>0</v>
          </cell>
          <cell r="S765">
            <v>10974.24</v>
          </cell>
          <cell r="T765">
            <v>0</v>
          </cell>
          <cell r="U765">
            <v>0</v>
          </cell>
          <cell r="V765">
            <v>20041.79</v>
          </cell>
          <cell r="W765">
            <v>8992.5499999999993</v>
          </cell>
        </row>
        <row r="766">
          <cell r="A766" t="str">
            <v>Toyota Motor Manufacturing, Indiana</v>
          </cell>
          <cell r="B766">
            <v>31</v>
          </cell>
          <cell r="C766">
            <v>37377</v>
          </cell>
          <cell r="D766">
            <v>37377</v>
          </cell>
          <cell r="E766">
            <v>42320</v>
          </cell>
          <cell r="F766">
            <v>4782.16</v>
          </cell>
          <cell r="G766">
            <v>0</v>
          </cell>
          <cell r="H766">
            <v>75</v>
          </cell>
          <cell r="I766">
            <v>0</v>
          </cell>
          <cell r="J766">
            <v>0</v>
          </cell>
          <cell r="K766">
            <v>0</v>
          </cell>
          <cell r="L766">
            <v>0</v>
          </cell>
          <cell r="M766">
            <v>0</v>
          </cell>
          <cell r="N766">
            <v>0</v>
          </cell>
          <cell r="O766">
            <v>0</v>
          </cell>
          <cell r="P766">
            <v>0</v>
          </cell>
          <cell r="Q766">
            <v>75</v>
          </cell>
          <cell r="R766">
            <v>901.49</v>
          </cell>
          <cell r="S766">
            <v>36748.949999999997</v>
          </cell>
          <cell r="T766">
            <v>7273</v>
          </cell>
          <cell r="U766">
            <v>28582.89</v>
          </cell>
          <cell r="V766">
            <v>42582.6</v>
          </cell>
          <cell r="W766">
            <v>4857.16</v>
          </cell>
        </row>
        <row r="767">
          <cell r="A767" t="str">
            <v>Toyota Motor Manufacturing, Indiana</v>
          </cell>
          <cell r="B767">
            <v>31</v>
          </cell>
          <cell r="C767">
            <v>37408</v>
          </cell>
          <cell r="D767">
            <v>37408</v>
          </cell>
          <cell r="E767">
            <v>59729</v>
          </cell>
          <cell r="F767">
            <v>6749.38</v>
          </cell>
          <cell r="G767">
            <v>0</v>
          </cell>
          <cell r="H767">
            <v>75</v>
          </cell>
          <cell r="I767">
            <v>0</v>
          </cell>
          <cell r="J767">
            <v>0</v>
          </cell>
          <cell r="K767">
            <v>0</v>
          </cell>
          <cell r="L767">
            <v>0</v>
          </cell>
          <cell r="M767">
            <v>0</v>
          </cell>
          <cell r="N767">
            <v>0</v>
          </cell>
          <cell r="O767">
            <v>0</v>
          </cell>
          <cell r="P767">
            <v>0</v>
          </cell>
          <cell r="Q767">
            <v>75</v>
          </cell>
          <cell r="R767">
            <v>0</v>
          </cell>
          <cell r="S767">
            <v>33515.03</v>
          </cell>
          <cell r="T767">
            <v>0</v>
          </cell>
          <cell r="U767">
            <v>0</v>
          </cell>
          <cell r="V767">
            <v>40414.410000000003</v>
          </cell>
          <cell r="W767">
            <v>6824.38</v>
          </cell>
        </row>
        <row r="768">
          <cell r="A768" t="str">
            <v>Toyota Motor Manufacturing, Indiana</v>
          </cell>
          <cell r="B768">
            <v>31</v>
          </cell>
          <cell r="C768">
            <v>37438</v>
          </cell>
          <cell r="D768">
            <v>37438</v>
          </cell>
          <cell r="E768">
            <v>22716</v>
          </cell>
          <cell r="F768">
            <v>2566.91</v>
          </cell>
          <cell r="G768">
            <v>0</v>
          </cell>
          <cell r="H768">
            <v>75</v>
          </cell>
          <cell r="I768">
            <v>0</v>
          </cell>
          <cell r="J768">
            <v>0</v>
          </cell>
          <cell r="K768">
            <v>0</v>
          </cell>
          <cell r="L768">
            <v>0</v>
          </cell>
          <cell r="M768">
            <v>0</v>
          </cell>
          <cell r="N768">
            <v>0</v>
          </cell>
          <cell r="O768">
            <v>0</v>
          </cell>
          <cell r="P768">
            <v>0</v>
          </cell>
          <cell r="Q768">
            <v>75</v>
          </cell>
          <cell r="R768">
            <v>0</v>
          </cell>
          <cell r="S768">
            <v>33515.03</v>
          </cell>
          <cell r="T768">
            <v>0</v>
          </cell>
          <cell r="U768">
            <v>0</v>
          </cell>
          <cell r="V768">
            <v>36231.94</v>
          </cell>
          <cell r="W768">
            <v>2641.91</v>
          </cell>
        </row>
        <row r="769">
          <cell r="A769" t="str">
            <v>Toyota Motor Manufacturing, Indiana</v>
          </cell>
          <cell r="B769">
            <v>31</v>
          </cell>
          <cell r="C769">
            <v>37469</v>
          </cell>
          <cell r="D769">
            <v>37469</v>
          </cell>
          <cell r="E769">
            <v>28592</v>
          </cell>
          <cell r="F769">
            <v>3230.9</v>
          </cell>
          <cell r="G769">
            <v>0</v>
          </cell>
          <cell r="H769">
            <v>75</v>
          </cell>
          <cell r="I769">
            <v>0</v>
          </cell>
          <cell r="J769">
            <v>0</v>
          </cell>
          <cell r="K769">
            <v>0</v>
          </cell>
          <cell r="L769">
            <v>0</v>
          </cell>
          <cell r="M769">
            <v>0</v>
          </cell>
          <cell r="N769">
            <v>0</v>
          </cell>
          <cell r="O769">
            <v>0</v>
          </cell>
          <cell r="P769">
            <v>0</v>
          </cell>
          <cell r="Q769">
            <v>75</v>
          </cell>
          <cell r="R769">
            <v>0</v>
          </cell>
          <cell r="S769">
            <v>0</v>
          </cell>
          <cell r="T769">
            <v>0</v>
          </cell>
          <cell r="U769">
            <v>0</v>
          </cell>
          <cell r="V769">
            <v>3380.9</v>
          </cell>
          <cell r="W769">
            <v>3305.9</v>
          </cell>
        </row>
        <row r="770">
          <cell r="A770" t="str">
            <v>Toyota Motor Manufacturing, Indiana</v>
          </cell>
          <cell r="B770">
            <v>31</v>
          </cell>
          <cell r="C770">
            <v>37500</v>
          </cell>
          <cell r="D770">
            <v>37500</v>
          </cell>
          <cell r="E770">
            <v>54652</v>
          </cell>
          <cell r="F770">
            <v>6175.68</v>
          </cell>
          <cell r="G770">
            <v>0</v>
          </cell>
          <cell r="H770">
            <v>75</v>
          </cell>
          <cell r="I770">
            <v>0</v>
          </cell>
          <cell r="J770">
            <v>0</v>
          </cell>
          <cell r="K770">
            <v>0</v>
          </cell>
          <cell r="L770">
            <v>0</v>
          </cell>
          <cell r="M770">
            <v>0</v>
          </cell>
          <cell r="N770">
            <v>0</v>
          </cell>
          <cell r="O770">
            <v>0</v>
          </cell>
          <cell r="P770">
            <v>0</v>
          </cell>
          <cell r="Q770">
            <v>75</v>
          </cell>
          <cell r="R770">
            <v>0</v>
          </cell>
          <cell r="S770">
            <v>0</v>
          </cell>
          <cell r="T770">
            <v>0</v>
          </cell>
          <cell r="U770">
            <v>0</v>
          </cell>
          <cell r="V770">
            <v>6325.68</v>
          </cell>
          <cell r="W770">
            <v>6250.68</v>
          </cell>
        </row>
        <row r="771">
          <cell r="A771" t="str">
            <v>Toyota Motor Manufacturing, Indiana</v>
          </cell>
          <cell r="B771">
            <v>31</v>
          </cell>
          <cell r="C771">
            <v>37530</v>
          </cell>
          <cell r="D771">
            <v>37530</v>
          </cell>
          <cell r="E771">
            <v>105633</v>
          </cell>
          <cell r="F771">
            <v>11936.53</v>
          </cell>
          <cell r="G771">
            <v>0</v>
          </cell>
          <cell r="H771">
            <v>75</v>
          </cell>
          <cell r="I771">
            <v>0</v>
          </cell>
          <cell r="J771">
            <v>0</v>
          </cell>
          <cell r="K771">
            <v>0</v>
          </cell>
          <cell r="L771">
            <v>0</v>
          </cell>
          <cell r="M771">
            <v>0</v>
          </cell>
          <cell r="N771">
            <v>0</v>
          </cell>
          <cell r="O771">
            <v>0</v>
          </cell>
          <cell r="P771">
            <v>0</v>
          </cell>
          <cell r="Q771">
            <v>75</v>
          </cell>
          <cell r="R771">
            <v>0</v>
          </cell>
          <cell r="S771">
            <v>0</v>
          </cell>
          <cell r="T771">
            <v>0</v>
          </cell>
          <cell r="U771">
            <v>0</v>
          </cell>
          <cell r="V771">
            <v>12086.53</v>
          </cell>
          <cell r="W771">
            <v>12011.53</v>
          </cell>
        </row>
        <row r="772">
          <cell r="A772" t="str">
            <v>Toyota Motor Manufacturing, Indiana</v>
          </cell>
          <cell r="B772">
            <v>31</v>
          </cell>
          <cell r="C772">
            <v>37561</v>
          </cell>
          <cell r="D772">
            <v>37561</v>
          </cell>
          <cell r="E772">
            <v>141857</v>
          </cell>
          <cell r="F772">
            <v>16029.84</v>
          </cell>
          <cell r="G772">
            <v>0</v>
          </cell>
          <cell r="H772">
            <v>75</v>
          </cell>
          <cell r="I772">
            <v>0</v>
          </cell>
          <cell r="J772">
            <v>0</v>
          </cell>
          <cell r="K772">
            <v>0</v>
          </cell>
          <cell r="L772">
            <v>0</v>
          </cell>
          <cell r="M772">
            <v>0</v>
          </cell>
          <cell r="N772">
            <v>0</v>
          </cell>
          <cell r="O772">
            <v>0</v>
          </cell>
          <cell r="P772">
            <v>0</v>
          </cell>
          <cell r="Q772">
            <v>75</v>
          </cell>
          <cell r="R772">
            <v>0</v>
          </cell>
          <cell r="S772">
            <v>12086.53</v>
          </cell>
          <cell r="T772">
            <v>0</v>
          </cell>
          <cell r="U772">
            <v>0</v>
          </cell>
          <cell r="V772">
            <v>28266.370000000003</v>
          </cell>
          <cell r="W772">
            <v>16104.84</v>
          </cell>
        </row>
        <row r="773">
          <cell r="A773" t="str">
            <v>Toyota Motor Manufacturing, Indiana</v>
          </cell>
          <cell r="B773">
            <v>31</v>
          </cell>
          <cell r="C773">
            <v>37591</v>
          </cell>
          <cell r="D773">
            <v>37591</v>
          </cell>
          <cell r="E773">
            <v>158632</v>
          </cell>
          <cell r="F773">
            <v>17925.419999999998</v>
          </cell>
          <cell r="G773">
            <v>0</v>
          </cell>
          <cell r="H773">
            <v>75</v>
          </cell>
          <cell r="I773">
            <v>0</v>
          </cell>
          <cell r="J773">
            <v>0</v>
          </cell>
          <cell r="K773">
            <v>0</v>
          </cell>
          <cell r="L773">
            <v>0</v>
          </cell>
          <cell r="M773">
            <v>0</v>
          </cell>
          <cell r="N773">
            <v>0</v>
          </cell>
          <cell r="O773">
            <v>0</v>
          </cell>
          <cell r="P773">
            <v>0</v>
          </cell>
          <cell r="Q773">
            <v>75</v>
          </cell>
          <cell r="R773">
            <v>0</v>
          </cell>
          <cell r="S773">
            <v>0</v>
          </cell>
          <cell r="T773">
            <v>0</v>
          </cell>
          <cell r="U773">
            <v>0</v>
          </cell>
          <cell r="V773">
            <v>18075.419999999998</v>
          </cell>
          <cell r="W773">
            <v>18000.419999999998</v>
          </cell>
        </row>
        <row r="774">
          <cell r="A774" t="str">
            <v>A K Steel Corporation</v>
          </cell>
          <cell r="B774">
            <v>38</v>
          </cell>
          <cell r="C774">
            <v>37257</v>
          </cell>
          <cell r="D774">
            <v>37257</v>
          </cell>
          <cell r="E774">
            <v>284700</v>
          </cell>
          <cell r="F774">
            <v>26466.7</v>
          </cell>
          <cell r="G774">
            <v>0</v>
          </cell>
          <cell r="H774">
            <v>75</v>
          </cell>
          <cell r="I774">
            <v>0</v>
          </cell>
          <cell r="J774">
            <v>0</v>
          </cell>
          <cell r="K774">
            <v>0</v>
          </cell>
          <cell r="L774">
            <v>0</v>
          </cell>
          <cell r="M774">
            <v>0</v>
          </cell>
          <cell r="N774">
            <v>0</v>
          </cell>
          <cell r="O774">
            <v>0</v>
          </cell>
          <cell r="P774">
            <v>0</v>
          </cell>
          <cell r="Q774">
            <v>75</v>
          </cell>
          <cell r="R774">
            <v>3.75</v>
          </cell>
          <cell r="S774">
            <v>0</v>
          </cell>
          <cell r="T774">
            <v>0</v>
          </cell>
          <cell r="U774">
            <v>0</v>
          </cell>
          <cell r="V774">
            <v>26620.45</v>
          </cell>
          <cell r="W774">
            <v>26541.7</v>
          </cell>
        </row>
        <row r="775">
          <cell r="A775" t="str">
            <v>A K Steel Corporation</v>
          </cell>
          <cell r="B775">
            <v>38</v>
          </cell>
          <cell r="C775">
            <v>37288</v>
          </cell>
          <cell r="D775">
            <v>37288</v>
          </cell>
          <cell r="E775">
            <v>251550</v>
          </cell>
          <cell r="F775">
            <v>24444.55</v>
          </cell>
          <cell r="G775">
            <v>0</v>
          </cell>
          <cell r="H775">
            <v>75</v>
          </cell>
          <cell r="I775">
            <v>0</v>
          </cell>
          <cell r="J775">
            <v>0</v>
          </cell>
          <cell r="K775">
            <v>0</v>
          </cell>
          <cell r="L775">
            <v>0</v>
          </cell>
          <cell r="M775">
            <v>0</v>
          </cell>
          <cell r="N775">
            <v>251550</v>
          </cell>
          <cell r="O775">
            <v>-251.55</v>
          </cell>
          <cell r="P775">
            <v>0</v>
          </cell>
          <cell r="Q775">
            <v>75</v>
          </cell>
          <cell r="R775">
            <v>3.75</v>
          </cell>
          <cell r="S775">
            <v>0</v>
          </cell>
          <cell r="T775">
            <v>0</v>
          </cell>
          <cell r="U775">
            <v>0</v>
          </cell>
          <cell r="V775">
            <v>24346.75</v>
          </cell>
          <cell r="W775">
            <v>24268</v>
          </cell>
        </row>
        <row r="776">
          <cell r="A776" t="str">
            <v>A K Steel Corporation</v>
          </cell>
          <cell r="B776">
            <v>38</v>
          </cell>
          <cell r="C776">
            <v>37316</v>
          </cell>
          <cell r="D776">
            <v>37316</v>
          </cell>
          <cell r="E776">
            <v>288200</v>
          </cell>
          <cell r="F776">
            <v>26680.2</v>
          </cell>
          <cell r="G776">
            <v>0</v>
          </cell>
          <cell r="H776">
            <v>75</v>
          </cell>
          <cell r="I776">
            <v>0</v>
          </cell>
          <cell r="J776">
            <v>0</v>
          </cell>
          <cell r="K776">
            <v>0</v>
          </cell>
          <cell r="L776">
            <v>0</v>
          </cell>
          <cell r="M776">
            <v>0</v>
          </cell>
          <cell r="N776">
            <v>288200</v>
          </cell>
          <cell r="O776">
            <v>-288.2</v>
          </cell>
          <cell r="P776">
            <v>0</v>
          </cell>
          <cell r="Q776">
            <v>75</v>
          </cell>
          <cell r="R776">
            <v>3.75</v>
          </cell>
          <cell r="S776">
            <v>0</v>
          </cell>
          <cell r="T776">
            <v>0</v>
          </cell>
          <cell r="U776">
            <v>0</v>
          </cell>
          <cell r="V776">
            <v>26545.75</v>
          </cell>
          <cell r="W776">
            <v>26467</v>
          </cell>
        </row>
        <row r="777">
          <cell r="A777" t="str">
            <v>A K Steel Corporation</v>
          </cell>
          <cell r="B777">
            <v>38</v>
          </cell>
          <cell r="C777">
            <v>37347</v>
          </cell>
          <cell r="D777">
            <v>37347</v>
          </cell>
          <cell r="E777">
            <v>238955</v>
          </cell>
          <cell r="F777">
            <v>23676.26</v>
          </cell>
          <cell r="G777">
            <v>0</v>
          </cell>
          <cell r="H777">
            <v>75</v>
          </cell>
          <cell r="I777">
            <v>0</v>
          </cell>
          <cell r="J777">
            <v>0</v>
          </cell>
          <cell r="K777">
            <v>0</v>
          </cell>
          <cell r="L777">
            <v>0</v>
          </cell>
          <cell r="M777">
            <v>0</v>
          </cell>
          <cell r="N777">
            <v>238955</v>
          </cell>
          <cell r="O777">
            <v>-238.96</v>
          </cell>
          <cell r="P777">
            <v>0</v>
          </cell>
          <cell r="Q777">
            <v>75</v>
          </cell>
          <cell r="R777">
            <v>3.75</v>
          </cell>
          <cell r="S777">
            <v>0</v>
          </cell>
          <cell r="T777">
            <v>0</v>
          </cell>
          <cell r="U777">
            <v>0</v>
          </cell>
          <cell r="V777">
            <v>23591.05</v>
          </cell>
          <cell r="W777">
            <v>23512.3</v>
          </cell>
        </row>
        <row r="778">
          <cell r="A778" t="str">
            <v>A K Steel Corporation</v>
          </cell>
          <cell r="B778">
            <v>38</v>
          </cell>
          <cell r="C778">
            <v>37377</v>
          </cell>
          <cell r="D778">
            <v>37377</v>
          </cell>
          <cell r="E778">
            <v>243360</v>
          </cell>
          <cell r="F778">
            <v>23944.959999999999</v>
          </cell>
          <cell r="G778">
            <v>0</v>
          </cell>
          <cell r="H778">
            <v>75</v>
          </cell>
          <cell r="I778">
            <v>0</v>
          </cell>
          <cell r="J778">
            <v>0</v>
          </cell>
          <cell r="K778">
            <v>0</v>
          </cell>
          <cell r="L778">
            <v>0</v>
          </cell>
          <cell r="M778">
            <v>0</v>
          </cell>
          <cell r="N778">
            <v>0</v>
          </cell>
          <cell r="O778">
            <v>0</v>
          </cell>
          <cell r="P778">
            <v>0</v>
          </cell>
          <cell r="Q778">
            <v>75</v>
          </cell>
          <cell r="R778">
            <v>3.75</v>
          </cell>
          <cell r="S778">
            <v>23591.05</v>
          </cell>
          <cell r="T778">
            <v>0</v>
          </cell>
          <cell r="U778">
            <v>0</v>
          </cell>
          <cell r="V778">
            <v>47689.759999999995</v>
          </cell>
          <cell r="W778">
            <v>24019.96</v>
          </cell>
        </row>
        <row r="779">
          <cell r="A779" t="str">
            <v>A K Steel Corporation</v>
          </cell>
          <cell r="B779">
            <v>38</v>
          </cell>
          <cell r="C779">
            <v>37408</v>
          </cell>
          <cell r="D779">
            <v>37408</v>
          </cell>
          <cell r="E779">
            <v>213200</v>
          </cell>
          <cell r="F779">
            <v>22105.200000000001</v>
          </cell>
          <cell r="G779">
            <v>0</v>
          </cell>
          <cell r="H779">
            <v>75</v>
          </cell>
          <cell r="I779">
            <v>0</v>
          </cell>
          <cell r="J779">
            <v>0</v>
          </cell>
          <cell r="K779">
            <v>0</v>
          </cell>
          <cell r="L779">
            <v>0</v>
          </cell>
          <cell r="M779">
            <v>0</v>
          </cell>
          <cell r="N779">
            <v>0</v>
          </cell>
          <cell r="O779">
            <v>0</v>
          </cell>
          <cell r="P779">
            <v>0</v>
          </cell>
          <cell r="Q779">
            <v>75</v>
          </cell>
          <cell r="R779">
            <v>3.75</v>
          </cell>
          <cell r="S779">
            <v>0</v>
          </cell>
          <cell r="T779">
            <v>0</v>
          </cell>
          <cell r="U779">
            <v>0</v>
          </cell>
          <cell r="V779">
            <v>22258.95</v>
          </cell>
          <cell r="W779">
            <v>22180.2</v>
          </cell>
        </row>
        <row r="780">
          <cell r="A780" t="str">
            <v>A K Steel Corporation</v>
          </cell>
          <cell r="B780">
            <v>38</v>
          </cell>
          <cell r="C780">
            <v>37438</v>
          </cell>
          <cell r="D780">
            <v>37438</v>
          </cell>
          <cell r="E780">
            <v>211630</v>
          </cell>
          <cell r="F780">
            <v>22009.43</v>
          </cell>
          <cell r="G780">
            <v>0</v>
          </cell>
          <cell r="H780">
            <v>75</v>
          </cell>
          <cell r="I780">
            <v>0</v>
          </cell>
          <cell r="J780">
            <v>0</v>
          </cell>
          <cell r="K780">
            <v>0</v>
          </cell>
          <cell r="L780">
            <v>0</v>
          </cell>
          <cell r="M780">
            <v>0</v>
          </cell>
          <cell r="N780">
            <v>0</v>
          </cell>
          <cell r="O780">
            <v>0</v>
          </cell>
          <cell r="P780">
            <v>0</v>
          </cell>
          <cell r="Q780">
            <v>75</v>
          </cell>
          <cell r="R780">
            <v>3.75</v>
          </cell>
          <cell r="S780">
            <v>0</v>
          </cell>
          <cell r="T780">
            <v>0</v>
          </cell>
          <cell r="U780">
            <v>0</v>
          </cell>
          <cell r="V780">
            <v>22163.18</v>
          </cell>
          <cell r="W780">
            <v>22084.43</v>
          </cell>
        </row>
        <row r="781">
          <cell r="A781" t="str">
            <v>A K Steel Corporation</v>
          </cell>
          <cell r="B781">
            <v>38</v>
          </cell>
          <cell r="C781">
            <v>37469</v>
          </cell>
          <cell r="D781">
            <v>37469</v>
          </cell>
          <cell r="E781">
            <v>223700</v>
          </cell>
          <cell r="F781">
            <v>22745.7</v>
          </cell>
          <cell r="G781">
            <v>0</v>
          </cell>
          <cell r="H781">
            <v>75</v>
          </cell>
          <cell r="I781">
            <v>0</v>
          </cell>
          <cell r="J781">
            <v>0</v>
          </cell>
          <cell r="K781">
            <v>0</v>
          </cell>
          <cell r="L781">
            <v>0</v>
          </cell>
          <cell r="M781">
            <v>0</v>
          </cell>
          <cell r="N781">
            <v>0</v>
          </cell>
          <cell r="O781">
            <v>0</v>
          </cell>
          <cell r="P781">
            <v>0</v>
          </cell>
          <cell r="Q781">
            <v>75</v>
          </cell>
          <cell r="R781">
            <v>3.75</v>
          </cell>
          <cell r="S781">
            <v>0</v>
          </cell>
          <cell r="T781">
            <v>0</v>
          </cell>
          <cell r="U781">
            <v>0</v>
          </cell>
          <cell r="V781">
            <v>22899.45</v>
          </cell>
          <cell r="W781">
            <v>22820.7</v>
          </cell>
        </row>
        <row r="782">
          <cell r="A782" t="str">
            <v>A K Steel Corporation</v>
          </cell>
          <cell r="B782">
            <v>38</v>
          </cell>
          <cell r="C782">
            <v>37500</v>
          </cell>
          <cell r="D782">
            <v>37500</v>
          </cell>
          <cell r="E782">
            <v>225750</v>
          </cell>
          <cell r="F782">
            <v>22870.75</v>
          </cell>
          <cell r="G782">
            <v>0</v>
          </cell>
          <cell r="H782">
            <v>75</v>
          </cell>
          <cell r="I782">
            <v>0</v>
          </cell>
          <cell r="J782">
            <v>0</v>
          </cell>
          <cell r="K782">
            <v>0</v>
          </cell>
          <cell r="L782">
            <v>0</v>
          </cell>
          <cell r="M782">
            <v>0</v>
          </cell>
          <cell r="N782">
            <v>0</v>
          </cell>
          <cell r="O782">
            <v>0</v>
          </cell>
          <cell r="P782">
            <v>0</v>
          </cell>
          <cell r="Q782">
            <v>75</v>
          </cell>
          <cell r="R782">
            <v>3.75</v>
          </cell>
          <cell r="S782">
            <v>0</v>
          </cell>
          <cell r="T782">
            <v>0</v>
          </cell>
          <cell r="U782">
            <v>0</v>
          </cell>
          <cell r="V782">
            <v>23024.5</v>
          </cell>
          <cell r="W782">
            <v>22945.75</v>
          </cell>
        </row>
        <row r="783">
          <cell r="A783" t="str">
            <v>A K Steel Corporation</v>
          </cell>
          <cell r="B783">
            <v>38</v>
          </cell>
          <cell r="C783">
            <v>37530</v>
          </cell>
          <cell r="D783">
            <v>37530</v>
          </cell>
          <cell r="E783">
            <v>237000</v>
          </cell>
          <cell r="F783">
            <v>23557</v>
          </cell>
          <cell r="G783">
            <v>0</v>
          </cell>
          <cell r="H783">
            <v>75</v>
          </cell>
          <cell r="I783">
            <v>0</v>
          </cell>
          <cell r="J783">
            <v>0</v>
          </cell>
          <cell r="K783">
            <v>0</v>
          </cell>
          <cell r="L783">
            <v>0</v>
          </cell>
          <cell r="M783">
            <v>0</v>
          </cell>
          <cell r="N783">
            <v>0</v>
          </cell>
          <cell r="O783">
            <v>0</v>
          </cell>
          <cell r="P783">
            <v>0</v>
          </cell>
          <cell r="Q783">
            <v>75</v>
          </cell>
          <cell r="R783">
            <v>3.75</v>
          </cell>
          <cell r="S783">
            <v>0</v>
          </cell>
          <cell r="T783">
            <v>0</v>
          </cell>
          <cell r="U783">
            <v>0</v>
          </cell>
          <cell r="V783">
            <v>23710.75</v>
          </cell>
          <cell r="W783">
            <v>23632</v>
          </cell>
        </row>
        <row r="784">
          <cell r="A784" t="str">
            <v>A K Steel Corporation</v>
          </cell>
          <cell r="B784">
            <v>38</v>
          </cell>
          <cell r="C784">
            <v>37561</v>
          </cell>
          <cell r="D784">
            <v>37561</v>
          </cell>
          <cell r="E784">
            <v>269874</v>
          </cell>
          <cell r="F784">
            <v>25562.31</v>
          </cell>
          <cell r="G784">
            <v>0</v>
          </cell>
          <cell r="H784">
            <v>75</v>
          </cell>
          <cell r="I784">
            <v>0</v>
          </cell>
          <cell r="J784">
            <v>0</v>
          </cell>
          <cell r="K784">
            <v>0</v>
          </cell>
          <cell r="L784">
            <v>0</v>
          </cell>
          <cell r="M784">
            <v>0</v>
          </cell>
          <cell r="N784">
            <v>0</v>
          </cell>
          <cell r="O784">
            <v>0</v>
          </cell>
          <cell r="P784">
            <v>0</v>
          </cell>
          <cell r="Q784">
            <v>75</v>
          </cell>
          <cell r="R784">
            <v>3.75</v>
          </cell>
          <cell r="S784">
            <v>0</v>
          </cell>
          <cell r="T784">
            <v>0</v>
          </cell>
          <cell r="U784">
            <v>0</v>
          </cell>
          <cell r="V784">
            <v>25716.06</v>
          </cell>
          <cell r="W784">
            <v>25637.31</v>
          </cell>
        </row>
        <row r="785">
          <cell r="A785" t="str">
            <v>A K Steel Corporation</v>
          </cell>
          <cell r="B785">
            <v>38</v>
          </cell>
          <cell r="C785">
            <v>37591</v>
          </cell>
          <cell r="D785">
            <v>37591</v>
          </cell>
          <cell r="E785">
            <v>299150</v>
          </cell>
          <cell r="F785">
            <v>27348.15</v>
          </cell>
          <cell r="G785">
            <v>0</v>
          </cell>
          <cell r="H785">
            <v>75</v>
          </cell>
          <cell r="I785">
            <v>0</v>
          </cell>
          <cell r="J785">
            <v>0</v>
          </cell>
          <cell r="K785">
            <v>0</v>
          </cell>
          <cell r="L785">
            <v>0</v>
          </cell>
          <cell r="M785">
            <v>0</v>
          </cell>
          <cell r="N785">
            <v>0</v>
          </cell>
          <cell r="O785">
            <v>0</v>
          </cell>
          <cell r="P785">
            <v>0</v>
          </cell>
          <cell r="Q785">
            <v>75</v>
          </cell>
          <cell r="R785">
            <v>4.5</v>
          </cell>
          <cell r="S785">
            <v>0</v>
          </cell>
          <cell r="T785">
            <v>0</v>
          </cell>
          <cell r="U785">
            <v>0</v>
          </cell>
          <cell r="V785">
            <v>27502.65</v>
          </cell>
          <cell r="W785">
            <v>27423.15</v>
          </cell>
        </row>
        <row r="786">
          <cell r="A786" t="str">
            <v>GE</v>
          </cell>
          <cell r="B786">
            <v>65</v>
          </cell>
          <cell r="C786">
            <v>37257</v>
          </cell>
          <cell r="D786">
            <v>37257</v>
          </cell>
          <cell r="E786">
            <v>609487</v>
          </cell>
          <cell r="F786">
            <v>40569.99</v>
          </cell>
          <cell r="G786">
            <v>0</v>
          </cell>
          <cell r="H786">
            <v>75</v>
          </cell>
          <cell r="I786">
            <v>0</v>
          </cell>
          <cell r="J786">
            <v>0</v>
          </cell>
          <cell r="K786">
            <v>0</v>
          </cell>
          <cell r="L786">
            <v>0</v>
          </cell>
          <cell r="M786">
            <v>0</v>
          </cell>
          <cell r="N786">
            <v>0</v>
          </cell>
          <cell r="O786">
            <v>0</v>
          </cell>
          <cell r="P786">
            <v>2995</v>
          </cell>
          <cell r="Q786">
            <v>75</v>
          </cell>
          <cell r="R786">
            <v>0</v>
          </cell>
          <cell r="S786">
            <v>0</v>
          </cell>
          <cell r="T786">
            <v>0</v>
          </cell>
          <cell r="U786">
            <v>0</v>
          </cell>
          <cell r="V786">
            <v>43714.99</v>
          </cell>
          <cell r="W786">
            <v>40644.99</v>
          </cell>
        </row>
        <row r="787">
          <cell r="A787" t="str">
            <v>GE</v>
          </cell>
          <cell r="B787">
            <v>65</v>
          </cell>
          <cell r="C787">
            <v>37288</v>
          </cell>
          <cell r="D787">
            <v>37288</v>
          </cell>
          <cell r="E787">
            <v>524992</v>
          </cell>
          <cell r="F787">
            <v>37274.69</v>
          </cell>
          <cell r="G787">
            <v>0</v>
          </cell>
          <cell r="H787">
            <v>75</v>
          </cell>
          <cell r="I787">
            <v>0</v>
          </cell>
          <cell r="J787">
            <v>0</v>
          </cell>
          <cell r="K787">
            <v>0</v>
          </cell>
          <cell r="L787">
            <v>0</v>
          </cell>
          <cell r="M787">
            <v>0</v>
          </cell>
          <cell r="N787">
            <v>524992</v>
          </cell>
          <cell r="O787">
            <v>-524.99</v>
          </cell>
          <cell r="P787">
            <v>2995</v>
          </cell>
          <cell r="Q787">
            <v>75</v>
          </cell>
          <cell r="R787">
            <v>0</v>
          </cell>
          <cell r="S787">
            <v>0</v>
          </cell>
          <cell r="T787">
            <v>0</v>
          </cell>
          <cell r="U787">
            <v>0</v>
          </cell>
          <cell r="V787">
            <v>39894.699999999997</v>
          </cell>
          <cell r="W787">
            <v>36824.699999999997</v>
          </cell>
        </row>
        <row r="788">
          <cell r="A788" t="str">
            <v>GE</v>
          </cell>
          <cell r="B788">
            <v>65</v>
          </cell>
          <cell r="C788">
            <v>37316</v>
          </cell>
          <cell r="D788">
            <v>37316</v>
          </cell>
          <cell r="E788">
            <v>389987</v>
          </cell>
          <cell r="F788">
            <v>32009.49</v>
          </cell>
          <cell r="G788">
            <v>0</v>
          </cell>
          <cell r="H788">
            <v>75</v>
          </cell>
          <cell r="I788">
            <v>0</v>
          </cell>
          <cell r="J788">
            <v>0</v>
          </cell>
          <cell r="K788">
            <v>0</v>
          </cell>
          <cell r="L788">
            <v>0</v>
          </cell>
          <cell r="M788">
            <v>0</v>
          </cell>
          <cell r="N788">
            <v>389987</v>
          </cell>
          <cell r="O788">
            <v>-389.99</v>
          </cell>
          <cell r="P788">
            <v>2995</v>
          </cell>
          <cell r="Q788">
            <v>75</v>
          </cell>
          <cell r="R788">
            <v>0</v>
          </cell>
          <cell r="S788">
            <v>0</v>
          </cell>
          <cell r="T788">
            <v>0</v>
          </cell>
          <cell r="U788">
            <v>0</v>
          </cell>
          <cell r="V788">
            <v>34764.5</v>
          </cell>
          <cell r="W788">
            <v>31694.5</v>
          </cell>
        </row>
        <row r="789">
          <cell r="A789" t="str">
            <v>GE</v>
          </cell>
          <cell r="B789">
            <v>65</v>
          </cell>
          <cell r="C789">
            <v>37347</v>
          </cell>
          <cell r="D789">
            <v>37347</v>
          </cell>
          <cell r="E789">
            <v>441000</v>
          </cell>
          <cell r="F789">
            <v>33999</v>
          </cell>
          <cell r="G789">
            <v>0</v>
          </cell>
          <cell r="H789">
            <v>75</v>
          </cell>
          <cell r="I789">
            <v>0</v>
          </cell>
          <cell r="J789">
            <v>0</v>
          </cell>
          <cell r="K789">
            <v>0</v>
          </cell>
          <cell r="L789">
            <v>0</v>
          </cell>
          <cell r="M789">
            <v>0</v>
          </cell>
          <cell r="N789">
            <v>441000</v>
          </cell>
          <cell r="O789">
            <v>-441</v>
          </cell>
          <cell r="P789">
            <v>2995</v>
          </cell>
          <cell r="Q789">
            <v>75</v>
          </cell>
          <cell r="R789">
            <v>0</v>
          </cell>
          <cell r="S789">
            <v>0</v>
          </cell>
          <cell r="T789">
            <v>0</v>
          </cell>
          <cell r="U789">
            <v>0</v>
          </cell>
          <cell r="V789">
            <v>36703</v>
          </cell>
          <cell r="W789">
            <v>33633</v>
          </cell>
        </row>
        <row r="790">
          <cell r="A790" t="str">
            <v>GE</v>
          </cell>
          <cell r="B790">
            <v>65</v>
          </cell>
          <cell r="C790">
            <v>37377</v>
          </cell>
          <cell r="D790">
            <v>37377</v>
          </cell>
          <cell r="E790">
            <v>468000</v>
          </cell>
          <cell r="F790">
            <v>35052</v>
          </cell>
          <cell r="G790">
            <v>0</v>
          </cell>
          <cell r="H790">
            <v>75</v>
          </cell>
          <cell r="I790">
            <v>0</v>
          </cell>
          <cell r="J790">
            <v>0</v>
          </cell>
          <cell r="K790">
            <v>0</v>
          </cell>
          <cell r="L790">
            <v>0</v>
          </cell>
          <cell r="M790">
            <v>0</v>
          </cell>
          <cell r="N790">
            <v>0</v>
          </cell>
          <cell r="O790">
            <v>0</v>
          </cell>
          <cell r="P790">
            <v>2995</v>
          </cell>
          <cell r="Q790">
            <v>75</v>
          </cell>
          <cell r="R790">
            <v>0</v>
          </cell>
          <cell r="S790">
            <v>0</v>
          </cell>
          <cell r="T790">
            <v>0</v>
          </cell>
          <cell r="U790">
            <v>0</v>
          </cell>
          <cell r="V790">
            <v>38197</v>
          </cell>
          <cell r="W790">
            <v>35127</v>
          </cell>
        </row>
        <row r="791">
          <cell r="A791" t="str">
            <v>GE</v>
          </cell>
          <cell r="B791">
            <v>65</v>
          </cell>
          <cell r="C791">
            <v>37408</v>
          </cell>
          <cell r="D791">
            <v>37408</v>
          </cell>
          <cell r="E791">
            <v>294000</v>
          </cell>
          <cell r="F791">
            <v>27034</v>
          </cell>
          <cell r="G791">
            <v>0</v>
          </cell>
          <cell r="H791">
            <v>75</v>
          </cell>
          <cell r="I791">
            <v>0</v>
          </cell>
          <cell r="J791">
            <v>0</v>
          </cell>
          <cell r="K791">
            <v>0</v>
          </cell>
          <cell r="L791">
            <v>0</v>
          </cell>
          <cell r="M791">
            <v>0</v>
          </cell>
          <cell r="N791">
            <v>0</v>
          </cell>
          <cell r="O791">
            <v>0</v>
          </cell>
          <cell r="P791">
            <v>8572.5</v>
          </cell>
          <cell r="Q791">
            <v>75</v>
          </cell>
          <cell r="R791">
            <v>0</v>
          </cell>
          <cell r="S791">
            <v>0</v>
          </cell>
          <cell r="T791">
            <v>0</v>
          </cell>
          <cell r="U791">
            <v>0</v>
          </cell>
          <cell r="V791">
            <v>35756.5</v>
          </cell>
          <cell r="W791">
            <v>27109</v>
          </cell>
        </row>
        <row r="792">
          <cell r="A792" t="str">
            <v>GE</v>
          </cell>
          <cell r="B792">
            <v>65</v>
          </cell>
          <cell r="C792">
            <v>37438</v>
          </cell>
          <cell r="D792">
            <v>37438</v>
          </cell>
          <cell r="E792">
            <v>310000</v>
          </cell>
          <cell r="F792">
            <v>28010</v>
          </cell>
          <cell r="G792">
            <v>0</v>
          </cell>
          <cell r="H792">
            <v>75</v>
          </cell>
          <cell r="I792">
            <v>0</v>
          </cell>
          <cell r="J792">
            <v>0</v>
          </cell>
          <cell r="K792">
            <v>0</v>
          </cell>
          <cell r="L792">
            <v>0</v>
          </cell>
          <cell r="M792">
            <v>0</v>
          </cell>
          <cell r="N792">
            <v>0</v>
          </cell>
          <cell r="O792">
            <v>0</v>
          </cell>
          <cell r="P792">
            <v>3800</v>
          </cell>
          <cell r="Q792">
            <v>75</v>
          </cell>
          <cell r="R792">
            <v>0</v>
          </cell>
          <cell r="S792">
            <v>0</v>
          </cell>
          <cell r="T792">
            <v>0</v>
          </cell>
          <cell r="U792">
            <v>0</v>
          </cell>
          <cell r="V792">
            <v>31960</v>
          </cell>
          <cell r="W792">
            <v>28085</v>
          </cell>
        </row>
        <row r="793">
          <cell r="A793" t="str">
            <v>GE</v>
          </cell>
          <cell r="B793">
            <v>65</v>
          </cell>
          <cell r="C793">
            <v>37469</v>
          </cell>
          <cell r="D793">
            <v>37469</v>
          </cell>
          <cell r="E793">
            <v>139888</v>
          </cell>
          <cell r="F793">
            <v>15807.34</v>
          </cell>
          <cell r="G793">
            <v>0</v>
          </cell>
          <cell r="H793">
            <v>75</v>
          </cell>
          <cell r="I793">
            <v>0</v>
          </cell>
          <cell r="J793">
            <v>0</v>
          </cell>
          <cell r="K793">
            <v>0</v>
          </cell>
          <cell r="L793">
            <v>0</v>
          </cell>
          <cell r="M793">
            <v>0</v>
          </cell>
          <cell r="N793">
            <v>0</v>
          </cell>
          <cell r="O793">
            <v>0</v>
          </cell>
          <cell r="P793">
            <v>3415</v>
          </cell>
          <cell r="Q793">
            <v>75</v>
          </cell>
          <cell r="R793">
            <v>0</v>
          </cell>
          <cell r="S793">
            <v>0</v>
          </cell>
          <cell r="T793">
            <v>0</v>
          </cell>
          <cell r="U793">
            <v>0</v>
          </cell>
          <cell r="V793">
            <v>19372.34</v>
          </cell>
          <cell r="W793">
            <v>15882.34</v>
          </cell>
        </row>
        <row r="794">
          <cell r="A794" t="str">
            <v>GE</v>
          </cell>
          <cell r="B794">
            <v>65</v>
          </cell>
          <cell r="C794">
            <v>37500</v>
          </cell>
          <cell r="D794">
            <v>37500</v>
          </cell>
          <cell r="E794">
            <v>292010</v>
          </cell>
          <cell r="F794">
            <v>26912.61</v>
          </cell>
          <cell r="G794">
            <v>0</v>
          </cell>
          <cell r="H794">
            <v>75</v>
          </cell>
          <cell r="I794">
            <v>0</v>
          </cell>
          <cell r="J794">
            <v>0</v>
          </cell>
          <cell r="K794">
            <v>0</v>
          </cell>
          <cell r="L794">
            <v>0</v>
          </cell>
          <cell r="M794">
            <v>0</v>
          </cell>
          <cell r="N794">
            <v>0</v>
          </cell>
          <cell r="O794">
            <v>0</v>
          </cell>
          <cell r="P794">
            <v>3012.5</v>
          </cell>
          <cell r="Q794">
            <v>75</v>
          </cell>
          <cell r="R794">
            <v>0</v>
          </cell>
          <cell r="S794">
            <v>0</v>
          </cell>
          <cell r="T794">
            <v>0</v>
          </cell>
          <cell r="U794">
            <v>0</v>
          </cell>
          <cell r="V794">
            <v>30075.11</v>
          </cell>
          <cell r="W794">
            <v>26987.61</v>
          </cell>
        </row>
        <row r="795">
          <cell r="A795" t="str">
            <v>GE</v>
          </cell>
          <cell r="B795">
            <v>65</v>
          </cell>
          <cell r="C795">
            <v>37530</v>
          </cell>
          <cell r="D795">
            <v>37530</v>
          </cell>
          <cell r="E795">
            <v>355000</v>
          </cell>
          <cell r="F795">
            <v>30645</v>
          </cell>
          <cell r="G795">
            <v>0</v>
          </cell>
          <cell r="H795">
            <v>75</v>
          </cell>
          <cell r="I795">
            <v>0</v>
          </cell>
          <cell r="J795">
            <v>0</v>
          </cell>
          <cell r="K795">
            <v>0</v>
          </cell>
          <cell r="L795">
            <v>0</v>
          </cell>
          <cell r="M795">
            <v>0</v>
          </cell>
          <cell r="N795">
            <v>0</v>
          </cell>
          <cell r="O795">
            <v>0</v>
          </cell>
          <cell r="P795">
            <v>2995</v>
          </cell>
          <cell r="Q795">
            <v>75</v>
          </cell>
          <cell r="R795">
            <v>0</v>
          </cell>
          <cell r="S795">
            <v>0</v>
          </cell>
          <cell r="T795">
            <v>0</v>
          </cell>
          <cell r="U795">
            <v>0</v>
          </cell>
          <cell r="V795">
            <v>33790</v>
          </cell>
          <cell r="W795">
            <v>30720</v>
          </cell>
        </row>
        <row r="796">
          <cell r="A796" t="str">
            <v>GE</v>
          </cell>
          <cell r="B796">
            <v>65</v>
          </cell>
          <cell r="C796">
            <v>37561</v>
          </cell>
          <cell r="D796">
            <v>37561</v>
          </cell>
          <cell r="E796">
            <v>400450</v>
          </cell>
          <cell r="F796">
            <v>32417.55</v>
          </cell>
          <cell r="G796">
            <v>0</v>
          </cell>
          <cell r="H796">
            <v>75</v>
          </cell>
          <cell r="I796">
            <v>0</v>
          </cell>
          <cell r="J796">
            <v>0</v>
          </cell>
          <cell r="K796">
            <v>0</v>
          </cell>
          <cell r="L796">
            <v>0</v>
          </cell>
          <cell r="M796">
            <v>0</v>
          </cell>
          <cell r="N796">
            <v>0</v>
          </cell>
          <cell r="O796">
            <v>0</v>
          </cell>
          <cell r="P796">
            <v>2995</v>
          </cell>
          <cell r="Q796">
            <v>75</v>
          </cell>
          <cell r="R796">
            <v>0</v>
          </cell>
          <cell r="S796">
            <v>0</v>
          </cell>
          <cell r="T796">
            <v>0</v>
          </cell>
          <cell r="U796">
            <v>0</v>
          </cell>
          <cell r="V796">
            <v>35562.550000000003</v>
          </cell>
          <cell r="W796">
            <v>32492.55</v>
          </cell>
        </row>
        <row r="797">
          <cell r="A797" t="str">
            <v>GE</v>
          </cell>
          <cell r="B797">
            <v>65</v>
          </cell>
          <cell r="C797">
            <v>37591</v>
          </cell>
          <cell r="D797">
            <v>37591</v>
          </cell>
          <cell r="E797">
            <v>448000</v>
          </cell>
          <cell r="F797">
            <v>34272</v>
          </cell>
          <cell r="G797">
            <v>0</v>
          </cell>
          <cell r="H797">
            <v>75</v>
          </cell>
          <cell r="I797">
            <v>0</v>
          </cell>
          <cell r="J797">
            <v>0</v>
          </cell>
          <cell r="K797">
            <v>0</v>
          </cell>
          <cell r="L797">
            <v>0</v>
          </cell>
          <cell r="M797">
            <v>0</v>
          </cell>
          <cell r="N797">
            <v>0</v>
          </cell>
          <cell r="O797">
            <v>0</v>
          </cell>
          <cell r="P797">
            <v>2995</v>
          </cell>
          <cell r="Q797">
            <v>75</v>
          </cell>
          <cell r="R797">
            <v>0</v>
          </cell>
          <cell r="S797">
            <v>0</v>
          </cell>
          <cell r="T797">
            <v>0</v>
          </cell>
          <cell r="U797">
            <v>0</v>
          </cell>
          <cell r="V797">
            <v>37417</v>
          </cell>
          <cell r="W797">
            <v>34347</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th D-Mod"/>
      <sheetName val="North D-Mod"/>
      <sheetName val="Support"/>
      <sheetName val="DB"/>
      <sheetName val="Engineer"/>
      <sheetName val="Pivot"/>
    </sheetNames>
    <sheetDataSet>
      <sheetData sheetId="0"/>
      <sheetData sheetId="1"/>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th D-Mod"/>
      <sheetName val="North D-Mod"/>
      <sheetName val="Support"/>
      <sheetName val="DB"/>
      <sheetName val="Engineer"/>
      <sheetName val="Pivot"/>
    </sheetNames>
    <sheetDataSet>
      <sheetData sheetId="0"/>
      <sheetData sheetId="1"/>
      <sheetData sheetId="2"/>
      <sheetData sheetId="3"/>
      <sheetData sheetId="4"/>
      <sheetData sheetId="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ase Optimization"/>
      <sheetName val="Chart1"/>
      <sheetName val="Chart2"/>
      <sheetName val="Chart Data"/>
      <sheetName val="FGD"/>
      <sheetName val="O&amp;M"/>
      <sheetName val="ICchar_w_e"/>
      <sheetName val="SysLdchar_w_e"/>
      <sheetName val="SysLd_w_e"/>
      <sheetName val="SysLdchart_wo_e"/>
      <sheetName val="ICchar_wo_e"/>
      <sheetName val="SysLd_no_e"/>
    </sheetNames>
    <sheetDataSet>
      <sheetData sheetId="0"/>
      <sheetData sheetId="1" refreshError="1"/>
      <sheetData sheetId="2" refreshError="1"/>
      <sheetData sheetId="3"/>
      <sheetData sheetId="4"/>
      <sheetData sheetId="5"/>
      <sheetData sheetId="6" refreshError="1"/>
      <sheetData sheetId="7" refreshError="1"/>
      <sheetData sheetId="8"/>
      <sheetData sheetId="9" refreshError="1"/>
      <sheetData sheetId="10" refreshError="1"/>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stmt"/>
      <sheetName val="elec inc statement"/>
      <sheetName val="gas inc statement"/>
      <sheetName val="consol inc stmt"/>
      <sheetName val="MTD OUTPUT"/>
      <sheetName val="YTD OUTPUT"/>
      <sheetName val="12 Month Rolling"/>
      <sheetName val="2001 Income Statement"/>
      <sheetName val="2006 ACTUALS"/>
      <sheetName val="2005 ACTUALS"/>
      <sheetName val="2004 ACTUALS"/>
      <sheetName val="Variance to budget"/>
      <sheetName val="Variance to pri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Workflow"/>
      <sheetName val="DailyPricing"/>
      <sheetName val="Gas Price History"/>
      <sheetName val="EA Price History"/>
      <sheetName val="Steam IC Cost Chart"/>
      <sheetName val="CT IC Cost Chart"/>
      <sheetName val="Hourly Pricing"/>
      <sheetName val="Unit Cost Tables"/>
      <sheetName val="Base Case Optimization"/>
      <sheetName val="Change Case Optimization"/>
      <sheetName val="ETRM Query"/>
      <sheetName val="Load Data"/>
    </sheetNames>
    <sheetDataSet>
      <sheetData sheetId="0" refreshError="1"/>
      <sheetData sheetId="1" refreshError="1"/>
      <sheetData sheetId="2" refreshError="1"/>
      <sheetData sheetId="3"/>
      <sheetData sheetId="4"/>
      <sheetData sheetId="5" refreshError="1"/>
      <sheetData sheetId="6" refreshError="1"/>
      <sheetData sheetId="7">
        <row r="15">
          <cell r="D15">
            <v>313</v>
          </cell>
          <cell r="E15">
            <v>156.5</v>
          </cell>
        </row>
      </sheetData>
      <sheetData sheetId="8" refreshError="1"/>
      <sheetData sheetId="9" refreshError="1"/>
      <sheetData sheetId="10" refreshError="1"/>
      <sheetData sheetId="11" refreshError="1"/>
      <sheetData sheetId="12" refreshError="1"/>
    </sheetDataSet>
  </externalBook>
</externalLink>
</file>

<file path=xl/namedSheetViews/namedSheetView1.xml><?xml version="1.0" encoding="utf-8"?>
<namedSheetViews xmlns="http://schemas.microsoft.com/office/spreadsheetml/2019/namedsheetviews" xmlns:x="http://schemas.openxmlformats.org/spreadsheetml/2006/main">
  <namedSheetView name="View1" id="{41FC4AD5-82FA-4F5D-864B-B316419C83E9}"/>
</namedSheetViews>
</file>

<file path=xl/namedSheetViews/namedSheetView2.xml><?xml version="1.0" encoding="utf-8"?>
<namedSheetViews xmlns="http://schemas.microsoft.com/office/spreadsheetml/2019/namedsheetviews" xmlns:x="http://schemas.openxmlformats.org/spreadsheetml/2006/main">
  <namedSheetView name="View1" id="{D6E68B56-D613-4A8C-AD92-000F03D10055}"/>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microsoft.com/office/2019/04/relationships/namedSheetView" Target="../namedSheetViews/namedSheetView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A9BE5-7288-4422-8B97-69717E4176E7}">
  <dimension ref="A4:C9"/>
  <sheetViews>
    <sheetView tabSelected="1" workbookViewId="0">
      <selection activeCell="A9" sqref="A9"/>
    </sheetView>
  </sheetViews>
  <sheetFormatPr defaultRowHeight="15" x14ac:dyDescent="0.25"/>
  <sheetData>
    <row r="4" spans="1:3" x14ac:dyDescent="0.25">
      <c r="C4" t="s">
        <v>0</v>
      </c>
    </row>
    <row r="5" spans="1:3" x14ac:dyDescent="0.25">
      <c r="C5" t="s">
        <v>3533</v>
      </c>
    </row>
    <row r="6" spans="1:3" x14ac:dyDescent="0.25">
      <c r="C6" t="s">
        <v>1</v>
      </c>
    </row>
    <row r="7" spans="1:3" x14ac:dyDescent="0.25">
      <c r="C7" t="s">
        <v>2</v>
      </c>
    </row>
    <row r="9" spans="1:3" ht="15.75" x14ac:dyDescent="0.25">
      <c r="A9" s="243"/>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FA896-2232-48B8-9E89-4B91E20AABA0}">
  <sheetPr codeName="Sheet2">
    <pageSetUpPr fitToPage="1"/>
  </sheetPr>
  <dimension ref="A1:Q19"/>
  <sheetViews>
    <sheetView view="pageBreakPreview" zoomScale="110" zoomScaleNormal="90" zoomScaleSheetLayoutView="110" zoomScalePageLayoutView="90" workbookViewId="0">
      <selection sqref="A1:G1"/>
    </sheetView>
  </sheetViews>
  <sheetFormatPr defaultColWidth="9.140625" defaultRowHeight="12.75" x14ac:dyDescent="0.2"/>
  <cols>
    <col min="1" max="1" width="25.140625" style="76" bestFit="1" customWidth="1"/>
    <col min="2" max="7" width="14.7109375" style="76" bestFit="1" customWidth="1"/>
    <col min="8" max="8" width="13.28515625" style="76" bestFit="1" customWidth="1"/>
    <col min="9" max="9" width="13.42578125" style="76" bestFit="1" customWidth="1"/>
    <col min="10" max="10" width="13.28515625" style="76" bestFit="1" customWidth="1"/>
    <col min="11" max="11" width="8.28515625" style="76" bestFit="1" customWidth="1"/>
    <col min="12" max="13" width="7.28515625" style="76" bestFit="1" customWidth="1"/>
    <col min="14" max="17" width="8.28515625" style="76" bestFit="1" customWidth="1"/>
    <col min="18" max="16384" width="9.140625" style="76"/>
  </cols>
  <sheetData>
    <row r="1" spans="1:17" ht="18" x14ac:dyDescent="0.25">
      <c r="A1" s="232" t="s">
        <v>1</v>
      </c>
      <c r="B1" s="232"/>
      <c r="C1" s="232"/>
      <c r="D1" s="232"/>
      <c r="E1" s="232"/>
      <c r="F1" s="232"/>
      <c r="G1" s="232"/>
    </row>
    <row r="2" spans="1:17" ht="17.25" customHeight="1" x14ac:dyDescent="0.25">
      <c r="A2" s="232" t="s">
        <v>3</v>
      </c>
      <c r="B2" s="232"/>
      <c r="C2" s="232"/>
      <c r="D2" s="232"/>
      <c r="E2" s="232"/>
      <c r="F2" s="232"/>
      <c r="G2" s="232"/>
    </row>
    <row r="4" spans="1:17" x14ac:dyDescent="0.2">
      <c r="A4" s="77"/>
    </row>
    <row r="5" spans="1:17" ht="15" x14ac:dyDescent="0.2">
      <c r="A5" s="89" t="s">
        <v>4</v>
      </c>
      <c r="B5" s="78">
        <v>2022</v>
      </c>
      <c r="C5" s="78">
        <v>2023</v>
      </c>
      <c r="D5" s="78">
        <v>2024</v>
      </c>
      <c r="E5" s="78">
        <v>2025</v>
      </c>
      <c r="F5" s="78">
        <v>2026</v>
      </c>
      <c r="G5" s="78" t="s">
        <v>5</v>
      </c>
      <c r="J5" s="79"/>
      <c r="K5" s="79"/>
    </row>
    <row r="6" spans="1:17" x14ac:dyDescent="0.2">
      <c r="A6" s="80" t="s">
        <v>6</v>
      </c>
      <c r="B6" s="81">
        <v>69443993.210000023</v>
      </c>
      <c r="C6" s="81">
        <v>68555805.808640003</v>
      </c>
      <c r="D6" s="81">
        <v>67082386.407423973</v>
      </c>
      <c r="E6" s="81">
        <v>28050362.690699264</v>
      </c>
      <c r="F6" s="81">
        <v>0</v>
      </c>
      <c r="G6" s="81">
        <f>SUM(B6:F6)</f>
        <v>233132548.11676329</v>
      </c>
      <c r="H6" s="82"/>
      <c r="I6" s="82"/>
      <c r="J6" s="83"/>
      <c r="K6" s="83"/>
    </row>
    <row r="7" spans="1:17" x14ac:dyDescent="0.2">
      <c r="A7" s="80" t="s">
        <v>7</v>
      </c>
      <c r="B7" s="81">
        <v>16271553.559999986</v>
      </c>
      <c r="C7" s="81">
        <v>12730381.762560012</v>
      </c>
      <c r="D7" s="81">
        <v>27856031.186943989</v>
      </c>
      <c r="E7" s="81">
        <v>79730070.089472398</v>
      </c>
      <c r="F7" s="81">
        <v>78678312.100674108</v>
      </c>
      <c r="G7" s="81">
        <f>SUM(B7:F7)</f>
        <v>215266348.69965047</v>
      </c>
      <c r="H7" s="82"/>
      <c r="I7" s="82"/>
      <c r="J7" s="83"/>
      <c r="K7" s="83"/>
    </row>
    <row r="8" spans="1:17" x14ac:dyDescent="0.2">
      <c r="A8" s="80" t="s">
        <v>8</v>
      </c>
      <c r="B8" s="81">
        <v>33681220.200000003</v>
      </c>
      <c r="C8" s="81">
        <v>78622067.927040011</v>
      </c>
      <c r="D8" s="81">
        <v>26934107.428618241</v>
      </c>
      <c r="E8" s="81">
        <v>57641244.004167184</v>
      </c>
      <c r="F8" s="81">
        <v>115022836.61913888</v>
      </c>
      <c r="G8" s="81">
        <f>SUM(B8:F8)</f>
        <v>311901476.17896432</v>
      </c>
      <c r="H8" s="82"/>
      <c r="I8" s="82"/>
      <c r="J8" s="83"/>
      <c r="K8" s="83"/>
    </row>
    <row r="9" spans="1:17" x14ac:dyDescent="0.2">
      <c r="A9" s="80" t="s">
        <v>9</v>
      </c>
      <c r="B9" s="81">
        <v>9365309.4800000004</v>
      </c>
      <c r="C9" s="81">
        <v>14210468.70528</v>
      </c>
      <c r="D9" s="81">
        <v>6994410.7912396779</v>
      </c>
      <c r="E9" s="81">
        <v>6456749.8940769881</v>
      </c>
      <c r="F9" s="81">
        <v>2705408.3385021435</v>
      </c>
      <c r="G9" s="81">
        <f>SUM(B9:F9)</f>
        <v>39732347.209098816</v>
      </c>
      <c r="H9" s="82"/>
      <c r="I9" s="82"/>
      <c r="J9" s="83"/>
      <c r="K9" s="83"/>
    </row>
    <row r="10" spans="1:17" ht="15" x14ac:dyDescent="0.25">
      <c r="A10" s="84" t="s">
        <v>10</v>
      </c>
      <c r="B10" s="85">
        <f>SUM(B6:B9)</f>
        <v>128762076.45000002</v>
      </c>
      <c r="C10" s="85">
        <f t="shared" ref="C10:G10" si="0">SUM(C6:C9)</f>
        <v>174118724.20352003</v>
      </c>
      <c r="D10" s="85">
        <f t="shared" si="0"/>
        <v>128866935.81422588</v>
      </c>
      <c r="E10" s="85">
        <f t="shared" si="0"/>
        <v>171878426.67841583</v>
      </c>
      <c r="F10" s="85">
        <f t="shared" si="0"/>
        <v>196406557.05831513</v>
      </c>
      <c r="G10" s="85">
        <f t="shared" si="0"/>
        <v>800032720.20447683</v>
      </c>
      <c r="H10" s="82"/>
      <c r="I10" s="82"/>
      <c r="J10" s="82"/>
      <c r="K10" s="82"/>
    </row>
    <row r="11" spans="1:17" x14ac:dyDescent="0.2">
      <c r="F11" s="83"/>
      <c r="G11" s="83"/>
      <c r="H11" s="88"/>
    </row>
    <row r="12" spans="1:17" x14ac:dyDescent="0.2">
      <c r="I12" s="87"/>
      <c r="J12" s="87"/>
      <c r="K12" s="87"/>
      <c r="L12" s="87"/>
      <c r="M12" s="87"/>
      <c r="N12" s="87"/>
      <c r="O12" s="87"/>
      <c r="P12" s="87"/>
      <c r="Q12" s="87"/>
    </row>
    <row r="13" spans="1:17" ht="15.75" customHeight="1" x14ac:dyDescent="0.2">
      <c r="B13" s="178"/>
      <c r="C13" s="178"/>
      <c r="D13" s="178"/>
      <c r="E13" s="178"/>
      <c r="F13" s="178"/>
      <c r="G13" s="178"/>
      <c r="I13" s="87"/>
      <c r="J13" s="233"/>
      <c r="K13" s="233"/>
      <c r="L13" s="233"/>
      <c r="M13" s="234"/>
      <c r="N13" s="234"/>
      <c r="O13" s="230"/>
      <c r="P13" s="230"/>
      <c r="Q13" s="230"/>
    </row>
    <row r="14" spans="1:17" ht="15" x14ac:dyDescent="0.2">
      <c r="B14" s="178"/>
      <c r="C14" s="178"/>
      <c r="D14" s="178"/>
      <c r="E14" s="178"/>
      <c r="F14" s="178"/>
      <c r="G14" s="178"/>
      <c r="I14" s="87"/>
      <c r="J14" s="179"/>
      <c r="K14" s="180"/>
      <c r="L14" s="180"/>
      <c r="M14" s="180"/>
      <c r="N14" s="180"/>
      <c r="O14" s="180"/>
      <c r="P14" s="180"/>
      <c r="Q14" s="87"/>
    </row>
    <row r="15" spans="1:17" x14ac:dyDescent="0.2">
      <c r="B15" s="178"/>
      <c r="C15" s="178"/>
      <c r="D15" s="178"/>
      <c r="E15" s="178"/>
      <c r="F15" s="178"/>
      <c r="G15" s="178"/>
      <c r="I15" s="87"/>
      <c r="J15" s="181"/>
      <c r="K15" s="182"/>
      <c r="L15" s="182"/>
      <c r="M15" s="182"/>
      <c r="N15" s="182"/>
      <c r="O15" s="182"/>
      <c r="P15" s="182"/>
      <c r="Q15" s="182"/>
    </row>
    <row r="16" spans="1:17" x14ac:dyDescent="0.2">
      <c r="B16" s="178"/>
      <c r="C16" s="178"/>
      <c r="D16" s="178"/>
      <c r="E16" s="178"/>
      <c r="F16" s="178"/>
      <c r="G16" s="178"/>
      <c r="I16" s="87"/>
      <c r="J16" s="181"/>
      <c r="K16" s="182"/>
      <c r="L16" s="182"/>
      <c r="M16" s="182"/>
      <c r="N16" s="182"/>
      <c r="O16" s="182"/>
      <c r="P16" s="182"/>
      <c r="Q16" s="182"/>
    </row>
    <row r="17" spans="2:17" x14ac:dyDescent="0.2">
      <c r="B17" s="178"/>
      <c r="C17" s="178"/>
      <c r="D17" s="178"/>
      <c r="E17" s="178"/>
      <c r="F17" s="178"/>
      <c r="G17" s="178"/>
      <c r="I17" s="87"/>
      <c r="J17" s="181"/>
      <c r="K17" s="182"/>
      <c r="L17" s="182"/>
      <c r="M17" s="182"/>
      <c r="N17" s="182"/>
      <c r="O17" s="182"/>
      <c r="P17" s="182"/>
      <c r="Q17" s="182"/>
    </row>
    <row r="18" spans="2:17" x14ac:dyDescent="0.2">
      <c r="I18" s="87"/>
      <c r="J18" s="181"/>
      <c r="K18" s="182"/>
      <c r="L18" s="182"/>
      <c r="M18" s="182"/>
      <c r="N18" s="182"/>
      <c r="O18" s="182"/>
      <c r="P18" s="182"/>
      <c r="Q18" s="182"/>
    </row>
    <row r="19" spans="2:17" ht="15.75" x14ac:dyDescent="0.2">
      <c r="I19" s="87"/>
      <c r="J19" s="183"/>
      <c r="K19" s="227"/>
      <c r="L19" s="231"/>
      <c r="M19" s="231"/>
      <c r="N19" s="227"/>
      <c r="O19" s="227"/>
      <c r="P19" s="227"/>
      <c r="Q19" s="227"/>
    </row>
  </sheetData>
  <mergeCells count="6">
    <mergeCell ref="O13:Q13"/>
    <mergeCell ref="L19:M19"/>
    <mergeCell ref="A1:G1"/>
    <mergeCell ref="A2:G2"/>
    <mergeCell ref="J13:L13"/>
    <mergeCell ref="M13:N13"/>
  </mergeCells>
  <printOptions horizontalCentered="1"/>
  <pageMargins left="0.75" right="0.75" top="1" bottom="1" header="0.5" footer="0.5"/>
  <pageSetup fitToHeight="0" orientation="landscape" r:id="rId1"/>
  <headerFooter scaleWithDoc="0">
    <oddHeader>&amp;RPetitioner's Exhibit No. 2
Attachment  &amp;A
CEI North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81C40-F890-445D-BD69-444CBD1BF976}">
  <sheetPr codeName="Sheet3">
    <pageSetUpPr fitToPage="1"/>
  </sheetPr>
  <dimension ref="A1:K18"/>
  <sheetViews>
    <sheetView view="pageBreakPreview" zoomScale="110" zoomScaleNormal="90" zoomScaleSheetLayoutView="110" zoomScalePageLayoutView="90" workbookViewId="0">
      <selection sqref="A1:G1"/>
    </sheetView>
  </sheetViews>
  <sheetFormatPr defaultColWidth="9.140625" defaultRowHeight="12.75" x14ac:dyDescent="0.2"/>
  <cols>
    <col min="1" max="1" width="41.7109375" style="76" customWidth="1"/>
    <col min="2" max="2" width="16.28515625" style="76" bestFit="1" customWidth="1"/>
    <col min="3" max="6" width="14.42578125" style="76" bestFit="1" customWidth="1"/>
    <col min="7" max="7" width="16.140625" style="76" bestFit="1" customWidth="1"/>
    <col min="8" max="8" width="12.5703125" style="76" bestFit="1" customWidth="1"/>
    <col min="9" max="9" width="13.42578125" style="76" bestFit="1" customWidth="1"/>
    <col min="10" max="11" width="13.28515625" style="76" bestFit="1" customWidth="1"/>
    <col min="12" max="16384" width="9.140625" style="76"/>
  </cols>
  <sheetData>
    <row r="1" spans="1:11" ht="18" x14ac:dyDescent="0.25">
      <c r="A1" s="232" t="s">
        <v>1</v>
      </c>
      <c r="B1" s="232"/>
      <c r="C1" s="232"/>
      <c r="D1" s="232"/>
      <c r="E1" s="232"/>
      <c r="F1" s="232"/>
      <c r="G1" s="232"/>
    </row>
    <row r="2" spans="1:11" ht="17.25" customHeight="1" x14ac:dyDescent="0.25">
      <c r="A2" s="232" t="s">
        <v>11</v>
      </c>
      <c r="B2" s="232"/>
      <c r="C2" s="232"/>
      <c r="D2" s="232"/>
      <c r="E2" s="232"/>
      <c r="F2" s="232"/>
      <c r="G2" s="232"/>
    </row>
    <row r="4" spans="1:11" x14ac:dyDescent="0.2">
      <c r="A4" s="77"/>
    </row>
    <row r="5" spans="1:11" ht="15" x14ac:dyDescent="0.2">
      <c r="A5" s="89" t="s">
        <v>12</v>
      </c>
      <c r="B5" s="78">
        <v>2022</v>
      </c>
      <c r="C5" s="78">
        <v>2023</v>
      </c>
      <c r="D5" s="78">
        <v>2024</v>
      </c>
      <c r="E5" s="78">
        <v>2025</v>
      </c>
      <c r="F5" s="78">
        <v>2026</v>
      </c>
      <c r="G5" s="78" t="s">
        <v>5</v>
      </c>
    </row>
    <row r="6" spans="1:11" x14ac:dyDescent="0.2">
      <c r="A6" s="86" t="s">
        <v>13</v>
      </c>
      <c r="B6" s="81">
        <v>2100000</v>
      </c>
      <c r="C6" s="81">
        <v>2100000</v>
      </c>
      <c r="D6" s="81">
        <v>2100000</v>
      </c>
      <c r="E6" s="81">
        <v>2100000</v>
      </c>
      <c r="F6" s="81">
        <v>2100000</v>
      </c>
      <c r="G6" s="81">
        <f t="shared" ref="G6:G9" si="0">SUM(B6:F6)</f>
        <v>10500000</v>
      </c>
      <c r="J6" s="83"/>
      <c r="K6" s="83"/>
    </row>
    <row r="7" spans="1:11" x14ac:dyDescent="0.2">
      <c r="A7" s="86" t="s">
        <v>14</v>
      </c>
      <c r="B7" s="81">
        <v>5509067.8099999996</v>
      </c>
      <c r="C7" s="81">
        <v>1400000</v>
      </c>
      <c r="D7" s="81">
        <v>1400000</v>
      </c>
      <c r="E7" s="81">
        <v>1400000</v>
      </c>
      <c r="F7" s="81">
        <v>1400000</v>
      </c>
      <c r="G7" s="81">
        <f t="shared" si="0"/>
        <v>11109067.809999999</v>
      </c>
      <c r="J7" s="83"/>
      <c r="K7" s="83"/>
    </row>
    <row r="8" spans="1:11" x14ac:dyDescent="0.2">
      <c r="A8" s="86" t="s">
        <v>15</v>
      </c>
      <c r="B8" s="81">
        <v>7819319.71</v>
      </c>
      <c r="C8" s="81">
        <v>49782112.921599984</v>
      </c>
      <c r="D8" s="81">
        <v>175264592.59158525</v>
      </c>
      <c r="E8" s="81">
        <v>93950093.002014741</v>
      </c>
      <c r="F8" s="81">
        <v>34685908.877208821</v>
      </c>
      <c r="G8" s="81">
        <f t="shared" si="0"/>
        <v>361502027.10240883</v>
      </c>
      <c r="H8" s="82"/>
      <c r="I8" s="82"/>
      <c r="J8" s="83"/>
      <c r="K8" s="83"/>
    </row>
    <row r="9" spans="1:11" x14ac:dyDescent="0.2">
      <c r="A9" s="86" t="s">
        <v>16</v>
      </c>
      <c r="B9" s="81">
        <v>13290762.57</v>
      </c>
      <c r="C9" s="81">
        <v>9169408.2764799986</v>
      </c>
      <c r="D9" s="81">
        <v>7605008.2037760001</v>
      </c>
      <c r="E9" s="81">
        <v>2653162.3600128</v>
      </c>
      <c r="F9" s="81">
        <v>2853332.7296368475</v>
      </c>
      <c r="G9" s="81">
        <f t="shared" si="0"/>
        <v>35571674.139905646</v>
      </c>
      <c r="H9" s="82"/>
      <c r="I9" s="82"/>
      <c r="J9" s="83"/>
      <c r="K9" s="83"/>
    </row>
    <row r="10" spans="1:11" ht="15" x14ac:dyDescent="0.25">
      <c r="A10" s="84" t="s">
        <v>17</v>
      </c>
      <c r="B10" s="85">
        <f t="shared" ref="B10:G10" si="1">SUM(B6:B9)</f>
        <v>28719150.09</v>
      </c>
      <c r="C10" s="85">
        <f t="shared" si="1"/>
        <v>62451521.198079981</v>
      </c>
      <c r="D10" s="85">
        <f t="shared" si="1"/>
        <v>186369600.79536125</v>
      </c>
      <c r="E10" s="85">
        <f t="shared" si="1"/>
        <v>100103255.36202754</v>
      </c>
      <c r="F10" s="85">
        <f t="shared" si="1"/>
        <v>41039241.606845669</v>
      </c>
      <c r="G10" s="85">
        <f t="shared" si="1"/>
        <v>418682769.05231446</v>
      </c>
      <c r="H10" s="82"/>
      <c r="I10" s="82"/>
      <c r="J10" s="82"/>
      <c r="K10" s="82"/>
    </row>
    <row r="13" spans="1:11" x14ac:dyDescent="0.2">
      <c r="G13" s="83"/>
    </row>
    <row r="14" spans="1:11" x14ac:dyDescent="0.2">
      <c r="B14" s="167"/>
      <c r="C14" s="167"/>
      <c r="D14" s="167"/>
      <c r="E14" s="167"/>
      <c r="F14" s="167"/>
      <c r="G14" s="167"/>
    </row>
    <row r="15" spans="1:11" x14ac:dyDescent="0.2">
      <c r="B15" s="167"/>
      <c r="C15" s="167"/>
      <c r="D15" s="167"/>
      <c r="E15" s="167"/>
      <c r="F15" s="167"/>
      <c r="G15" s="167"/>
    </row>
    <row r="16" spans="1:11" x14ac:dyDescent="0.2">
      <c r="B16" s="167"/>
      <c r="C16" s="167"/>
      <c r="D16" s="167"/>
      <c r="E16" s="167"/>
      <c r="F16" s="167"/>
      <c r="G16" s="167"/>
    </row>
    <row r="17" spans="2:7" x14ac:dyDescent="0.2">
      <c r="B17" s="167"/>
      <c r="C17" s="167"/>
      <c r="D17" s="167"/>
      <c r="E17" s="167"/>
      <c r="F17" s="167"/>
      <c r="G17" s="167"/>
    </row>
    <row r="18" spans="2:7" x14ac:dyDescent="0.2">
      <c r="B18" s="167"/>
      <c r="C18" s="167"/>
      <c r="D18" s="167"/>
      <c r="E18" s="167"/>
      <c r="F18" s="167"/>
      <c r="G18" s="167"/>
    </row>
  </sheetData>
  <mergeCells count="2">
    <mergeCell ref="A1:G1"/>
    <mergeCell ref="A2:G2"/>
  </mergeCells>
  <printOptions horizontalCentered="1"/>
  <pageMargins left="0.75" right="0.75" top="1" bottom="1" header="0.5" footer="0.5"/>
  <pageSetup scale="91" fitToHeight="0" orientation="landscape" r:id="rId1"/>
  <headerFooter scaleWithDoc="0">
    <oddHeader>&amp;RPetitioner's Exhibit No. 2
Attachment  &amp;A
CEI North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07DB8-3F8F-41CE-9A0D-E622680F72F7}">
  <sheetPr codeName="Sheet4">
    <pageSetUpPr fitToPage="1"/>
  </sheetPr>
  <dimension ref="A1:N70"/>
  <sheetViews>
    <sheetView zoomScale="75" zoomScaleNormal="75" zoomScaleSheetLayoutView="100" zoomScalePageLayoutView="80" workbookViewId="0">
      <pane ySplit="6" topLeftCell="A7" activePane="bottomLeft" state="frozen"/>
      <selection activeCell="A134" sqref="A134"/>
      <selection pane="bottomLeft" activeCell="A7" sqref="A7"/>
    </sheetView>
  </sheetViews>
  <sheetFormatPr defaultColWidth="9.140625" defaultRowHeight="12.75" x14ac:dyDescent="0.2"/>
  <cols>
    <col min="1" max="1" width="12.85546875" style="98" customWidth="1"/>
    <col min="2" max="2" width="20.140625" style="99" bestFit="1" customWidth="1"/>
    <col min="3" max="3" width="20" style="99" bestFit="1" customWidth="1"/>
    <col min="4" max="4" width="22.5703125" style="98" customWidth="1"/>
    <col min="5" max="5" width="14.5703125" style="99" customWidth="1"/>
    <col min="6" max="6" width="24.7109375" style="99" bestFit="1" customWidth="1"/>
    <col min="7" max="7" width="41.140625" style="99" bestFit="1" customWidth="1"/>
    <col min="8" max="8" width="11.42578125" style="100" customWidth="1"/>
    <col min="9" max="9" width="18.28515625" style="100" customWidth="1"/>
    <col min="10" max="10" width="22.28515625" style="101" bestFit="1" customWidth="1"/>
    <col min="11" max="13" width="9.140625" style="62"/>
    <col min="14" max="14" width="13.5703125" style="62" customWidth="1"/>
    <col min="15" max="16384" width="9.140625" style="62"/>
  </cols>
  <sheetData>
    <row r="1" spans="1:14" s="1" customFormat="1" ht="18" x14ac:dyDescent="0.25">
      <c r="A1" s="235" t="s">
        <v>1</v>
      </c>
      <c r="B1" s="235"/>
      <c r="C1" s="235"/>
      <c r="D1" s="235"/>
      <c r="E1" s="235"/>
      <c r="F1" s="235"/>
      <c r="G1" s="235"/>
      <c r="H1" s="235"/>
      <c r="I1" s="235"/>
      <c r="J1" s="235"/>
    </row>
    <row r="2" spans="1:14" s="1" customFormat="1" ht="18" x14ac:dyDescent="0.25">
      <c r="A2" s="235" t="s">
        <v>18</v>
      </c>
      <c r="B2" s="235"/>
      <c r="C2" s="235"/>
      <c r="D2" s="235"/>
      <c r="E2" s="235"/>
      <c r="F2" s="235"/>
      <c r="G2" s="235"/>
      <c r="H2" s="235"/>
      <c r="I2" s="235"/>
      <c r="J2" s="235"/>
    </row>
    <row r="3" spans="1:14" s="1" customFormat="1" ht="18" x14ac:dyDescent="0.2">
      <c r="A3" s="2"/>
      <c r="B3" s="3"/>
      <c r="C3" s="4"/>
      <c r="D3" s="5"/>
      <c r="E3" s="4"/>
      <c r="F3" s="4"/>
      <c r="G3" s="6"/>
      <c r="H3" s="7"/>
      <c r="I3" s="7"/>
      <c r="J3" s="7"/>
    </row>
    <row r="4" spans="1:14" s="1" customFormat="1" ht="18" x14ac:dyDescent="0.2">
      <c r="A4" s="10"/>
      <c r="B4" s="11"/>
      <c r="C4" s="12"/>
      <c r="D4" s="13"/>
      <c r="E4" s="12"/>
      <c r="F4" s="12"/>
      <c r="G4" s="6"/>
      <c r="H4" s="14"/>
      <c r="I4" s="14"/>
      <c r="J4" s="15"/>
    </row>
    <row r="5" spans="1:14" s="1" customFormat="1" ht="15" x14ac:dyDescent="0.2">
      <c r="A5" s="16"/>
      <c r="B5" s="17"/>
      <c r="C5" s="6"/>
      <c r="D5" s="16"/>
      <c r="E5" s="6"/>
      <c r="F5" s="6"/>
      <c r="G5" s="6"/>
      <c r="H5" s="18"/>
      <c r="I5" s="18"/>
      <c r="J5" s="19"/>
    </row>
    <row r="6" spans="1:14" s="20" customFormat="1" ht="25.5" x14ac:dyDescent="0.2">
      <c r="A6" s="60" t="s">
        <v>19</v>
      </c>
      <c r="B6" s="60" t="s">
        <v>20</v>
      </c>
      <c r="C6" s="60" t="s">
        <v>21</v>
      </c>
      <c r="D6" s="60" t="s">
        <v>22</v>
      </c>
      <c r="E6" s="60" t="s">
        <v>23</v>
      </c>
      <c r="F6" s="60" t="s">
        <v>24</v>
      </c>
      <c r="G6" s="60" t="s">
        <v>25</v>
      </c>
      <c r="H6" s="60" t="s">
        <v>26</v>
      </c>
      <c r="I6" s="60" t="s">
        <v>27</v>
      </c>
      <c r="J6" s="61" t="s">
        <v>28</v>
      </c>
      <c r="K6" s="1"/>
      <c r="L6" s="1"/>
      <c r="M6" s="1"/>
      <c r="N6" s="1"/>
    </row>
    <row r="7" spans="1:14" ht="45" x14ac:dyDescent="0.2">
      <c r="A7" s="93">
        <v>5090</v>
      </c>
      <c r="B7" s="94" t="s">
        <v>29</v>
      </c>
      <c r="C7" s="94" t="s">
        <v>30</v>
      </c>
      <c r="D7" s="93" t="s">
        <v>31</v>
      </c>
      <c r="E7" s="93" t="s">
        <v>32</v>
      </c>
      <c r="F7" s="93" t="s">
        <v>33</v>
      </c>
      <c r="G7" s="63" t="s">
        <v>34</v>
      </c>
      <c r="H7" s="168">
        <v>2022</v>
      </c>
      <c r="I7" s="185"/>
      <c r="J7" s="185"/>
    </row>
    <row r="8" spans="1:14" ht="60" x14ac:dyDescent="0.2">
      <c r="A8" s="93" t="s">
        <v>35</v>
      </c>
      <c r="B8" s="94" t="s">
        <v>29</v>
      </c>
      <c r="C8" s="94" t="s">
        <v>30</v>
      </c>
      <c r="D8" s="93" t="s">
        <v>36</v>
      </c>
      <c r="E8" s="93" t="s">
        <v>37</v>
      </c>
      <c r="F8" s="93" t="s">
        <v>38</v>
      </c>
      <c r="G8" s="94" t="s">
        <v>39</v>
      </c>
      <c r="H8" s="168">
        <v>2022</v>
      </c>
      <c r="I8" s="185"/>
      <c r="J8" s="185"/>
    </row>
    <row r="9" spans="1:14" ht="195" x14ac:dyDescent="0.2">
      <c r="A9" s="93" t="s">
        <v>40</v>
      </c>
      <c r="B9" s="94" t="s">
        <v>29</v>
      </c>
      <c r="C9" s="94" t="s">
        <v>30</v>
      </c>
      <c r="D9" s="93" t="s">
        <v>41</v>
      </c>
      <c r="E9" s="93" t="s">
        <v>37</v>
      </c>
      <c r="F9" s="93" t="s">
        <v>42</v>
      </c>
      <c r="G9" s="94" t="s">
        <v>43</v>
      </c>
      <c r="H9" s="168">
        <v>2022</v>
      </c>
      <c r="I9" s="185"/>
      <c r="J9" s="185"/>
    </row>
    <row r="10" spans="1:14" ht="30" x14ac:dyDescent="0.2">
      <c r="A10" s="93" t="s">
        <v>44</v>
      </c>
      <c r="B10" s="94" t="s">
        <v>29</v>
      </c>
      <c r="C10" s="94" t="s">
        <v>30</v>
      </c>
      <c r="D10" s="93" t="s">
        <v>41</v>
      </c>
      <c r="E10" s="93" t="s">
        <v>37</v>
      </c>
      <c r="F10" s="93" t="s">
        <v>45</v>
      </c>
      <c r="G10" s="94" t="s">
        <v>46</v>
      </c>
      <c r="H10" s="168">
        <v>2022</v>
      </c>
      <c r="I10" s="185"/>
      <c r="J10" s="185"/>
    </row>
    <row r="11" spans="1:14" ht="60" x14ac:dyDescent="0.2">
      <c r="A11" s="93" t="s">
        <v>47</v>
      </c>
      <c r="B11" s="94" t="s">
        <v>29</v>
      </c>
      <c r="C11" s="94" t="s">
        <v>30</v>
      </c>
      <c r="D11" s="93" t="s">
        <v>41</v>
      </c>
      <c r="E11" s="93" t="s">
        <v>37</v>
      </c>
      <c r="F11" s="93" t="s">
        <v>48</v>
      </c>
      <c r="G11" s="94" t="s">
        <v>49</v>
      </c>
      <c r="H11" s="168">
        <v>2022</v>
      </c>
      <c r="I11" s="185"/>
      <c r="J11" s="185"/>
    </row>
    <row r="12" spans="1:14" ht="30" x14ac:dyDescent="0.2">
      <c r="A12" s="94">
        <v>5075</v>
      </c>
      <c r="B12" s="94" t="s">
        <v>29</v>
      </c>
      <c r="C12" s="94" t="s">
        <v>30</v>
      </c>
      <c r="D12" s="94" t="s">
        <v>50</v>
      </c>
      <c r="E12" s="94" t="s">
        <v>51</v>
      </c>
      <c r="F12" s="94" t="s">
        <v>52</v>
      </c>
      <c r="G12" s="94" t="s">
        <v>53</v>
      </c>
      <c r="H12" s="169">
        <v>2022</v>
      </c>
      <c r="I12" s="186"/>
      <c r="J12" s="185"/>
    </row>
    <row r="13" spans="1:14" ht="30" x14ac:dyDescent="0.2">
      <c r="A13" s="94">
        <v>5076</v>
      </c>
      <c r="B13" s="94" t="s">
        <v>29</v>
      </c>
      <c r="C13" s="94" t="s">
        <v>30</v>
      </c>
      <c r="D13" s="94" t="s">
        <v>50</v>
      </c>
      <c r="E13" s="94" t="s">
        <v>54</v>
      </c>
      <c r="F13" s="94" t="s">
        <v>55</v>
      </c>
      <c r="G13" s="94" t="s">
        <v>56</v>
      </c>
      <c r="H13" s="169">
        <v>2022</v>
      </c>
      <c r="I13" s="186"/>
      <c r="J13" s="185"/>
    </row>
    <row r="14" spans="1:14" ht="60" x14ac:dyDescent="0.2">
      <c r="A14" s="93" t="s">
        <v>57</v>
      </c>
      <c r="B14" s="94">
        <v>14000034</v>
      </c>
      <c r="C14" s="63" t="s">
        <v>58</v>
      </c>
      <c r="D14" s="93" t="s">
        <v>50</v>
      </c>
      <c r="E14" s="93" t="s">
        <v>54</v>
      </c>
      <c r="F14" s="93" t="s">
        <v>59</v>
      </c>
      <c r="G14" s="93" t="s">
        <v>60</v>
      </c>
      <c r="H14" s="168">
        <v>2022</v>
      </c>
      <c r="I14" s="185"/>
      <c r="J14" s="185"/>
    </row>
    <row r="15" spans="1:14" ht="60" x14ac:dyDescent="0.2">
      <c r="A15" s="93" t="s">
        <v>61</v>
      </c>
      <c r="B15" s="94" t="s">
        <v>29</v>
      </c>
      <c r="C15" s="63" t="s">
        <v>62</v>
      </c>
      <c r="D15" s="93" t="s">
        <v>63</v>
      </c>
      <c r="E15" s="93" t="s">
        <v>51</v>
      </c>
      <c r="F15" s="93" t="s">
        <v>64</v>
      </c>
      <c r="G15" s="94" t="s">
        <v>65</v>
      </c>
      <c r="H15" s="168">
        <v>2022</v>
      </c>
      <c r="I15" s="185"/>
      <c r="J15" s="185"/>
    </row>
    <row r="16" spans="1:14" ht="45" x14ac:dyDescent="0.2">
      <c r="A16" s="93" t="s">
        <v>66</v>
      </c>
      <c r="B16" s="94" t="s">
        <v>29</v>
      </c>
      <c r="C16" s="94" t="s">
        <v>30</v>
      </c>
      <c r="D16" s="93" t="s">
        <v>63</v>
      </c>
      <c r="E16" s="93" t="s">
        <v>54</v>
      </c>
      <c r="F16" s="93" t="s">
        <v>67</v>
      </c>
      <c r="G16" s="94" t="s">
        <v>68</v>
      </c>
      <c r="H16" s="168">
        <v>2022</v>
      </c>
      <c r="I16" s="185"/>
      <c r="J16" s="185"/>
    </row>
    <row r="17" spans="1:10" ht="45" x14ac:dyDescent="0.2">
      <c r="A17" s="93" t="s">
        <v>69</v>
      </c>
      <c r="B17" s="94" t="s">
        <v>29</v>
      </c>
      <c r="C17" s="94" t="s">
        <v>30</v>
      </c>
      <c r="D17" s="93" t="s">
        <v>63</v>
      </c>
      <c r="E17" s="93" t="s">
        <v>54</v>
      </c>
      <c r="F17" s="93" t="s">
        <v>70</v>
      </c>
      <c r="G17" s="174" t="s">
        <v>71</v>
      </c>
      <c r="H17" s="168">
        <v>2022</v>
      </c>
      <c r="I17" s="185"/>
      <c r="J17" s="185"/>
    </row>
    <row r="18" spans="1:10" ht="30" x14ac:dyDescent="0.2">
      <c r="A18" s="93">
        <v>5052</v>
      </c>
      <c r="B18" s="94" t="s">
        <v>29</v>
      </c>
      <c r="C18" s="94" t="s">
        <v>30</v>
      </c>
      <c r="D18" s="94" t="s">
        <v>36</v>
      </c>
      <c r="E18" s="93" t="s">
        <v>32</v>
      </c>
      <c r="F18" s="93" t="s">
        <v>33</v>
      </c>
      <c r="G18" s="94" t="s">
        <v>72</v>
      </c>
      <c r="H18" s="168">
        <v>2023</v>
      </c>
      <c r="I18" s="185"/>
      <c r="J18" s="185"/>
    </row>
    <row r="19" spans="1:10" ht="45" x14ac:dyDescent="0.2">
      <c r="A19" s="93" t="s">
        <v>73</v>
      </c>
      <c r="B19" s="94" t="s">
        <v>29</v>
      </c>
      <c r="C19" s="94" t="s">
        <v>30</v>
      </c>
      <c r="D19" s="94" t="s">
        <v>36</v>
      </c>
      <c r="E19" s="93" t="s">
        <v>51</v>
      </c>
      <c r="F19" s="93" t="s">
        <v>74</v>
      </c>
      <c r="G19" s="94" t="s">
        <v>75</v>
      </c>
      <c r="H19" s="168">
        <v>2023</v>
      </c>
      <c r="I19" s="185"/>
      <c r="J19" s="185"/>
    </row>
    <row r="20" spans="1:10" ht="30" x14ac:dyDescent="0.2">
      <c r="A20" s="93" t="s">
        <v>76</v>
      </c>
      <c r="B20" s="94" t="s">
        <v>29</v>
      </c>
      <c r="C20" s="94" t="s">
        <v>30</v>
      </c>
      <c r="D20" s="93" t="s">
        <v>36</v>
      </c>
      <c r="E20" s="93" t="s">
        <v>37</v>
      </c>
      <c r="F20" s="93" t="s">
        <v>77</v>
      </c>
      <c r="G20" s="94" t="s">
        <v>78</v>
      </c>
      <c r="H20" s="168">
        <v>2023</v>
      </c>
      <c r="I20" s="185"/>
      <c r="J20" s="185"/>
    </row>
    <row r="21" spans="1:10" ht="105" x14ac:dyDescent="0.2">
      <c r="A21" s="94" t="s">
        <v>79</v>
      </c>
      <c r="B21" s="94" t="s">
        <v>29</v>
      </c>
      <c r="C21" s="94" t="s">
        <v>30</v>
      </c>
      <c r="D21" s="93" t="s">
        <v>80</v>
      </c>
      <c r="E21" s="94" t="s">
        <v>54</v>
      </c>
      <c r="F21" s="94" t="s">
        <v>81</v>
      </c>
      <c r="G21" s="94" t="s">
        <v>82</v>
      </c>
      <c r="H21" s="170">
        <v>2023</v>
      </c>
      <c r="I21" s="187"/>
      <c r="J21" s="185"/>
    </row>
    <row r="22" spans="1:10" ht="90" x14ac:dyDescent="0.2">
      <c r="A22" s="93" t="s">
        <v>83</v>
      </c>
      <c r="B22" s="94" t="s">
        <v>29</v>
      </c>
      <c r="C22" s="171" t="s">
        <v>84</v>
      </c>
      <c r="D22" s="93" t="s">
        <v>80</v>
      </c>
      <c r="E22" s="93" t="s">
        <v>54</v>
      </c>
      <c r="F22" s="93" t="s">
        <v>85</v>
      </c>
      <c r="G22" s="94" t="s">
        <v>86</v>
      </c>
      <c r="H22" s="168">
        <v>2023</v>
      </c>
      <c r="I22" s="185"/>
      <c r="J22" s="185"/>
    </row>
    <row r="23" spans="1:10" ht="45" x14ac:dyDescent="0.2">
      <c r="A23" s="94" t="s">
        <v>87</v>
      </c>
      <c r="B23" s="94" t="s">
        <v>29</v>
      </c>
      <c r="C23" s="94" t="s">
        <v>30</v>
      </c>
      <c r="D23" s="93" t="s">
        <v>80</v>
      </c>
      <c r="E23" s="94" t="s">
        <v>54</v>
      </c>
      <c r="F23" s="94" t="s">
        <v>88</v>
      </c>
      <c r="G23" s="94" t="s">
        <v>89</v>
      </c>
      <c r="H23" s="168">
        <v>2023</v>
      </c>
      <c r="I23" s="187"/>
      <c r="J23" s="185"/>
    </row>
    <row r="24" spans="1:10" ht="60" x14ac:dyDescent="0.2">
      <c r="A24" s="93" t="s">
        <v>90</v>
      </c>
      <c r="B24" s="94" t="s">
        <v>29</v>
      </c>
      <c r="C24" s="94" t="s">
        <v>30</v>
      </c>
      <c r="D24" s="93" t="s">
        <v>63</v>
      </c>
      <c r="E24" s="93" t="s">
        <v>51</v>
      </c>
      <c r="F24" s="93" t="s">
        <v>64</v>
      </c>
      <c r="G24" s="93" t="s">
        <v>91</v>
      </c>
      <c r="H24" s="168">
        <v>2023</v>
      </c>
      <c r="I24" s="185"/>
      <c r="J24" s="185"/>
    </row>
    <row r="25" spans="1:10" ht="45" x14ac:dyDescent="0.2">
      <c r="A25" s="93" t="s">
        <v>92</v>
      </c>
      <c r="B25" s="94" t="s">
        <v>29</v>
      </c>
      <c r="C25" s="94" t="s">
        <v>30</v>
      </c>
      <c r="D25" s="94" t="s">
        <v>63</v>
      </c>
      <c r="E25" s="93" t="s">
        <v>51</v>
      </c>
      <c r="F25" s="93" t="s">
        <v>74</v>
      </c>
      <c r="G25" s="94" t="s">
        <v>93</v>
      </c>
      <c r="H25" s="168">
        <v>2023</v>
      </c>
      <c r="I25" s="185"/>
      <c r="J25" s="185"/>
    </row>
    <row r="26" spans="1:10" ht="60" x14ac:dyDescent="0.2">
      <c r="A26" s="93" t="s">
        <v>94</v>
      </c>
      <c r="B26" s="94" t="s">
        <v>29</v>
      </c>
      <c r="C26" s="94" t="s">
        <v>30</v>
      </c>
      <c r="D26" s="93" t="s">
        <v>63</v>
      </c>
      <c r="E26" s="93" t="s">
        <v>51</v>
      </c>
      <c r="F26" s="93" t="s">
        <v>95</v>
      </c>
      <c r="G26" s="94" t="s">
        <v>96</v>
      </c>
      <c r="H26" s="168">
        <v>2023</v>
      </c>
      <c r="I26" s="185"/>
      <c r="J26" s="185"/>
    </row>
    <row r="27" spans="1:10" ht="60" x14ac:dyDescent="0.2">
      <c r="A27" s="93" t="s">
        <v>97</v>
      </c>
      <c r="B27" s="94" t="s">
        <v>29</v>
      </c>
      <c r="C27" s="94" t="s">
        <v>30</v>
      </c>
      <c r="D27" s="93" t="s">
        <v>63</v>
      </c>
      <c r="E27" s="93" t="s">
        <v>54</v>
      </c>
      <c r="F27" s="93" t="s">
        <v>98</v>
      </c>
      <c r="G27" s="94" t="s">
        <v>99</v>
      </c>
      <c r="H27" s="168">
        <v>2023</v>
      </c>
      <c r="I27" s="185"/>
      <c r="J27" s="185"/>
    </row>
    <row r="28" spans="1:10" ht="60" x14ac:dyDescent="0.2">
      <c r="A28" s="93" t="s">
        <v>100</v>
      </c>
      <c r="B28" s="94" t="s">
        <v>29</v>
      </c>
      <c r="C28" s="94" t="s">
        <v>30</v>
      </c>
      <c r="D28" s="93" t="s">
        <v>63</v>
      </c>
      <c r="E28" s="93" t="s">
        <v>54</v>
      </c>
      <c r="F28" s="93" t="s">
        <v>98</v>
      </c>
      <c r="G28" s="94" t="s">
        <v>101</v>
      </c>
      <c r="H28" s="168">
        <v>2023</v>
      </c>
      <c r="I28" s="185"/>
      <c r="J28" s="185"/>
    </row>
    <row r="29" spans="1:10" ht="45" x14ac:dyDescent="0.2">
      <c r="A29" s="93" t="s">
        <v>102</v>
      </c>
      <c r="B29" s="94" t="s">
        <v>29</v>
      </c>
      <c r="C29" s="94" t="s">
        <v>30</v>
      </c>
      <c r="D29" s="93" t="s">
        <v>36</v>
      </c>
      <c r="E29" s="93" t="s">
        <v>51</v>
      </c>
      <c r="F29" s="93" t="s">
        <v>103</v>
      </c>
      <c r="G29" s="94" t="s">
        <v>104</v>
      </c>
      <c r="H29" s="168">
        <v>2024</v>
      </c>
      <c r="I29" s="185"/>
      <c r="J29" s="185"/>
    </row>
    <row r="30" spans="1:10" ht="75" customHeight="1" x14ac:dyDescent="0.2">
      <c r="A30" s="93" t="s">
        <v>105</v>
      </c>
      <c r="B30" s="94" t="s">
        <v>29</v>
      </c>
      <c r="C30" s="94" t="s">
        <v>30</v>
      </c>
      <c r="D30" s="93" t="s">
        <v>36</v>
      </c>
      <c r="E30" s="93" t="s">
        <v>51</v>
      </c>
      <c r="F30" s="93" t="s">
        <v>106</v>
      </c>
      <c r="G30" s="94" t="s">
        <v>107</v>
      </c>
      <c r="H30" s="168">
        <v>2024</v>
      </c>
      <c r="I30" s="185"/>
      <c r="J30" s="185"/>
    </row>
    <row r="31" spans="1:10" ht="45" x14ac:dyDescent="0.2">
      <c r="A31" s="93" t="s">
        <v>108</v>
      </c>
      <c r="B31" s="94" t="s">
        <v>29</v>
      </c>
      <c r="C31" s="94" t="s">
        <v>30</v>
      </c>
      <c r="D31" s="93" t="s">
        <v>36</v>
      </c>
      <c r="E31" s="93" t="s">
        <v>37</v>
      </c>
      <c r="F31" s="93" t="s">
        <v>109</v>
      </c>
      <c r="G31" s="93" t="s">
        <v>110</v>
      </c>
      <c r="H31" s="168">
        <v>2024</v>
      </c>
      <c r="I31" s="185"/>
      <c r="J31" s="185"/>
    </row>
    <row r="32" spans="1:10" ht="45" x14ac:dyDescent="0.2">
      <c r="A32" s="93" t="s">
        <v>111</v>
      </c>
      <c r="B32" s="94" t="s">
        <v>29</v>
      </c>
      <c r="C32" s="94" t="s">
        <v>30</v>
      </c>
      <c r="D32" s="93" t="s">
        <v>36</v>
      </c>
      <c r="E32" s="93" t="s">
        <v>54</v>
      </c>
      <c r="F32" s="93" t="s">
        <v>85</v>
      </c>
      <c r="G32" s="94" t="s">
        <v>112</v>
      </c>
      <c r="H32" s="168">
        <v>2024</v>
      </c>
      <c r="I32" s="185"/>
      <c r="J32" s="185"/>
    </row>
    <row r="33" spans="1:10" ht="120" x14ac:dyDescent="0.2">
      <c r="A33" s="93" t="s">
        <v>113</v>
      </c>
      <c r="B33" s="94" t="s">
        <v>29</v>
      </c>
      <c r="C33" s="94" t="s">
        <v>30</v>
      </c>
      <c r="D33" s="93" t="s">
        <v>41</v>
      </c>
      <c r="E33" s="93" t="s">
        <v>54</v>
      </c>
      <c r="F33" s="93" t="s">
        <v>67</v>
      </c>
      <c r="G33" s="94" t="s">
        <v>114</v>
      </c>
      <c r="H33" s="168">
        <v>2024</v>
      </c>
      <c r="I33" s="185"/>
      <c r="J33" s="185"/>
    </row>
    <row r="34" spans="1:10" ht="60" x14ac:dyDescent="0.2">
      <c r="A34" s="93">
        <v>5081</v>
      </c>
      <c r="B34" s="94" t="s">
        <v>29</v>
      </c>
      <c r="C34" s="94" t="s">
        <v>30</v>
      </c>
      <c r="D34" s="93" t="s">
        <v>50</v>
      </c>
      <c r="E34" s="93" t="s">
        <v>32</v>
      </c>
      <c r="F34" s="93" t="s">
        <v>33</v>
      </c>
      <c r="G34" s="94" t="s">
        <v>115</v>
      </c>
      <c r="H34" s="168">
        <v>2024</v>
      </c>
      <c r="I34" s="185"/>
      <c r="J34" s="185"/>
    </row>
    <row r="35" spans="1:10" ht="60" x14ac:dyDescent="0.2">
      <c r="A35" s="93">
        <v>5082</v>
      </c>
      <c r="B35" s="94" t="s">
        <v>29</v>
      </c>
      <c r="C35" s="94" t="s">
        <v>30</v>
      </c>
      <c r="D35" s="93" t="s">
        <v>50</v>
      </c>
      <c r="E35" s="93" t="s">
        <v>116</v>
      </c>
      <c r="F35" s="93" t="s">
        <v>117</v>
      </c>
      <c r="G35" s="94" t="s">
        <v>118</v>
      </c>
      <c r="H35" s="168">
        <v>2024</v>
      </c>
      <c r="I35" s="185"/>
      <c r="J35" s="185"/>
    </row>
    <row r="36" spans="1:10" ht="225" x14ac:dyDescent="0.2">
      <c r="A36" s="94" t="s">
        <v>119</v>
      </c>
      <c r="B36" s="94" t="s">
        <v>29</v>
      </c>
      <c r="C36" s="94" t="s">
        <v>30</v>
      </c>
      <c r="D36" s="93" t="s">
        <v>80</v>
      </c>
      <c r="E36" s="93" t="s">
        <v>51</v>
      </c>
      <c r="F36" s="93" t="s">
        <v>120</v>
      </c>
      <c r="G36" s="93" t="s">
        <v>121</v>
      </c>
      <c r="H36" s="168">
        <v>2024</v>
      </c>
      <c r="I36" s="187"/>
      <c r="J36" s="185"/>
    </row>
    <row r="37" spans="1:10" ht="45" x14ac:dyDescent="0.2">
      <c r="A37" s="93" t="s">
        <v>122</v>
      </c>
      <c r="B37" s="94" t="s">
        <v>29</v>
      </c>
      <c r="C37" s="94" t="s">
        <v>30</v>
      </c>
      <c r="D37" s="93" t="s">
        <v>80</v>
      </c>
      <c r="E37" s="93" t="s">
        <v>37</v>
      </c>
      <c r="F37" s="93" t="s">
        <v>123</v>
      </c>
      <c r="G37" s="94" t="s">
        <v>124</v>
      </c>
      <c r="H37" s="168">
        <v>2024</v>
      </c>
      <c r="I37" s="185"/>
      <c r="J37" s="185"/>
    </row>
    <row r="38" spans="1:10" ht="45" x14ac:dyDescent="0.2">
      <c r="A38" s="93" t="s">
        <v>125</v>
      </c>
      <c r="B38" s="94" t="s">
        <v>29</v>
      </c>
      <c r="C38" s="94" t="s">
        <v>30</v>
      </c>
      <c r="D38" s="93" t="s">
        <v>80</v>
      </c>
      <c r="E38" s="93" t="s">
        <v>37</v>
      </c>
      <c r="F38" s="93" t="s">
        <v>123</v>
      </c>
      <c r="G38" s="94" t="s">
        <v>126</v>
      </c>
      <c r="H38" s="168">
        <v>2024</v>
      </c>
      <c r="I38" s="185"/>
      <c r="J38" s="185"/>
    </row>
    <row r="39" spans="1:10" ht="120" x14ac:dyDescent="0.2">
      <c r="A39" s="93" t="s">
        <v>127</v>
      </c>
      <c r="B39" s="94" t="s">
        <v>29</v>
      </c>
      <c r="C39" s="94" t="s">
        <v>30</v>
      </c>
      <c r="D39" s="93" t="s">
        <v>80</v>
      </c>
      <c r="E39" s="93" t="s">
        <v>37</v>
      </c>
      <c r="F39" s="93" t="s">
        <v>38</v>
      </c>
      <c r="G39" s="94" t="s">
        <v>128</v>
      </c>
      <c r="H39" s="168">
        <v>2024</v>
      </c>
      <c r="I39" s="187"/>
      <c r="J39" s="185"/>
    </row>
    <row r="40" spans="1:10" ht="75" x14ac:dyDescent="0.2">
      <c r="A40" s="93" t="s">
        <v>129</v>
      </c>
      <c r="B40" s="94" t="s">
        <v>29</v>
      </c>
      <c r="C40" s="94" t="s">
        <v>30</v>
      </c>
      <c r="D40" s="93" t="s">
        <v>80</v>
      </c>
      <c r="E40" s="93" t="s">
        <v>37</v>
      </c>
      <c r="F40" s="93" t="s">
        <v>38</v>
      </c>
      <c r="G40" s="94" t="s">
        <v>130</v>
      </c>
      <c r="H40" s="168">
        <v>2024</v>
      </c>
      <c r="I40" s="187"/>
      <c r="J40" s="185"/>
    </row>
    <row r="41" spans="1:10" ht="90" x14ac:dyDescent="0.2">
      <c r="A41" s="94" t="s">
        <v>131</v>
      </c>
      <c r="B41" s="94" t="s">
        <v>29</v>
      </c>
      <c r="C41" s="94" t="s">
        <v>30</v>
      </c>
      <c r="D41" s="93" t="s">
        <v>80</v>
      </c>
      <c r="E41" s="93" t="s">
        <v>37</v>
      </c>
      <c r="F41" s="94" t="s">
        <v>38</v>
      </c>
      <c r="G41" s="94" t="s">
        <v>132</v>
      </c>
      <c r="H41" s="170">
        <v>2024</v>
      </c>
      <c r="I41" s="187"/>
      <c r="J41" s="185"/>
    </row>
    <row r="42" spans="1:10" ht="60" x14ac:dyDescent="0.2">
      <c r="A42" s="94" t="s">
        <v>133</v>
      </c>
      <c r="B42" s="94" t="s">
        <v>29</v>
      </c>
      <c r="C42" s="94" t="s">
        <v>30</v>
      </c>
      <c r="D42" s="93" t="s">
        <v>80</v>
      </c>
      <c r="E42" s="93" t="s">
        <v>37</v>
      </c>
      <c r="F42" s="94" t="s">
        <v>38</v>
      </c>
      <c r="G42" s="94" t="s">
        <v>134</v>
      </c>
      <c r="H42" s="170">
        <v>2024</v>
      </c>
      <c r="I42" s="187"/>
      <c r="J42" s="185"/>
    </row>
    <row r="43" spans="1:10" ht="75" x14ac:dyDescent="0.2">
      <c r="A43" s="94" t="s">
        <v>135</v>
      </c>
      <c r="B43" s="94" t="s">
        <v>29</v>
      </c>
      <c r="C43" s="94" t="s">
        <v>30</v>
      </c>
      <c r="D43" s="94" t="s">
        <v>63</v>
      </c>
      <c r="E43" s="94" t="s">
        <v>37</v>
      </c>
      <c r="F43" s="94" t="s">
        <v>136</v>
      </c>
      <c r="G43" s="94" t="s">
        <v>137</v>
      </c>
      <c r="H43" s="170">
        <v>2024</v>
      </c>
      <c r="I43" s="186"/>
      <c r="J43" s="185"/>
    </row>
    <row r="44" spans="1:10" ht="60" x14ac:dyDescent="0.2">
      <c r="A44" s="94" t="s">
        <v>138</v>
      </c>
      <c r="B44" s="94" t="s">
        <v>29</v>
      </c>
      <c r="C44" s="94" t="s">
        <v>30</v>
      </c>
      <c r="D44" s="94" t="s">
        <v>63</v>
      </c>
      <c r="E44" s="94" t="s">
        <v>54</v>
      </c>
      <c r="F44" s="94" t="s">
        <v>85</v>
      </c>
      <c r="G44" s="94" t="s">
        <v>139</v>
      </c>
      <c r="H44" s="170">
        <v>2024</v>
      </c>
      <c r="I44" s="186"/>
      <c r="J44" s="185"/>
    </row>
    <row r="45" spans="1:10" ht="30" x14ac:dyDescent="0.2">
      <c r="A45" s="93" t="s">
        <v>140</v>
      </c>
      <c r="B45" s="94" t="s">
        <v>29</v>
      </c>
      <c r="C45" s="94" t="s">
        <v>30</v>
      </c>
      <c r="D45" s="93" t="s">
        <v>41</v>
      </c>
      <c r="E45" s="93" t="s">
        <v>51</v>
      </c>
      <c r="F45" s="93" t="s">
        <v>141</v>
      </c>
      <c r="G45" s="94" t="s">
        <v>142</v>
      </c>
      <c r="H45" s="168">
        <v>2025</v>
      </c>
      <c r="I45" s="185"/>
      <c r="J45" s="185"/>
    </row>
    <row r="46" spans="1:10" ht="60" x14ac:dyDescent="0.2">
      <c r="A46" s="94" t="s">
        <v>143</v>
      </c>
      <c r="B46" s="94" t="s">
        <v>29</v>
      </c>
      <c r="C46" s="94" t="s">
        <v>30</v>
      </c>
      <c r="D46" s="94" t="s">
        <v>41</v>
      </c>
      <c r="E46" s="94" t="s">
        <v>54</v>
      </c>
      <c r="F46" s="94" t="s">
        <v>144</v>
      </c>
      <c r="G46" s="94" t="s">
        <v>145</v>
      </c>
      <c r="H46" s="170">
        <v>2025</v>
      </c>
      <c r="I46" s="186"/>
      <c r="J46" s="185"/>
    </row>
    <row r="47" spans="1:10" ht="30" x14ac:dyDescent="0.2">
      <c r="A47" s="93" t="s">
        <v>146</v>
      </c>
      <c r="B47" s="94" t="s">
        <v>29</v>
      </c>
      <c r="C47" s="94" t="s">
        <v>30</v>
      </c>
      <c r="D47" s="93" t="s">
        <v>41</v>
      </c>
      <c r="E47" s="93" t="s">
        <v>54</v>
      </c>
      <c r="F47" s="93" t="s">
        <v>144</v>
      </c>
      <c r="G47" s="94" t="s">
        <v>147</v>
      </c>
      <c r="H47" s="168">
        <v>2025</v>
      </c>
      <c r="I47" s="185"/>
      <c r="J47" s="185"/>
    </row>
    <row r="48" spans="1:10" ht="60" x14ac:dyDescent="0.2">
      <c r="A48" s="93">
        <v>5083</v>
      </c>
      <c r="B48" s="94" t="s">
        <v>29</v>
      </c>
      <c r="C48" s="94" t="s">
        <v>30</v>
      </c>
      <c r="D48" s="93" t="s">
        <v>50</v>
      </c>
      <c r="E48" s="93" t="s">
        <v>32</v>
      </c>
      <c r="F48" s="93" t="s">
        <v>148</v>
      </c>
      <c r="G48" s="94" t="s">
        <v>149</v>
      </c>
      <c r="H48" s="168">
        <v>2025</v>
      </c>
      <c r="I48" s="185"/>
      <c r="J48" s="185"/>
    </row>
    <row r="49" spans="1:10" ht="45" x14ac:dyDescent="0.2">
      <c r="A49" s="94" t="s">
        <v>150</v>
      </c>
      <c r="B49" s="94" t="s">
        <v>29</v>
      </c>
      <c r="C49" s="94" t="s">
        <v>30</v>
      </c>
      <c r="D49" s="93" t="s">
        <v>80</v>
      </c>
      <c r="E49" s="94" t="s">
        <v>37</v>
      </c>
      <c r="F49" s="94" t="s">
        <v>148</v>
      </c>
      <c r="G49" s="94" t="s">
        <v>151</v>
      </c>
      <c r="H49" s="170">
        <v>2025</v>
      </c>
      <c r="I49" s="187"/>
      <c r="J49" s="185"/>
    </row>
    <row r="50" spans="1:10" ht="90" x14ac:dyDescent="0.2">
      <c r="A50" s="94" t="s">
        <v>152</v>
      </c>
      <c r="B50" s="94" t="s">
        <v>29</v>
      </c>
      <c r="C50" s="94" t="s">
        <v>30</v>
      </c>
      <c r="D50" s="93" t="s">
        <v>80</v>
      </c>
      <c r="E50" s="93" t="s">
        <v>37</v>
      </c>
      <c r="F50" s="94" t="s">
        <v>38</v>
      </c>
      <c r="G50" s="94" t="s">
        <v>153</v>
      </c>
      <c r="H50" s="168">
        <v>2025</v>
      </c>
      <c r="I50" s="187"/>
      <c r="J50" s="185"/>
    </row>
    <row r="51" spans="1:10" ht="60" x14ac:dyDescent="0.2">
      <c r="A51" s="93" t="s">
        <v>94</v>
      </c>
      <c r="B51" s="94" t="s">
        <v>29</v>
      </c>
      <c r="C51" s="94" t="s">
        <v>30</v>
      </c>
      <c r="D51" s="93" t="s">
        <v>63</v>
      </c>
      <c r="E51" s="93" t="s">
        <v>51</v>
      </c>
      <c r="F51" s="93" t="s">
        <v>95</v>
      </c>
      <c r="G51" s="94" t="s">
        <v>154</v>
      </c>
      <c r="H51" s="172">
        <v>2025</v>
      </c>
      <c r="I51" s="185"/>
      <c r="J51" s="185"/>
    </row>
    <row r="52" spans="1:10" ht="135" x14ac:dyDescent="0.2">
      <c r="A52" s="93" t="s">
        <v>155</v>
      </c>
      <c r="B52" s="94" t="s">
        <v>29</v>
      </c>
      <c r="C52" s="94" t="s">
        <v>30</v>
      </c>
      <c r="D52" s="93" t="s">
        <v>63</v>
      </c>
      <c r="E52" s="93" t="s">
        <v>37</v>
      </c>
      <c r="F52" s="93" t="s">
        <v>156</v>
      </c>
      <c r="G52" s="94" t="s">
        <v>157</v>
      </c>
      <c r="H52" s="168">
        <v>2025</v>
      </c>
      <c r="I52" s="185"/>
      <c r="J52" s="185"/>
    </row>
    <row r="53" spans="1:10" ht="150" x14ac:dyDescent="0.2">
      <c r="A53" s="93" t="s">
        <v>158</v>
      </c>
      <c r="B53" s="94" t="s">
        <v>29</v>
      </c>
      <c r="C53" s="94" t="s">
        <v>30</v>
      </c>
      <c r="D53" s="93" t="s">
        <v>63</v>
      </c>
      <c r="E53" s="93" t="s">
        <v>37</v>
      </c>
      <c r="F53" s="93" t="s">
        <v>38</v>
      </c>
      <c r="G53" s="94" t="s">
        <v>159</v>
      </c>
      <c r="H53" s="168">
        <v>2025</v>
      </c>
      <c r="I53" s="185"/>
      <c r="J53" s="185"/>
    </row>
    <row r="54" spans="1:10" ht="150" x14ac:dyDescent="0.2">
      <c r="A54" s="93" t="s">
        <v>160</v>
      </c>
      <c r="B54" s="94" t="s">
        <v>29</v>
      </c>
      <c r="C54" s="94" t="s">
        <v>30</v>
      </c>
      <c r="D54" s="93" t="s">
        <v>63</v>
      </c>
      <c r="E54" s="93" t="s">
        <v>37</v>
      </c>
      <c r="F54" s="93" t="s">
        <v>38</v>
      </c>
      <c r="G54" s="94" t="s">
        <v>161</v>
      </c>
      <c r="H54" s="168">
        <v>2025</v>
      </c>
      <c r="I54" s="185"/>
      <c r="J54" s="185"/>
    </row>
    <row r="55" spans="1:10" ht="45" x14ac:dyDescent="0.2">
      <c r="A55" s="93" t="s">
        <v>162</v>
      </c>
      <c r="B55" s="94" t="s">
        <v>29</v>
      </c>
      <c r="C55" s="94" t="s">
        <v>30</v>
      </c>
      <c r="D55" s="93" t="s">
        <v>63</v>
      </c>
      <c r="E55" s="93" t="s">
        <v>54</v>
      </c>
      <c r="F55" s="93" t="s">
        <v>85</v>
      </c>
      <c r="G55" s="93" t="s">
        <v>163</v>
      </c>
      <c r="H55" s="168">
        <v>2025</v>
      </c>
      <c r="I55" s="185"/>
      <c r="J55" s="185"/>
    </row>
    <row r="56" spans="1:10" ht="45" x14ac:dyDescent="0.2">
      <c r="A56" s="93" t="s">
        <v>164</v>
      </c>
      <c r="B56" s="94" t="s">
        <v>29</v>
      </c>
      <c r="C56" s="94" t="s">
        <v>30</v>
      </c>
      <c r="D56" s="93" t="s">
        <v>63</v>
      </c>
      <c r="E56" s="93" t="s">
        <v>54</v>
      </c>
      <c r="F56" s="93" t="s">
        <v>165</v>
      </c>
      <c r="G56" s="94" t="s">
        <v>166</v>
      </c>
      <c r="H56" s="168">
        <v>2025</v>
      </c>
      <c r="I56" s="187"/>
      <c r="J56" s="185"/>
    </row>
    <row r="57" spans="1:10" ht="30" x14ac:dyDescent="0.2">
      <c r="A57" s="94">
        <v>9999</v>
      </c>
      <c r="B57" s="94" t="s">
        <v>29</v>
      </c>
      <c r="C57" s="94" t="s">
        <v>30</v>
      </c>
      <c r="D57" s="93" t="s">
        <v>36</v>
      </c>
      <c r="E57" s="94" t="s">
        <v>54</v>
      </c>
      <c r="F57" s="94" t="s">
        <v>167</v>
      </c>
      <c r="G57" s="94" t="s">
        <v>168</v>
      </c>
      <c r="H57" s="170">
        <v>2026</v>
      </c>
      <c r="I57" s="186"/>
      <c r="J57" s="185"/>
    </row>
    <row r="58" spans="1:10" ht="45" x14ac:dyDescent="0.2">
      <c r="A58" s="93" t="s">
        <v>169</v>
      </c>
      <c r="B58" s="94" t="s">
        <v>29</v>
      </c>
      <c r="C58" s="94" t="s">
        <v>30</v>
      </c>
      <c r="D58" s="93" t="s">
        <v>36</v>
      </c>
      <c r="E58" s="93" t="s">
        <v>37</v>
      </c>
      <c r="F58" s="93" t="s">
        <v>170</v>
      </c>
      <c r="G58" s="94" t="s">
        <v>171</v>
      </c>
      <c r="H58" s="168">
        <v>2026</v>
      </c>
      <c r="I58" s="185"/>
      <c r="J58" s="185"/>
    </row>
    <row r="59" spans="1:10" ht="90" x14ac:dyDescent="0.2">
      <c r="A59" s="93" t="s">
        <v>172</v>
      </c>
      <c r="B59" s="94" t="s">
        <v>29</v>
      </c>
      <c r="C59" s="94" t="s">
        <v>30</v>
      </c>
      <c r="D59" s="93" t="s">
        <v>50</v>
      </c>
      <c r="E59" s="93" t="s">
        <v>51</v>
      </c>
      <c r="F59" s="93" t="s">
        <v>173</v>
      </c>
      <c r="G59" s="93" t="s">
        <v>174</v>
      </c>
      <c r="H59" s="168">
        <v>2026</v>
      </c>
      <c r="I59" s="185"/>
      <c r="J59" s="185"/>
    </row>
    <row r="60" spans="1:10" ht="60" customHeight="1" x14ac:dyDescent="0.2">
      <c r="A60" s="94" t="s">
        <v>175</v>
      </c>
      <c r="B60" s="94" t="s">
        <v>29</v>
      </c>
      <c r="C60" s="94" t="s">
        <v>30</v>
      </c>
      <c r="D60" s="93" t="s">
        <v>80</v>
      </c>
      <c r="E60" s="93" t="s">
        <v>51</v>
      </c>
      <c r="F60" s="93" t="s">
        <v>103</v>
      </c>
      <c r="G60" s="93" t="s">
        <v>176</v>
      </c>
      <c r="H60" s="172">
        <v>2026</v>
      </c>
      <c r="I60" s="187"/>
      <c r="J60" s="185"/>
    </row>
    <row r="61" spans="1:10" ht="75" x14ac:dyDescent="0.25">
      <c r="A61" s="94" t="s">
        <v>177</v>
      </c>
      <c r="B61" s="94" t="s">
        <v>29</v>
      </c>
      <c r="C61" s="94" t="s">
        <v>30</v>
      </c>
      <c r="D61" s="94" t="s">
        <v>80</v>
      </c>
      <c r="E61" s="94" t="s">
        <v>51</v>
      </c>
      <c r="F61" s="94" t="s">
        <v>178</v>
      </c>
      <c r="G61" s="173" t="s">
        <v>179</v>
      </c>
      <c r="H61" s="169">
        <v>2026</v>
      </c>
      <c r="I61" s="186"/>
      <c r="J61" s="185"/>
    </row>
    <row r="62" spans="1:10" ht="60" x14ac:dyDescent="0.2">
      <c r="A62" s="93" t="s">
        <v>180</v>
      </c>
      <c r="B62" s="93" t="s">
        <v>29</v>
      </c>
      <c r="C62" s="94" t="s">
        <v>30</v>
      </c>
      <c r="D62" s="93" t="s">
        <v>80</v>
      </c>
      <c r="E62" s="93" t="s">
        <v>51</v>
      </c>
      <c r="F62" s="93" t="s">
        <v>178</v>
      </c>
      <c r="G62" s="93" t="s">
        <v>181</v>
      </c>
      <c r="H62" s="168">
        <v>2026</v>
      </c>
      <c r="I62" s="186"/>
      <c r="J62" s="185"/>
    </row>
    <row r="63" spans="1:10" ht="45" x14ac:dyDescent="0.2">
      <c r="A63" s="94" t="s">
        <v>182</v>
      </c>
      <c r="B63" s="94" t="s">
        <v>29</v>
      </c>
      <c r="C63" s="94" t="s">
        <v>30</v>
      </c>
      <c r="D63" s="93" t="s">
        <v>80</v>
      </c>
      <c r="E63" s="94" t="s">
        <v>37</v>
      </c>
      <c r="F63" s="94" t="s">
        <v>148</v>
      </c>
      <c r="G63" s="94" t="s">
        <v>183</v>
      </c>
      <c r="H63" s="170">
        <v>2026</v>
      </c>
      <c r="I63" s="187"/>
      <c r="J63" s="185"/>
    </row>
    <row r="64" spans="1:10" ht="45" x14ac:dyDescent="0.2">
      <c r="A64" s="94" t="s">
        <v>184</v>
      </c>
      <c r="B64" s="94" t="s">
        <v>29</v>
      </c>
      <c r="C64" s="94" t="s">
        <v>30</v>
      </c>
      <c r="D64" s="93" t="s">
        <v>80</v>
      </c>
      <c r="E64" s="94" t="s">
        <v>37</v>
      </c>
      <c r="F64" s="94" t="s">
        <v>148</v>
      </c>
      <c r="G64" s="94" t="s">
        <v>185</v>
      </c>
      <c r="H64" s="170">
        <v>2026</v>
      </c>
      <c r="I64" s="187"/>
      <c r="J64" s="185"/>
    </row>
    <row r="65" spans="1:10" ht="45" x14ac:dyDescent="0.2">
      <c r="A65" s="93">
        <v>5077</v>
      </c>
      <c r="B65" s="94" t="s">
        <v>29</v>
      </c>
      <c r="C65" s="94" t="s">
        <v>30</v>
      </c>
      <c r="D65" s="94" t="s">
        <v>63</v>
      </c>
      <c r="E65" s="93" t="s">
        <v>37</v>
      </c>
      <c r="F65" s="93" t="s">
        <v>38</v>
      </c>
      <c r="G65" s="94" t="s">
        <v>186</v>
      </c>
      <c r="H65" s="168">
        <v>2026</v>
      </c>
      <c r="I65" s="185"/>
      <c r="J65" s="185"/>
    </row>
    <row r="66" spans="1:10" ht="135" x14ac:dyDescent="0.2">
      <c r="A66" s="93" t="s">
        <v>187</v>
      </c>
      <c r="B66" s="94" t="s">
        <v>29</v>
      </c>
      <c r="C66" s="94" t="s">
        <v>30</v>
      </c>
      <c r="D66" s="93" t="s">
        <v>63</v>
      </c>
      <c r="E66" s="93" t="s">
        <v>51</v>
      </c>
      <c r="F66" s="93" t="s">
        <v>141</v>
      </c>
      <c r="G66" s="94" t="s">
        <v>188</v>
      </c>
      <c r="H66" s="168">
        <v>2026</v>
      </c>
      <c r="I66" s="185"/>
      <c r="J66" s="185"/>
    </row>
    <row r="67" spans="1:10" ht="60" x14ac:dyDescent="0.2">
      <c r="A67" s="93" t="s">
        <v>94</v>
      </c>
      <c r="B67" s="94" t="s">
        <v>29</v>
      </c>
      <c r="C67" s="94" t="s">
        <v>30</v>
      </c>
      <c r="D67" s="93" t="s">
        <v>63</v>
      </c>
      <c r="E67" s="93" t="s">
        <v>51</v>
      </c>
      <c r="F67" s="93" t="s">
        <v>95</v>
      </c>
      <c r="G67" s="94" t="s">
        <v>189</v>
      </c>
      <c r="H67" s="172">
        <v>2026</v>
      </c>
      <c r="I67" s="185"/>
      <c r="J67" s="185"/>
    </row>
    <row r="68" spans="1:10" ht="150" x14ac:dyDescent="0.2">
      <c r="A68" s="93" t="s">
        <v>190</v>
      </c>
      <c r="B68" s="94" t="s">
        <v>29</v>
      </c>
      <c r="C68" s="94" t="s">
        <v>30</v>
      </c>
      <c r="D68" s="93" t="s">
        <v>63</v>
      </c>
      <c r="E68" s="93" t="s">
        <v>37</v>
      </c>
      <c r="F68" s="93" t="s">
        <v>123</v>
      </c>
      <c r="G68" s="94" t="s">
        <v>191</v>
      </c>
      <c r="H68" s="168">
        <v>2026</v>
      </c>
      <c r="I68" s="185"/>
      <c r="J68" s="185"/>
    </row>
    <row r="69" spans="1:10" ht="135" x14ac:dyDescent="0.2">
      <c r="A69" s="93" t="s">
        <v>192</v>
      </c>
      <c r="B69" s="94" t="s">
        <v>29</v>
      </c>
      <c r="C69" s="94" t="s">
        <v>30</v>
      </c>
      <c r="D69" s="93" t="s">
        <v>63</v>
      </c>
      <c r="E69" s="93" t="s">
        <v>37</v>
      </c>
      <c r="F69" s="93" t="s">
        <v>123</v>
      </c>
      <c r="G69" s="94" t="s">
        <v>193</v>
      </c>
      <c r="H69" s="168">
        <v>2026</v>
      </c>
      <c r="I69" s="185"/>
      <c r="J69" s="185"/>
    </row>
    <row r="70" spans="1:10" ht="30" x14ac:dyDescent="0.2">
      <c r="A70" s="93" t="s">
        <v>194</v>
      </c>
      <c r="B70" s="94" t="s">
        <v>29</v>
      </c>
      <c r="C70" s="94" t="s">
        <v>30</v>
      </c>
      <c r="D70" s="93" t="s">
        <v>63</v>
      </c>
      <c r="E70" s="93" t="s">
        <v>37</v>
      </c>
      <c r="F70" s="93" t="s">
        <v>77</v>
      </c>
      <c r="G70" s="93" t="s">
        <v>195</v>
      </c>
      <c r="H70" s="168">
        <v>2026</v>
      </c>
      <c r="I70" s="185"/>
      <c r="J70" s="185"/>
    </row>
  </sheetData>
  <sheetProtection formatCells="0" formatColumns="0" formatRows="0" sort="0" autoFilter="0" pivotTables="0"/>
  <sortState xmlns:xlrd2="http://schemas.microsoft.com/office/spreadsheetml/2017/richdata2" ref="A7:J70">
    <sortCondition ref="H7:H70"/>
    <sortCondition ref="D7:D70"/>
  </sortState>
  <mergeCells count="2">
    <mergeCell ref="A1:J1"/>
    <mergeCell ref="A2:J2"/>
  </mergeCells>
  <printOptions horizontalCentered="1"/>
  <pageMargins left="0.75" right="0.75" top="1" bottom="1" header="0.5" footer="0.5"/>
  <pageSetup scale="58" fitToHeight="0" orientation="landscape" r:id="rId1"/>
  <headerFooter scaleWithDoc="0">
    <oddHeader>&amp;RPetitioner's Exhibit No. 2
Attachment  &amp;A
CEI North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8EAFD-C6FE-4A46-A56B-EACD1F4A3AAF}">
  <sheetPr codeName="Sheet5">
    <pageSetUpPr fitToPage="1"/>
  </sheetPr>
  <dimension ref="A1:CD350"/>
  <sheetViews>
    <sheetView view="pageBreakPreview" zoomScale="80" zoomScaleNormal="60" zoomScaleSheetLayoutView="80" zoomScalePageLayoutView="90" workbookViewId="0">
      <pane ySplit="6" topLeftCell="A7" activePane="bottomLeft" state="frozen"/>
      <selection activeCell="A134" sqref="A134"/>
      <selection pane="bottomLeft" activeCell="A7" sqref="A7"/>
    </sheetView>
  </sheetViews>
  <sheetFormatPr defaultColWidth="9.140625" defaultRowHeight="12.75" x14ac:dyDescent="0.2"/>
  <cols>
    <col min="1" max="1" width="19.85546875" style="64" bestFit="1" customWidth="1"/>
    <col min="2" max="2" width="24.85546875" style="65" bestFit="1" customWidth="1"/>
    <col min="3" max="3" width="25.42578125" style="65" bestFit="1" customWidth="1"/>
    <col min="4" max="4" width="27.28515625" style="66" customWidth="1"/>
    <col min="5" max="5" width="18.42578125" style="64" bestFit="1" customWidth="1"/>
    <col min="6" max="6" width="21.140625" style="65" bestFit="1" customWidth="1"/>
    <col min="7" max="7" width="60.7109375" style="65" bestFit="1" customWidth="1"/>
    <col min="8" max="8" width="13.42578125" style="65" customWidth="1"/>
    <col min="9" max="9" width="15.85546875" style="67" customWidth="1"/>
    <col min="10" max="10" width="15.140625" style="67" bestFit="1" customWidth="1"/>
    <col min="11" max="11" width="18.42578125" style="68" bestFit="1" customWidth="1"/>
    <col min="12" max="12" width="7.140625" style="68" bestFit="1" customWidth="1"/>
    <col min="13" max="16384" width="9.140625" style="68"/>
  </cols>
  <sheetData>
    <row r="1" spans="1:82" s="25" customFormat="1" ht="18" x14ac:dyDescent="0.25">
      <c r="A1" s="236" t="s">
        <v>1</v>
      </c>
      <c r="B1" s="236"/>
      <c r="C1" s="236"/>
      <c r="D1" s="236"/>
      <c r="E1" s="236"/>
      <c r="F1" s="236"/>
      <c r="G1" s="236"/>
      <c r="H1" s="236"/>
      <c r="I1" s="236"/>
      <c r="J1" s="236"/>
    </row>
    <row r="2" spans="1:82" s="25" customFormat="1" ht="18" x14ac:dyDescent="0.25">
      <c r="A2" s="236" t="s">
        <v>196</v>
      </c>
      <c r="B2" s="236"/>
      <c r="C2" s="236"/>
      <c r="D2" s="236"/>
      <c r="E2" s="236"/>
      <c r="F2" s="236"/>
      <c r="G2" s="236"/>
      <c r="H2" s="236"/>
      <c r="I2" s="236"/>
      <c r="J2" s="236"/>
    </row>
    <row r="3" spans="1:82" s="25" customFormat="1" ht="18" x14ac:dyDescent="0.2">
      <c r="A3" s="26"/>
      <c r="B3" s="27"/>
      <c r="C3" s="28"/>
      <c r="D3" s="29"/>
      <c r="E3" s="30"/>
      <c r="F3" s="31"/>
      <c r="G3" s="31"/>
      <c r="H3" s="31"/>
      <c r="I3" s="32"/>
      <c r="J3" s="32"/>
    </row>
    <row r="4" spans="1:82" s="25" customFormat="1" ht="18" x14ac:dyDescent="0.25">
      <c r="A4" s="33"/>
      <c r="B4" s="34"/>
      <c r="C4" s="21"/>
      <c r="D4" s="35"/>
      <c r="E4" s="36"/>
      <c r="F4" s="37"/>
      <c r="G4" s="37"/>
      <c r="H4" s="37"/>
      <c r="I4" s="38"/>
      <c r="J4" s="38"/>
    </row>
    <row r="5" spans="1:82" s="25" customFormat="1" ht="14.25" x14ac:dyDescent="0.2">
      <c r="A5" s="39"/>
      <c r="B5" s="40"/>
      <c r="C5" s="21"/>
      <c r="D5" s="21"/>
      <c r="E5" s="39"/>
      <c r="F5" s="41"/>
      <c r="G5" s="41"/>
      <c r="H5" s="41"/>
      <c r="I5" s="38"/>
      <c r="J5" s="38"/>
    </row>
    <row r="6" spans="1:82" s="42" customFormat="1" ht="25.5" x14ac:dyDescent="0.25">
      <c r="A6" s="60" t="s">
        <v>19</v>
      </c>
      <c r="B6" s="60" t="s">
        <v>20</v>
      </c>
      <c r="C6" s="60" t="s">
        <v>21</v>
      </c>
      <c r="D6" s="60" t="s">
        <v>22</v>
      </c>
      <c r="E6" s="60" t="s">
        <v>23</v>
      </c>
      <c r="F6" s="60" t="s">
        <v>24</v>
      </c>
      <c r="G6" s="60" t="s">
        <v>25</v>
      </c>
      <c r="H6" s="60" t="s">
        <v>26</v>
      </c>
      <c r="I6" s="60" t="s">
        <v>27</v>
      </c>
      <c r="J6" s="61" t="s">
        <v>28</v>
      </c>
    </row>
    <row r="7" spans="1:82" s="69" customFormat="1" ht="60" x14ac:dyDescent="0.2">
      <c r="A7" s="96" t="s">
        <v>197</v>
      </c>
      <c r="B7" s="72">
        <v>18103261</v>
      </c>
      <c r="C7" s="72" t="s">
        <v>198</v>
      </c>
      <c r="D7" s="96" t="s">
        <v>199</v>
      </c>
      <c r="E7" s="96" t="s">
        <v>54</v>
      </c>
      <c r="F7" s="93" t="s">
        <v>200</v>
      </c>
      <c r="G7" s="93" t="s">
        <v>201</v>
      </c>
      <c r="H7" s="97">
        <v>2022</v>
      </c>
      <c r="I7" s="188"/>
      <c r="J7" s="18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row>
    <row r="8" spans="1:82" s="69" customFormat="1" ht="45" x14ac:dyDescent="0.2">
      <c r="A8" s="96" t="s">
        <v>202</v>
      </c>
      <c r="B8" s="72">
        <v>13498647</v>
      </c>
      <c r="C8" s="72">
        <v>16595002050222</v>
      </c>
      <c r="D8" s="96" t="s">
        <v>31</v>
      </c>
      <c r="E8" s="96" t="s">
        <v>54</v>
      </c>
      <c r="F8" s="93" t="s">
        <v>200</v>
      </c>
      <c r="G8" s="93" t="s">
        <v>203</v>
      </c>
      <c r="H8" s="97">
        <v>2022</v>
      </c>
      <c r="I8" s="188"/>
      <c r="J8" s="18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row>
    <row r="9" spans="1:82" s="69" customFormat="1" ht="45" x14ac:dyDescent="0.2">
      <c r="A9" s="96" t="s">
        <v>204</v>
      </c>
      <c r="B9" s="72">
        <v>17506775</v>
      </c>
      <c r="C9" s="72">
        <v>20592402050214</v>
      </c>
      <c r="D9" s="96" t="s">
        <v>205</v>
      </c>
      <c r="E9" s="96" t="s">
        <v>37</v>
      </c>
      <c r="F9" s="96" t="s">
        <v>206</v>
      </c>
      <c r="G9" s="93" t="s">
        <v>207</v>
      </c>
      <c r="H9" s="97">
        <v>2022</v>
      </c>
      <c r="I9" s="188"/>
      <c r="J9" s="18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row>
    <row r="10" spans="1:82" s="69" customFormat="1" ht="30" x14ac:dyDescent="0.2">
      <c r="A10" s="96" t="s">
        <v>208</v>
      </c>
      <c r="B10" s="72">
        <v>17508498</v>
      </c>
      <c r="C10" s="72">
        <v>20592402050215</v>
      </c>
      <c r="D10" s="96" t="s">
        <v>205</v>
      </c>
      <c r="E10" s="96" t="s">
        <v>37</v>
      </c>
      <c r="F10" s="96" t="s">
        <v>206</v>
      </c>
      <c r="G10" s="93" t="s">
        <v>209</v>
      </c>
      <c r="H10" s="97">
        <v>2022</v>
      </c>
      <c r="I10" s="188"/>
      <c r="J10" s="18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row>
    <row r="11" spans="1:82" s="69" customFormat="1" ht="45" x14ac:dyDescent="0.2">
      <c r="A11" s="93" t="s">
        <v>210</v>
      </c>
      <c r="B11" s="72" t="s">
        <v>29</v>
      </c>
      <c r="C11" s="72" t="s">
        <v>30</v>
      </c>
      <c r="D11" s="96" t="s">
        <v>205</v>
      </c>
      <c r="E11" s="96" t="s">
        <v>54</v>
      </c>
      <c r="F11" s="96" t="s">
        <v>211</v>
      </c>
      <c r="G11" s="93" t="s">
        <v>212</v>
      </c>
      <c r="H11" s="97">
        <v>2022</v>
      </c>
      <c r="I11" s="188"/>
      <c r="J11" s="18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row>
    <row r="12" spans="1:82" s="69" customFormat="1" ht="45" x14ac:dyDescent="0.2">
      <c r="A12" s="96" t="s">
        <v>213</v>
      </c>
      <c r="B12" s="96">
        <v>18058848</v>
      </c>
      <c r="C12" s="72">
        <v>20592602050212</v>
      </c>
      <c r="D12" s="96" t="s">
        <v>205</v>
      </c>
      <c r="E12" s="96" t="s">
        <v>37</v>
      </c>
      <c r="F12" s="96" t="s">
        <v>170</v>
      </c>
      <c r="G12" s="93" t="s">
        <v>214</v>
      </c>
      <c r="H12" s="97">
        <v>2022</v>
      </c>
      <c r="I12" s="188"/>
      <c r="J12" s="18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row>
    <row r="13" spans="1:82" s="69" customFormat="1" ht="45" x14ac:dyDescent="0.2">
      <c r="A13" s="96" t="s">
        <v>215</v>
      </c>
      <c r="B13" s="96">
        <v>17503311</v>
      </c>
      <c r="C13" s="72">
        <v>20592402050212</v>
      </c>
      <c r="D13" s="96" t="s">
        <v>205</v>
      </c>
      <c r="E13" s="96" t="s">
        <v>37</v>
      </c>
      <c r="F13" s="96" t="s">
        <v>216</v>
      </c>
      <c r="G13" s="93" t="s">
        <v>217</v>
      </c>
      <c r="H13" s="97">
        <v>2022</v>
      </c>
      <c r="I13" s="188"/>
      <c r="J13" s="18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row>
    <row r="14" spans="1:82" s="69" customFormat="1" ht="15" x14ac:dyDescent="0.2">
      <c r="A14" s="74" t="s">
        <v>218</v>
      </c>
      <c r="B14" s="75" t="s">
        <v>218</v>
      </c>
      <c r="C14" s="75" t="s">
        <v>218</v>
      </c>
      <c r="D14" s="75" t="s">
        <v>219</v>
      </c>
      <c r="E14" s="74" t="s">
        <v>220</v>
      </c>
      <c r="F14" s="74" t="s">
        <v>221</v>
      </c>
      <c r="G14" s="74" t="s">
        <v>222</v>
      </c>
      <c r="H14" s="97">
        <v>2022</v>
      </c>
      <c r="I14" s="188"/>
      <c r="J14" s="18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row>
    <row r="15" spans="1:82" s="70" customFormat="1" ht="60" x14ac:dyDescent="0.2">
      <c r="A15" s="96" t="s">
        <v>223</v>
      </c>
      <c r="B15" s="72">
        <v>18040843</v>
      </c>
      <c r="C15" s="72">
        <v>20595502054210</v>
      </c>
      <c r="D15" s="93" t="s">
        <v>224</v>
      </c>
      <c r="E15" s="96" t="s">
        <v>54</v>
      </c>
      <c r="F15" s="96" t="s">
        <v>67</v>
      </c>
      <c r="G15" s="93" t="s">
        <v>225</v>
      </c>
      <c r="H15" s="97">
        <v>2022</v>
      </c>
      <c r="I15" s="188"/>
      <c r="J15" s="18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row>
    <row r="16" spans="1:82" s="70" customFormat="1" ht="45" x14ac:dyDescent="0.2">
      <c r="A16" s="96" t="s">
        <v>226</v>
      </c>
      <c r="B16" s="72">
        <v>18041793</v>
      </c>
      <c r="C16" s="72">
        <v>20595302054210</v>
      </c>
      <c r="D16" s="93" t="s">
        <v>224</v>
      </c>
      <c r="E16" s="96" t="s">
        <v>54</v>
      </c>
      <c r="F16" s="96" t="s">
        <v>227</v>
      </c>
      <c r="G16" s="93" t="s">
        <v>228</v>
      </c>
      <c r="H16" s="97">
        <v>2022</v>
      </c>
      <c r="I16" s="188"/>
      <c r="J16" s="18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row>
    <row r="17" spans="1:82" s="70" customFormat="1" ht="75" x14ac:dyDescent="0.2">
      <c r="A17" s="96" t="s">
        <v>229</v>
      </c>
      <c r="B17" s="72">
        <v>18017496</v>
      </c>
      <c r="C17" s="72">
        <v>20592402050217</v>
      </c>
      <c r="D17" s="93" t="s">
        <v>230</v>
      </c>
      <c r="E17" s="93" t="s">
        <v>37</v>
      </c>
      <c r="F17" s="93" t="s">
        <v>206</v>
      </c>
      <c r="G17" s="93" t="s">
        <v>231</v>
      </c>
      <c r="H17" s="97">
        <v>2022</v>
      </c>
      <c r="I17" s="188"/>
      <c r="J17" s="18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row>
    <row r="18" spans="1:82" s="70" customFormat="1" ht="90" x14ac:dyDescent="0.2">
      <c r="A18" s="96" t="s">
        <v>232</v>
      </c>
      <c r="B18" s="96">
        <v>18017549</v>
      </c>
      <c r="C18" s="72">
        <v>20592402050218</v>
      </c>
      <c r="D18" s="93" t="s">
        <v>230</v>
      </c>
      <c r="E18" s="96" t="s">
        <v>37</v>
      </c>
      <c r="F18" s="96" t="s">
        <v>38</v>
      </c>
      <c r="G18" s="93" t="s">
        <v>233</v>
      </c>
      <c r="H18" s="97">
        <v>2022</v>
      </c>
      <c r="I18" s="188"/>
      <c r="J18" s="18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row>
    <row r="19" spans="1:82" s="70" customFormat="1" ht="75" x14ac:dyDescent="0.2">
      <c r="A19" s="96" t="s">
        <v>234</v>
      </c>
      <c r="B19" s="96">
        <v>18581521</v>
      </c>
      <c r="C19" s="72" t="s">
        <v>30</v>
      </c>
      <c r="D19" s="93" t="s">
        <v>230</v>
      </c>
      <c r="E19" s="96" t="s">
        <v>37</v>
      </c>
      <c r="F19" s="96" t="s">
        <v>141</v>
      </c>
      <c r="G19" s="93" t="s">
        <v>235</v>
      </c>
      <c r="H19" s="97">
        <v>2022</v>
      </c>
      <c r="I19" s="188"/>
      <c r="J19" s="18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row>
    <row r="20" spans="1:82" s="70" customFormat="1" ht="30" x14ac:dyDescent="0.2">
      <c r="A20" s="96" t="s">
        <v>236</v>
      </c>
      <c r="B20" s="72">
        <v>18059041</v>
      </c>
      <c r="C20" s="72">
        <v>20583302050213</v>
      </c>
      <c r="D20" s="93" t="s">
        <v>230</v>
      </c>
      <c r="E20" s="96" t="s">
        <v>37</v>
      </c>
      <c r="F20" s="96" t="s">
        <v>141</v>
      </c>
      <c r="G20" s="93" t="s">
        <v>237</v>
      </c>
      <c r="H20" s="97">
        <v>2022</v>
      </c>
      <c r="I20" s="188"/>
      <c r="J20" s="18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row>
    <row r="21" spans="1:82" s="70" customFormat="1" ht="30" x14ac:dyDescent="0.2">
      <c r="A21" s="96" t="s">
        <v>238</v>
      </c>
      <c r="B21" s="72">
        <v>17510027</v>
      </c>
      <c r="C21" s="72">
        <v>20592002050213</v>
      </c>
      <c r="D21" s="93" t="s">
        <v>230</v>
      </c>
      <c r="E21" s="96" t="s">
        <v>37</v>
      </c>
      <c r="F21" s="96" t="s">
        <v>239</v>
      </c>
      <c r="G21" s="93" t="s">
        <v>240</v>
      </c>
      <c r="H21" s="97">
        <v>2022</v>
      </c>
      <c r="I21" s="188"/>
      <c r="J21" s="18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row>
    <row r="22" spans="1:82" s="70" customFormat="1" ht="45" x14ac:dyDescent="0.2">
      <c r="A22" s="96" t="s">
        <v>241</v>
      </c>
      <c r="B22" s="72">
        <v>17510005</v>
      </c>
      <c r="C22" s="72">
        <v>20592002050212</v>
      </c>
      <c r="D22" s="93" t="s">
        <v>230</v>
      </c>
      <c r="E22" s="96" t="s">
        <v>37</v>
      </c>
      <c r="F22" s="96" t="s">
        <v>239</v>
      </c>
      <c r="G22" s="93" t="s">
        <v>242</v>
      </c>
      <c r="H22" s="97">
        <v>2022</v>
      </c>
      <c r="I22" s="188"/>
      <c r="J22" s="18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row>
    <row r="23" spans="1:82" s="70" customFormat="1" ht="15" x14ac:dyDescent="0.2">
      <c r="A23" s="74" t="s">
        <v>218</v>
      </c>
      <c r="B23" s="75" t="s">
        <v>218</v>
      </c>
      <c r="C23" s="75" t="s">
        <v>218</v>
      </c>
      <c r="D23" s="75" t="s">
        <v>230</v>
      </c>
      <c r="E23" s="74" t="s">
        <v>220</v>
      </c>
      <c r="F23" s="74" t="s">
        <v>221</v>
      </c>
      <c r="G23" s="74" t="s">
        <v>243</v>
      </c>
      <c r="H23" s="97">
        <v>2022</v>
      </c>
      <c r="I23" s="188"/>
      <c r="J23" s="18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row>
    <row r="24" spans="1:82" s="70" customFormat="1" ht="30" x14ac:dyDescent="0.2">
      <c r="A24" s="96" t="s">
        <v>244</v>
      </c>
      <c r="B24" s="93">
        <v>18027432</v>
      </c>
      <c r="C24" s="71">
        <v>20575102050218</v>
      </c>
      <c r="D24" s="93" t="s">
        <v>230</v>
      </c>
      <c r="E24" s="96" t="s">
        <v>51</v>
      </c>
      <c r="F24" s="96" t="s">
        <v>103</v>
      </c>
      <c r="G24" s="93" t="s">
        <v>245</v>
      </c>
      <c r="H24" s="97">
        <v>2022</v>
      </c>
      <c r="I24" s="188"/>
      <c r="J24" s="18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row>
    <row r="25" spans="1:82" s="70" customFormat="1" ht="30" x14ac:dyDescent="0.2">
      <c r="A25" s="96" t="s">
        <v>246</v>
      </c>
      <c r="B25" s="93">
        <v>18027440</v>
      </c>
      <c r="C25" s="71">
        <v>20575102050219</v>
      </c>
      <c r="D25" s="93" t="s">
        <v>230</v>
      </c>
      <c r="E25" s="96" t="s">
        <v>51</v>
      </c>
      <c r="F25" s="96" t="s">
        <v>103</v>
      </c>
      <c r="G25" s="93" t="s">
        <v>247</v>
      </c>
      <c r="H25" s="97">
        <v>2022</v>
      </c>
      <c r="I25" s="188"/>
      <c r="J25" s="18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row>
    <row r="26" spans="1:82" s="70" customFormat="1" ht="30" x14ac:dyDescent="0.2">
      <c r="A26" s="96" t="s">
        <v>248</v>
      </c>
      <c r="B26" s="93">
        <v>18027447</v>
      </c>
      <c r="C26" s="71">
        <v>20575102050220</v>
      </c>
      <c r="D26" s="93" t="s">
        <v>230</v>
      </c>
      <c r="E26" s="96" t="s">
        <v>51</v>
      </c>
      <c r="F26" s="96" t="s">
        <v>103</v>
      </c>
      <c r="G26" s="93" t="s">
        <v>249</v>
      </c>
      <c r="H26" s="97">
        <v>2022</v>
      </c>
      <c r="I26" s="188"/>
      <c r="J26" s="18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row>
    <row r="27" spans="1:82" s="70" customFormat="1" ht="30" x14ac:dyDescent="0.2">
      <c r="A27" s="96" t="s">
        <v>250</v>
      </c>
      <c r="B27" s="93">
        <v>18027501</v>
      </c>
      <c r="C27" s="71">
        <v>20575102050222</v>
      </c>
      <c r="D27" s="93" t="s">
        <v>230</v>
      </c>
      <c r="E27" s="96" t="s">
        <v>51</v>
      </c>
      <c r="F27" s="96" t="s">
        <v>103</v>
      </c>
      <c r="G27" s="93" t="s">
        <v>251</v>
      </c>
      <c r="H27" s="97">
        <v>2022</v>
      </c>
      <c r="I27" s="188"/>
      <c r="J27" s="18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row>
    <row r="28" spans="1:82" s="70" customFormat="1" ht="30" x14ac:dyDescent="0.2">
      <c r="A28" s="93" t="s">
        <v>252</v>
      </c>
      <c r="B28" s="93">
        <v>17527739</v>
      </c>
      <c r="C28" s="71">
        <v>20575102050223</v>
      </c>
      <c r="D28" s="93" t="s">
        <v>230</v>
      </c>
      <c r="E28" s="96" t="s">
        <v>51</v>
      </c>
      <c r="F28" s="96" t="s">
        <v>103</v>
      </c>
      <c r="G28" s="93" t="s">
        <v>253</v>
      </c>
      <c r="H28" s="97">
        <v>2022</v>
      </c>
      <c r="I28" s="188"/>
      <c r="J28" s="18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row>
    <row r="29" spans="1:82" s="70" customFormat="1" ht="30" x14ac:dyDescent="0.2">
      <c r="A29" s="93" t="s">
        <v>254</v>
      </c>
      <c r="B29" s="72">
        <v>18340598</v>
      </c>
      <c r="C29" s="72">
        <v>21592402050210</v>
      </c>
      <c r="D29" s="93" t="s">
        <v>50</v>
      </c>
      <c r="E29" s="96" t="s">
        <v>37</v>
      </c>
      <c r="F29" s="96" t="s">
        <v>255</v>
      </c>
      <c r="G29" s="93" t="s">
        <v>256</v>
      </c>
      <c r="H29" s="97">
        <v>2022</v>
      </c>
      <c r="I29" s="188"/>
      <c r="J29" s="18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row>
    <row r="30" spans="1:82" s="70" customFormat="1" ht="15" x14ac:dyDescent="0.2">
      <c r="A30" s="74" t="s">
        <v>218</v>
      </c>
      <c r="B30" s="75" t="s">
        <v>218</v>
      </c>
      <c r="C30" s="75" t="s">
        <v>218</v>
      </c>
      <c r="D30" s="75" t="s">
        <v>257</v>
      </c>
      <c r="E30" s="74" t="s">
        <v>220</v>
      </c>
      <c r="F30" s="74" t="s">
        <v>221</v>
      </c>
      <c r="G30" s="74" t="s">
        <v>258</v>
      </c>
      <c r="H30" s="97">
        <v>2022</v>
      </c>
      <c r="I30" s="188"/>
      <c r="J30" s="18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row>
    <row r="31" spans="1:82" s="70" customFormat="1" ht="30" x14ac:dyDescent="0.2">
      <c r="A31" s="96" t="s">
        <v>29</v>
      </c>
      <c r="B31" s="72">
        <v>18878297</v>
      </c>
      <c r="C31" s="72">
        <v>21582102050224</v>
      </c>
      <c r="D31" s="93" t="s">
        <v>259</v>
      </c>
      <c r="E31" s="96" t="s">
        <v>51</v>
      </c>
      <c r="F31" s="96" t="s">
        <v>74</v>
      </c>
      <c r="G31" s="93" t="s">
        <v>260</v>
      </c>
      <c r="H31" s="97">
        <v>2022</v>
      </c>
      <c r="I31" s="188"/>
      <c r="J31" s="18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row>
    <row r="32" spans="1:82" s="70" customFormat="1" ht="30" x14ac:dyDescent="0.2">
      <c r="A32" s="96" t="s">
        <v>29</v>
      </c>
      <c r="B32" s="72">
        <v>18881265</v>
      </c>
      <c r="C32" s="72">
        <v>21595602050210</v>
      </c>
      <c r="D32" s="93" t="s">
        <v>259</v>
      </c>
      <c r="E32" s="96" t="s">
        <v>54</v>
      </c>
      <c r="F32" s="93" t="s">
        <v>59</v>
      </c>
      <c r="G32" s="93" t="s">
        <v>261</v>
      </c>
      <c r="H32" s="97">
        <v>2022</v>
      </c>
      <c r="I32" s="188"/>
      <c r="J32" s="18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row>
    <row r="33" spans="1:82" s="70" customFormat="1" ht="30" x14ac:dyDescent="0.2">
      <c r="A33" s="96" t="s">
        <v>29</v>
      </c>
      <c r="B33" s="74">
        <v>18883235</v>
      </c>
      <c r="C33" s="72">
        <v>21592502050210</v>
      </c>
      <c r="D33" s="93" t="s">
        <v>259</v>
      </c>
      <c r="E33" s="96" t="s">
        <v>37</v>
      </c>
      <c r="F33" s="96" t="s">
        <v>206</v>
      </c>
      <c r="G33" s="93" t="s">
        <v>262</v>
      </c>
      <c r="H33" s="97">
        <v>2022</v>
      </c>
      <c r="I33" s="188"/>
      <c r="J33" s="18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row>
    <row r="34" spans="1:82" s="70" customFormat="1" ht="30" x14ac:dyDescent="0.2">
      <c r="A34" s="96" t="s">
        <v>29</v>
      </c>
      <c r="B34" s="72">
        <v>18883250</v>
      </c>
      <c r="C34" s="72">
        <v>21592402050219</v>
      </c>
      <c r="D34" s="93" t="s">
        <v>259</v>
      </c>
      <c r="E34" s="96" t="s">
        <v>37</v>
      </c>
      <c r="F34" s="96" t="s">
        <v>38</v>
      </c>
      <c r="G34" s="93" t="s">
        <v>263</v>
      </c>
      <c r="H34" s="97">
        <v>2022</v>
      </c>
      <c r="I34" s="188"/>
      <c r="J34" s="18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row>
    <row r="35" spans="1:82" s="70" customFormat="1" ht="30" x14ac:dyDescent="0.2">
      <c r="A35" s="96" t="s">
        <v>29</v>
      </c>
      <c r="B35" s="72">
        <v>18883453</v>
      </c>
      <c r="C35" s="72">
        <v>21583302050214</v>
      </c>
      <c r="D35" s="93" t="s">
        <v>259</v>
      </c>
      <c r="E35" s="96" t="s">
        <v>37</v>
      </c>
      <c r="F35" s="96" t="s">
        <v>264</v>
      </c>
      <c r="G35" s="93" t="s">
        <v>265</v>
      </c>
      <c r="H35" s="97">
        <v>2022</v>
      </c>
      <c r="I35" s="188"/>
      <c r="J35" s="18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row>
    <row r="36" spans="1:82" s="70" customFormat="1" ht="30" x14ac:dyDescent="0.2">
      <c r="A36" s="96" t="s">
        <v>29</v>
      </c>
      <c r="B36" s="72">
        <v>18880516</v>
      </c>
      <c r="C36" s="72">
        <v>21574102050212</v>
      </c>
      <c r="D36" s="93" t="s">
        <v>259</v>
      </c>
      <c r="E36" s="96" t="s">
        <v>51</v>
      </c>
      <c r="F36" s="96" t="s">
        <v>178</v>
      </c>
      <c r="G36" s="93" t="s">
        <v>266</v>
      </c>
      <c r="H36" s="97">
        <v>2022</v>
      </c>
      <c r="I36" s="188"/>
      <c r="J36" s="18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row>
    <row r="37" spans="1:82" s="70" customFormat="1" ht="30" x14ac:dyDescent="0.2">
      <c r="A37" s="96" t="s">
        <v>29</v>
      </c>
      <c r="B37" s="72">
        <v>18883477</v>
      </c>
      <c r="C37" s="72">
        <v>21592902050217</v>
      </c>
      <c r="D37" s="93" t="s">
        <v>259</v>
      </c>
      <c r="E37" s="96" t="s">
        <v>37</v>
      </c>
      <c r="F37" s="96" t="s">
        <v>255</v>
      </c>
      <c r="G37" s="93" t="s">
        <v>263</v>
      </c>
      <c r="H37" s="97">
        <v>2022</v>
      </c>
      <c r="I37" s="188"/>
      <c r="J37" s="18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row>
    <row r="38" spans="1:82" s="70" customFormat="1" ht="30" x14ac:dyDescent="0.2">
      <c r="A38" s="96" t="s">
        <v>29</v>
      </c>
      <c r="B38" s="72">
        <v>18881171</v>
      </c>
      <c r="C38" s="72">
        <v>21573302050220</v>
      </c>
      <c r="D38" s="93" t="s">
        <v>259</v>
      </c>
      <c r="E38" s="96" t="s">
        <v>51</v>
      </c>
      <c r="F38" s="93" t="s">
        <v>173</v>
      </c>
      <c r="G38" s="93" t="s">
        <v>267</v>
      </c>
      <c r="H38" s="97">
        <v>2022</v>
      </c>
      <c r="I38" s="188"/>
      <c r="J38" s="18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row>
    <row r="39" spans="1:82" s="70" customFormat="1" ht="30" x14ac:dyDescent="0.2">
      <c r="A39" s="96" t="s">
        <v>29</v>
      </c>
      <c r="B39" s="72">
        <v>18881193</v>
      </c>
      <c r="C39" s="72">
        <v>21583002050210</v>
      </c>
      <c r="D39" s="93" t="s">
        <v>259</v>
      </c>
      <c r="E39" s="96" t="s">
        <v>51</v>
      </c>
      <c r="F39" s="96" t="s">
        <v>120</v>
      </c>
      <c r="G39" s="93" t="s">
        <v>268</v>
      </c>
      <c r="H39" s="97">
        <v>2022</v>
      </c>
      <c r="I39" s="188"/>
      <c r="J39" s="18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row>
    <row r="40" spans="1:82" s="70" customFormat="1" ht="30" x14ac:dyDescent="0.2">
      <c r="A40" s="96" t="s">
        <v>269</v>
      </c>
      <c r="B40" s="72">
        <v>18747210</v>
      </c>
      <c r="C40" s="72">
        <v>21582102050215</v>
      </c>
      <c r="D40" s="96" t="s">
        <v>270</v>
      </c>
      <c r="E40" s="93" t="s">
        <v>51</v>
      </c>
      <c r="F40" s="93" t="s">
        <v>74</v>
      </c>
      <c r="G40" s="93" t="s">
        <v>271</v>
      </c>
      <c r="H40" s="97">
        <v>2022</v>
      </c>
      <c r="I40" s="188"/>
      <c r="J40" s="185"/>
      <c r="K40" s="95"/>
      <c r="L40" s="91"/>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row>
    <row r="41" spans="1:82" s="70" customFormat="1" ht="30" x14ac:dyDescent="0.2">
      <c r="A41" s="96" t="s">
        <v>272</v>
      </c>
      <c r="B41" s="72">
        <v>18747218</v>
      </c>
      <c r="C41" s="72">
        <v>21582102050217</v>
      </c>
      <c r="D41" s="96" t="s">
        <v>270</v>
      </c>
      <c r="E41" s="93" t="s">
        <v>51</v>
      </c>
      <c r="F41" s="93" t="s">
        <v>74</v>
      </c>
      <c r="G41" s="93" t="s">
        <v>273</v>
      </c>
      <c r="H41" s="97">
        <v>2022</v>
      </c>
      <c r="I41" s="188"/>
      <c r="J41" s="185"/>
      <c r="K41" s="95"/>
      <c r="L41" s="91"/>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row>
    <row r="42" spans="1:82" s="70" customFormat="1" ht="30" x14ac:dyDescent="0.2">
      <c r="A42" s="96" t="s">
        <v>274</v>
      </c>
      <c r="B42" s="72">
        <v>18747219</v>
      </c>
      <c r="C42" s="72">
        <v>21582102050218</v>
      </c>
      <c r="D42" s="96" t="s">
        <v>270</v>
      </c>
      <c r="E42" s="93" t="s">
        <v>51</v>
      </c>
      <c r="F42" s="93" t="s">
        <v>74</v>
      </c>
      <c r="G42" s="93" t="s">
        <v>275</v>
      </c>
      <c r="H42" s="97">
        <v>2022</v>
      </c>
      <c r="I42" s="188"/>
      <c r="J42" s="185"/>
      <c r="K42" s="95"/>
      <c r="L42" s="91"/>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row>
    <row r="43" spans="1:82" s="70" customFormat="1" ht="30" x14ac:dyDescent="0.2">
      <c r="A43" s="96" t="s">
        <v>276</v>
      </c>
      <c r="B43" s="72">
        <v>18747244</v>
      </c>
      <c r="C43" s="72">
        <v>21582102050219</v>
      </c>
      <c r="D43" s="96" t="s">
        <v>270</v>
      </c>
      <c r="E43" s="93" t="s">
        <v>51</v>
      </c>
      <c r="F43" s="96" t="s">
        <v>74</v>
      </c>
      <c r="G43" s="93" t="s">
        <v>277</v>
      </c>
      <c r="H43" s="97">
        <v>2022</v>
      </c>
      <c r="I43" s="188"/>
      <c r="J43" s="185"/>
      <c r="K43" s="95"/>
      <c r="L43" s="91"/>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row>
    <row r="44" spans="1:82" s="70" customFormat="1" ht="30" x14ac:dyDescent="0.2">
      <c r="A44" s="96" t="s">
        <v>278</v>
      </c>
      <c r="B44" s="72">
        <v>18747181</v>
      </c>
      <c r="C44" s="72">
        <v>21582102050210</v>
      </c>
      <c r="D44" s="96" t="s">
        <v>270</v>
      </c>
      <c r="E44" s="93" t="s">
        <v>51</v>
      </c>
      <c r="F44" s="93" t="s">
        <v>74</v>
      </c>
      <c r="G44" s="93" t="s">
        <v>279</v>
      </c>
      <c r="H44" s="97">
        <v>2022</v>
      </c>
      <c r="I44" s="188"/>
      <c r="J44" s="185"/>
      <c r="K44" s="95"/>
      <c r="L44" s="91"/>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row>
    <row r="45" spans="1:82" s="70" customFormat="1" ht="30" x14ac:dyDescent="0.2">
      <c r="A45" s="96" t="s">
        <v>280</v>
      </c>
      <c r="B45" s="72">
        <v>18747183</v>
      </c>
      <c r="C45" s="72">
        <v>21582102050212</v>
      </c>
      <c r="D45" s="96" t="s">
        <v>270</v>
      </c>
      <c r="E45" s="93" t="s">
        <v>51</v>
      </c>
      <c r="F45" s="93" t="s">
        <v>74</v>
      </c>
      <c r="G45" s="93" t="s">
        <v>281</v>
      </c>
      <c r="H45" s="97">
        <v>2022</v>
      </c>
      <c r="I45" s="188"/>
      <c r="J45" s="185"/>
      <c r="K45" s="95"/>
      <c r="L45" s="91"/>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row>
    <row r="46" spans="1:82" s="70" customFormat="1" ht="30" x14ac:dyDescent="0.2">
      <c r="A46" s="96" t="s">
        <v>282</v>
      </c>
      <c r="B46" s="72">
        <v>18747199</v>
      </c>
      <c r="C46" s="72">
        <v>21582102050213</v>
      </c>
      <c r="D46" s="96" t="s">
        <v>270</v>
      </c>
      <c r="E46" s="93" t="s">
        <v>51</v>
      </c>
      <c r="F46" s="93" t="s">
        <v>74</v>
      </c>
      <c r="G46" s="93" t="s">
        <v>283</v>
      </c>
      <c r="H46" s="97">
        <v>2022</v>
      </c>
      <c r="I46" s="188"/>
      <c r="J46" s="185"/>
      <c r="K46" s="95"/>
      <c r="L46" s="91"/>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row>
    <row r="47" spans="1:82" s="70" customFormat="1" ht="30" x14ac:dyDescent="0.2">
      <c r="A47" s="96" t="s">
        <v>284</v>
      </c>
      <c r="B47" s="72">
        <v>18745367</v>
      </c>
      <c r="C47" s="72">
        <v>21592402050218</v>
      </c>
      <c r="D47" s="96" t="s">
        <v>270</v>
      </c>
      <c r="E47" s="93" t="s">
        <v>37</v>
      </c>
      <c r="F47" s="93" t="s">
        <v>285</v>
      </c>
      <c r="G47" s="93" t="s">
        <v>286</v>
      </c>
      <c r="H47" s="97">
        <v>2022</v>
      </c>
      <c r="I47" s="188"/>
      <c r="J47" s="185"/>
      <c r="K47" s="95"/>
      <c r="L47" s="91"/>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row>
    <row r="48" spans="1:82" s="70" customFormat="1" ht="30" x14ac:dyDescent="0.2">
      <c r="A48" s="96" t="s">
        <v>287</v>
      </c>
      <c r="B48" s="72">
        <v>18346685</v>
      </c>
      <c r="C48" s="72">
        <v>21595002050210</v>
      </c>
      <c r="D48" s="96" t="s">
        <v>270</v>
      </c>
      <c r="E48" s="93" t="s">
        <v>54</v>
      </c>
      <c r="F48" s="93" t="s">
        <v>288</v>
      </c>
      <c r="G48" s="93" t="s">
        <v>289</v>
      </c>
      <c r="H48" s="97">
        <v>2022</v>
      </c>
      <c r="I48" s="188"/>
      <c r="J48" s="185"/>
      <c r="K48" s="95"/>
      <c r="L48" s="91"/>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row>
    <row r="49" spans="1:82" s="70" customFormat="1" ht="30" x14ac:dyDescent="0.2">
      <c r="A49" s="96" t="s">
        <v>290</v>
      </c>
      <c r="B49" s="72">
        <v>18351653</v>
      </c>
      <c r="C49" s="72">
        <v>21592602050210</v>
      </c>
      <c r="D49" s="96" t="s">
        <v>270</v>
      </c>
      <c r="E49" s="93" t="s">
        <v>37</v>
      </c>
      <c r="F49" s="93" t="s">
        <v>156</v>
      </c>
      <c r="G49" s="93" t="s">
        <v>291</v>
      </c>
      <c r="H49" s="97">
        <v>2022</v>
      </c>
      <c r="I49" s="188"/>
      <c r="J49" s="185"/>
      <c r="K49" s="95"/>
      <c r="L49" s="91"/>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row>
    <row r="50" spans="1:82" s="70" customFormat="1" ht="30" x14ac:dyDescent="0.2">
      <c r="A50" s="96" t="s">
        <v>292</v>
      </c>
      <c r="B50" s="72">
        <v>18747176</v>
      </c>
      <c r="C50" s="72">
        <v>21583402050210</v>
      </c>
      <c r="D50" s="96" t="s">
        <v>270</v>
      </c>
      <c r="E50" s="93" t="s">
        <v>51</v>
      </c>
      <c r="F50" s="93" t="s">
        <v>293</v>
      </c>
      <c r="G50" s="93" t="s">
        <v>294</v>
      </c>
      <c r="H50" s="97">
        <v>2022</v>
      </c>
      <c r="I50" s="188"/>
      <c r="J50" s="18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row>
    <row r="51" spans="1:82" s="70" customFormat="1" ht="90" x14ac:dyDescent="0.2">
      <c r="A51" s="96" t="s">
        <v>295</v>
      </c>
      <c r="B51" s="72">
        <v>18103270</v>
      </c>
      <c r="C51" s="72">
        <v>20595502054212</v>
      </c>
      <c r="D51" s="96" t="s">
        <v>270</v>
      </c>
      <c r="E51" s="96" t="s">
        <v>54</v>
      </c>
      <c r="F51" s="96" t="s">
        <v>296</v>
      </c>
      <c r="G51" s="93" t="s">
        <v>297</v>
      </c>
      <c r="H51" s="97">
        <v>2022</v>
      </c>
      <c r="I51" s="188"/>
      <c r="J51" s="185"/>
      <c r="K51" s="95"/>
      <c r="L51" s="91"/>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row>
    <row r="52" spans="1:82" s="70" customFormat="1" ht="30" x14ac:dyDescent="0.2">
      <c r="A52" s="96" t="s">
        <v>298</v>
      </c>
      <c r="B52" s="72">
        <v>18351980</v>
      </c>
      <c r="C52" s="72">
        <v>21583502050210</v>
      </c>
      <c r="D52" s="96" t="s">
        <v>270</v>
      </c>
      <c r="E52" s="93" t="s">
        <v>37</v>
      </c>
      <c r="F52" s="93" t="s">
        <v>299</v>
      </c>
      <c r="G52" s="93" t="s">
        <v>300</v>
      </c>
      <c r="H52" s="97">
        <v>2022</v>
      </c>
      <c r="I52" s="188"/>
      <c r="J52" s="185"/>
      <c r="K52" s="95"/>
      <c r="L52" s="91"/>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5"/>
      <c r="BR52" s="95"/>
      <c r="BS52" s="95"/>
      <c r="BT52" s="95"/>
      <c r="BU52" s="95"/>
      <c r="BV52" s="95"/>
      <c r="BW52" s="95"/>
      <c r="BX52" s="95"/>
      <c r="BY52" s="95"/>
      <c r="BZ52" s="95"/>
      <c r="CA52" s="95"/>
      <c r="CB52" s="95"/>
      <c r="CC52" s="95"/>
      <c r="CD52" s="95"/>
    </row>
    <row r="53" spans="1:82" s="70" customFormat="1" ht="30" x14ac:dyDescent="0.2">
      <c r="A53" s="96" t="s">
        <v>301</v>
      </c>
      <c r="B53" s="72">
        <v>18352055</v>
      </c>
      <c r="C53" s="72">
        <v>21583302050213</v>
      </c>
      <c r="D53" s="96" t="s">
        <v>270</v>
      </c>
      <c r="E53" s="93" t="s">
        <v>37</v>
      </c>
      <c r="F53" s="93" t="s">
        <v>141</v>
      </c>
      <c r="G53" s="93" t="s">
        <v>302</v>
      </c>
      <c r="H53" s="97">
        <v>2022</v>
      </c>
      <c r="I53" s="188"/>
      <c r="J53" s="185"/>
      <c r="K53" s="95"/>
      <c r="L53" s="91"/>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row>
    <row r="54" spans="1:82" s="70" customFormat="1" ht="30" x14ac:dyDescent="0.2">
      <c r="A54" s="96" t="s">
        <v>303</v>
      </c>
      <c r="B54" s="72">
        <v>18352049</v>
      </c>
      <c r="C54" s="72">
        <v>21583302050212</v>
      </c>
      <c r="D54" s="96" t="s">
        <v>270</v>
      </c>
      <c r="E54" s="93" t="s">
        <v>37</v>
      </c>
      <c r="F54" s="93" t="s">
        <v>141</v>
      </c>
      <c r="G54" s="93" t="s">
        <v>304</v>
      </c>
      <c r="H54" s="97">
        <v>2022</v>
      </c>
      <c r="I54" s="188"/>
      <c r="J54" s="185"/>
      <c r="K54" s="95"/>
      <c r="L54" s="91"/>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row>
    <row r="55" spans="1:82" s="70" customFormat="1" ht="30" x14ac:dyDescent="0.2">
      <c r="A55" s="96" t="s">
        <v>305</v>
      </c>
      <c r="B55" s="72">
        <v>18351974</v>
      </c>
      <c r="C55" s="72">
        <v>21592702050212</v>
      </c>
      <c r="D55" s="96" t="s">
        <v>270</v>
      </c>
      <c r="E55" s="93" t="s">
        <v>37</v>
      </c>
      <c r="F55" s="93" t="s">
        <v>170</v>
      </c>
      <c r="G55" s="93" t="s">
        <v>306</v>
      </c>
      <c r="H55" s="97">
        <v>2022</v>
      </c>
      <c r="I55" s="188"/>
      <c r="J55" s="185"/>
      <c r="K55" s="95"/>
      <c r="L55" s="91"/>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5"/>
      <c r="CA55" s="95"/>
      <c r="CB55" s="95"/>
      <c r="CC55" s="95"/>
      <c r="CD55" s="95"/>
    </row>
    <row r="56" spans="1:82" s="70" customFormat="1" ht="30" x14ac:dyDescent="0.2">
      <c r="A56" s="96" t="s">
        <v>307</v>
      </c>
      <c r="B56" s="72">
        <v>18351743</v>
      </c>
      <c r="C56" s="72">
        <v>21592702050210</v>
      </c>
      <c r="D56" s="96" t="s">
        <v>270</v>
      </c>
      <c r="E56" s="93" t="s">
        <v>37</v>
      </c>
      <c r="F56" s="93" t="s">
        <v>170</v>
      </c>
      <c r="G56" s="93" t="s">
        <v>308</v>
      </c>
      <c r="H56" s="97">
        <v>2022</v>
      </c>
      <c r="I56" s="188"/>
      <c r="J56" s="185"/>
      <c r="K56" s="95"/>
      <c r="L56" s="91"/>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row>
    <row r="57" spans="1:82" s="70" customFormat="1" ht="30" x14ac:dyDescent="0.2">
      <c r="A57" s="96" t="s">
        <v>309</v>
      </c>
      <c r="B57" s="72">
        <v>18352105</v>
      </c>
      <c r="C57" s="72">
        <v>21595502050212</v>
      </c>
      <c r="D57" s="96" t="s">
        <v>270</v>
      </c>
      <c r="E57" s="93" t="s">
        <v>54</v>
      </c>
      <c r="F57" s="93" t="s">
        <v>67</v>
      </c>
      <c r="G57" s="93" t="s">
        <v>310</v>
      </c>
      <c r="H57" s="97">
        <v>2022</v>
      </c>
      <c r="I57" s="188"/>
      <c r="J57" s="185"/>
      <c r="K57" s="95"/>
      <c r="L57" s="91"/>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row>
    <row r="58" spans="1:82" s="70" customFormat="1" ht="30" x14ac:dyDescent="0.2">
      <c r="A58" s="96" t="s">
        <v>311</v>
      </c>
      <c r="B58" s="72">
        <v>18352069</v>
      </c>
      <c r="C58" s="72">
        <v>21595502050210</v>
      </c>
      <c r="D58" s="96" t="s">
        <v>270</v>
      </c>
      <c r="E58" s="93" t="s">
        <v>54</v>
      </c>
      <c r="F58" s="93" t="s">
        <v>67</v>
      </c>
      <c r="G58" s="93" t="s">
        <v>312</v>
      </c>
      <c r="H58" s="97">
        <v>2022</v>
      </c>
      <c r="I58" s="188"/>
      <c r="J58" s="185"/>
      <c r="K58" s="95"/>
      <c r="L58" s="91"/>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5"/>
      <c r="BR58" s="95"/>
      <c r="BS58" s="95"/>
      <c r="BT58" s="95"/>
      <c r="BU58" s="95"/>
      <c r="BV58" s="95"/>
      <c r="BW58" s="95"/>
      <c r="BX58" s="95"/>
      <c r="BY58" s="95"/>
      <c r="BZ58" s="95"/>
      <c r="CA58" s="95"/>
      <c r="CB58" s="95"/>
      <c r="CC58" s="95"/>
      <c r="CD58" s="95"/>
    </row>
    <row r="59" spans="1:82" s="70" customFormat="1" ht="30" x14ac:dyDescent="0.2">
      <c r="A59" s="96" t="s">
        <v>313</v>
      </c>
      <c r="B59" s="72">
        <v>18746394</v>
      </c>
      <c r="C59" s="72">
        <v>21595402050210</v>
      </c>
      <c r="D59" s="96" t="s">
        <v>270</v>
      </c>
      <c r="E59" s="93" t="s">
        <v>54</v>
      </c>
      <c r="F59" s="93" t="s">
        <v>88</v>
      </c>
      <c r="G59" s="93" t="s">
        <v>314</v>
      </c>
      <c r="H59" s="97">
        <v>2022</v>
      </c>
      <c r="I59" s="188"/>
      <c r="J59" s="185"/>
      <c r="K59" s="95"/>
      <c r="L59" s="91"/>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95"/>
      <c r="CC59" s="95"/>
      <c r="CD59" s="95"/>
    </row>
    <row r="60" spans="1:82" s="70" customFormat="1" ht="30" x14ac:dyDescent="0.2">
      <c r="A60" s="96" t="s">
        <v>315</v>
      </c>
      <c r="B60" s="72">
        <v>18746395</v>
      </c>
      <c r="C60" s="72">
        <v>21595402050212</v>
      </c>
      <c r="D60" s="96" t="s">
        <v>270</v>
      </c>
      <c r="E60" s="93" t="s">
        <v>54</v>
      </c>
      <c r="F60" s="93" t="s">
        <v>88</v>
      </c>
      <c r="G60" s="93" t="s">
        <v>316</v>
      </c>
      <c r="H60" s="97">
        <v>2022</v>
      </c>
      <c r="I60" s="188"/>
      <c r="J60" s="185"/>
      <c r="K60" s="95"/>
      <c r="L60" s="91"/>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row>
    <row r="61" spans="1:82" s="70" customFormat="1" ht="30" x14ac:dyDescent="0.2">
      <c r="A61" s="96" t="s">
        <v>317</v>
      </c>
      <c r="B61" s="72">
        <v>18352035</v>
      </c>
      <c r="C61" s="72">
        <v>21583302050210</v>
      </c>
      <c r="D61" s="96" t="s">
        <v>270</v>
      </c>
      <c r="E61" s="93" t="s">
        <v>37</v>
      </c>
      <c r="F61" s="93" t="s">
        <v>318</v>
      </c>
      <c r="G61" s="93" t="s">
        <v>319</v>
      </c>
      <c r="H61" s="97">
        <v>2022</v>
      </c>
      <c r="I61" s="188"/>
      <c r="J61" s="185"/>
      <c r="K61" s="95"/>
      <c r="L61" s="91"/>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row>
    <row r="62" spans="1:82" s="70" customFormat="1" ht="30" x14ac:dyDescent="0.2">
      <c r="A62" s="96" t="s">
        <v>320</v>
      </c>
      <c r="B62" s="72">
        <v>18747212</v>
      </c>
      <c r="C62" s="72">
        <v>21582102050216</v>
      </c>
      <c r="D62" s="96" t="s">
        <v>270</v>
      </c>
      <c r="E62" s="93" t="s">
        <v>51</v>
      </c>
      <c r="F62" s="93" t="s">
        <v>321</v>
      </c>
      <c r="G62" s="93" t="s">
        <v>322</v>
      </c>
      <c r="H62" s="97">
        <v>2022</v>
      </c>
      <c r="I62" s="188"/>
      <c r="J62" s="185"/>
      <c r="K62" s="95"/>
      <c r="L62" s="91"/>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row>
    <row r="63" spans="1:82" s="70" customFormat="1" ht="30" x14ac:dyDescent="0.2">
      <c r="A63" s="96" t="s">
        <v>323</v>
      </c>
      <c r="B63" s="72">
        <v>18747204</v>
      </c>
      <c r="C63" s="72">
        <v>21582102050214</v>
      </c>
      <c r="D63" s="96" t="s">
        <v>270</v>
      </c>
      <c r="E63" s="93" t="s">
        <v>51</v>
      </c>
      <c r="F63" s="93" t="s">
        <v>321</v>
      </c>
      <c r="G63" s="93" t="s">
        <v>324</v>
      </c>
      <c r="H63" s="97">
        <v>2022</v>
      </c>
      <c r="I63" s="188"/>
      <c r="J63" s="185"/>
      <c r="K63" s="95"/>
      <c r="L63" s="91"/>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row>
    <row r="64" spans="1:82" s="70" customFormat="1" ht="30" x14ac:dyDescent="0.2">
      <c r="A64" s="96" t="s">
        <v>325</v>
      </c>
      <c r="B64" s="72">
        <v>18352066</v>
      </c>
      <c r="C64" s="72">
        <v>21595002050212</v>
      </c>
      <c r="D64" s="96" t="s">
        <v>270</v>
      </c>
      <c r="E64" s="93" t="s">
        <v>54</v>
      </c>
      <c r="F64" s="93" t="s">
        <v>326</v>
      </c>
      <c r="G64" s="93" t="s">
        <v>327</v>
      </c>
      <c r="H64" s="97">
        <v>2022</v>
      </c>
      <c r="I64" s="188"/>
      <c r="J64" s="185"/>
      <c r="K64" s="95"/>
      <c r="L64" s="91"/>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row>
    <row r="65" spans="1:82" s="70" customFormat="1" ht="30" x14ac:dyDescent="0.2">
      <c r="A65" s="96" t="s">
        <v>328</v>
      </c>
      <c r="B65" s="72">
        <v>18352018</v>
      </c>
      <c r="C65" s="72">
        <v>21575302050212</v>
      </c>
      <c r="D65" s="96" t="s">
        <v>270</v>
      </c>
      <c r="E65" s="93" t="s">
        <v>37</v>
      </c>
      <c r="F65" s="93" t="s">
        <v>329</v>
      </c>
      <c r="G65" s="93" t="s">
        <v>330</v>
      </c>
      <c r="H65" s="97">
        <v>2022</v>
      </c>
      <c r="I65" s="188"/>
      <c r="J65" s="185"/>
      <c r="K65" s="95"/>
      <c r="L65" s="91"/>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row>
    <row r="66" spans="1:82" s="70" customFormat="1" ht="30" x14ac:dyDescent="0.2">
      <c r="A66" s="96" t="s">
        <v>331</v>
      </c>
      <c r="B66" s="72">
        <v>18351985</v>
      </c>
      <c r="C66" s="72">
        <v>21575302050210</v>
      </c>
      <c r="D66" s="96" t="s">
        <v>270</v>
      </c>
      <c r="E66" s="93" t="s">
        <v>37</v>
      </c>
      <c r="F66" s="93" t="s">
        <v>329</v>
      </c>
      <c r="G66" s="93" t="s">
        <v>332</v>
      </c>
      <c r="H66" s="97">
        <v>2022</v>
      </c>
      <c r="I66" s="188"/>
      <c r="J66" s="185"/>
      <c r="K66" s="95"/>
      <c r="L66" s="91"/>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row>
    <row r="67" spans="1:82" s="70" customFormat="1" ht="60" x14ac:dyDescent="0.2">
      <c r="A67" s="96" t="s">
        <v>333</v>
      </c>
      <c r="B67" s="72">
        <v>15131328</v>
      </c>
      <c r="C67" s="72">
        <v>18595002050213</v>
      </c>
      <c r="D67" s="96" t="s">
        <v>270</v>
      </c>
      <c r="E67" s="96" t="s">
        <v>54</v>
      </c>
      <c r="F67" s="93" t="s">
        <v>200</v>
      </c>
      <c r="G67" s="93" t="s">
        <v>334</v>
      </c>
      <c r="H67" s="97">
        <v>2022</v>
      </c>
      <c r="I67" s="188"/>
      <c r="J67" s="185"/>
      <c r="K67" s="95"/>
      <c r="L67" s="91"/>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row>
    <row r="68" spans="1:82" s="70" customFormat="1" ht="30" x14ac:dyDescent="0.2">
      <c r="A68" s="96" t="s">
        <v>335</v>
      </c>
      <c r="B68" s="72">
        <v>18746397</v>
      </c>
      <c r="C68" s="72">
        <v>21595002050218</v>
      </c>
      <c r="D68" s="96" t="s">
        <v>270</v>
      </c>
      <c r="E68" s="93" t="s">
        <v>54</v>
      </c>
      <c r="F68" s="93" t="s">
        <v>200</v>
      </c>
      <c r="G68" s="93" t="s">
        <v>336</v>
      </c>
      <c r="H68" s="97">
        <v>2022</v>
      </c>
      <c r="I68" s="188"/>
      <c r="J68" s="185"/>
      <c r="K68" s="95"/>
      <c r="L68" s="91"/>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row>
    <row r="69" spans="1:82" s="70" customFormat="1" ht="30" x14ac:dyDescent="0.2">
      <c r="A69" s="96" t="s">
        <v>337</v>
      </c>
      <c r="B69" s="72">
        <v>18746398</v>
      </c>
      <c r="C69" s="72">
        <v>21595002050219</v>
      </c>
      <c r="D69" s="96" t="s">
        <v>270</v>
      </c>
      <c r="E69" s="93" t="s">
        <v>54</v>
      </c>
      <c r="F69" s="93" t="s">
        <v>200</v>
      </c>
      <c r="G69" s="93" t="s">
        <v>338</v>
      </c>
      <c r="H69" s="97">
        <v>2022</v>
      </c>
      <c r="I69" s="188"/>
      <c r="J69" s="185"/>
      <c r="K69" s="95"/>
      <c r="L69" s="91"/>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row>
    <row r="70" spans="1:82" s="70" customFormat="1" ht="30" x14ac:dyDescent="0.2">
      <c r="A70" s="96" t="s">
        <v>339</v>
      </c>
      <c r="B70" s="72">
        <v>18746399</v>
      </c>
      <c r="C70" s="72">
        <v>21595002050220</v>
      </c>
      <c r="D70" s="96" t="s">
        <v>270</v>
      </c>
      <c r="E70" s="93" t="s">
        <v>54</v>
      </c>
      <c r="F70" s="93" t="s">
        <v>200</v>
      </c>
      <c r="G70" s="93" t="s">
        <v>340</v>
      </c>
      <c r="H70" s="97">
        <v>2022</v>
      </c>
      <c r="I70" s="188"/>
      <c r="J70" s="185"/>
      <c r="K70" s="95"/>
      <c r="L70" s="91"/>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row>
    <row r="71" spans="1:82" s="70" customFormat="1" ht="30" x14ac:dyDescent="0.2">
      <c r="A71" s="96" t="s">
        <v>341</v>
      </c>
      <c r="B71" s="72">
        <v>18746401</v>
      </c>
      <c r="C71" s="72">
        <v>21595002050221</v>
      </c>
      <c r="D71" s="96" t="s">
        <v>270</v>
      </c>
      <c r="E71" s="93" t="s">
        <v>54</v>
      </c>
      <c r="F71" s="93" t="s">
        <v>200</v>
      </c>
      <c r="G71" s="93" t="s">
        <v>342</v>
      </c>
      <c r="H71" s="97">
        <v>2022</v>
      </c>
      <c r="I71" s="188"/>
      <c r="J71" s="18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row>
    <row r="72" spans="1:82" s="70" customFormat="1" ht="60" x14ac:dyDescent="0.2">
      <c r="A72" s="96" t="s">
        <v>343</v>
      </c>
      <c r="B72" s="72">
        <v>9581826</v>
      </c>
      <c r="C72" s="72">
        <v>14595002050222</v>
      </c>
      <c r="D72" s="96" t="s">
        <v>199</v>
      </c>
      <c r="E72" s="96" t="s">
        <v>54</v>
      </c>
      <c r="F72" s="96" t="s">
        <v>200</v>
      </c>
      <c r="G72" s="93" t="s">
        <v>344</v>
      </c>
      <c r="H72" s="97">
        <v>2023</v>
      </c>
      <c r="I72" s="188"/>
      <c r="J72" s="18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row>
    <row r="73" spans="1:82" s="70" customFormat="1" ht="30" x14ac:dyDescent="0.2">
      <c r="A73" s="96" t="s">
        <v>345</v>
      </c>
      <c r="B73" s="72">
        <v>18457978</v>
      </c>
      <c r="C73" s="72">
        <v>21583502050212</v>
      </c>
      <c r="D73" s="96" t="s">
        <v>205</v>
      </c>
      <c r="E73" s="96" t="s">
        <v>37</v>
      </c>
      <c r="F73" s="96" t="s">
        <v>299</v>
      </c>
      <c r="G73" s="93" t="s">
        <v>346</v>
      </c>
      <c r="H73" s="97">
        <v>2023</v>
      </c>
      <c r="I73" s="188"/>
      <c r="J73" s="18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row>
    <row r="74" spans="1:82" s="70" customFormat="1" ht="30" x14ac:dyDescent="0.2">
      <c r="A74" s="96" t="s">
        <v>347</v>
      </c>
      <c r="B74" s="72">
        <v>18457926</v>
      </c>
      <c r="C74" s="72">
        <v>21592402050216</v>
      </c>
      <c r="D74" s="96" t="s">
        <v>205</v>
      </c>
      <c r="E74" s="96" t="s">
        <v>37</v>
      </c>
      <c r="F74" s="96" t="s">
        <v>216</v>
      </c>
      <c r="G74" s="93" t="s">
        <v>348</v>
      </c>
      <c r="H74" s="97">
        <v>2023</v>
      </c>
      <c r="I74" s="188"/>
      <c r="J74" s="18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row>
    <row r="75" spans="1:82" s="70" customFormat="1" ht="15" x14ac:dyDescent="0.2">
      <c r="A75" s="74" t="s">
        <v>218</v>
      </c>
      <c r="B75" s="75" t="s">
        <v>218</v>
      </c>
      <c r="C75" s="75" t="s">
        <v>218</v>
      </c>
      <c r="D75" s="75" t="s">
        <v>219</v>
      </c>
      <c r="E75" s="74" t="s">
        <v>220</v>
      </c>
      <c r="F75" s="74" t="s">
        <v>221</v>
      </c>
      <c r="G75" s="74" t="s">
        <v>349</v>
      </c>
      <c r="H75" s="97">
        <v>2023</v>
      </c>
      <c r="I75" s="188"/>
      <c r="J75" s="18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row>
    <row r="76" spans="1:82" s="70" customFormat="1" ht="60" x14ac:dyDescent="0.2">
      <c r="A76" s="96" t="s">
        <v>350</v>
      </c>
      <c r="B76" s="71">
        <v>18455270</v>
      </c>
      <c r="C76" s="72">
        <v>21595302050210</v>
      </c>
      <c r="D76" s="93" t="s">
        <v>224</v>
      </c>
      <c r="E76" s="96" t="s">
        <v>54</v>
      </c>
      <c r="F76" s="96" t="s">
        <v>351</v>
      </c>
      <c r="G76" s="93" t="s">
        <v>352</v>
      </c>
      <c r="H76" s="97">
        <v>2023</v>
      </c>
      <c r="I76" s="188"/>
      <c r="J76" s="18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5"/>
      <c r="BR76" s="95"/>
      <c r="BS76" s="95"/>
      <c r="BT76" s="95"/>
      <c r="BU76" s="95"/>
      <c r="BV76" s="95"/>
      <c r="BW76" s="95"/>
      <c r="BX76" s="95"/>
      <c r="BY76" s="95"/>
      <c r="BZ76" s="95"/>
      <c r="CA76" s="95"/>
      <c r="CB76" s="95"/>
      <c r="CC76" s="95"/>
      <c r="CD76" s="95"/>
    </row>
    <row r="77" spans="1:82" s="70" customFormat="1" ht="30" x14ac:dyDescent="0.2">
      <c r="A77" s="96" t="s">
        <v>353</v>
      </c>
      <c r="B77" s="72">
        <v>18455278</v>
      </c>
      <c r="C77" s="72">
        <v>21592402050212</v>
      </c>
      <c r="D77" s="93" t="s">
        <v>230</v>
      </c>
      <c r="E77" s="96" t="s">
        <v>37</v>
      </c>
      <c r="F77" s="96" t="s">
        <v>38</v>
      </c>
      <c r="G77" s="93" t="s">
        <v>354</v>
      </c>
      <c r="H77" s="97">
        <v>2023</v>
      </c>
      <c r="I77" s="188"/>
      <c r="J77" s="18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95"/>
      <c r="BM77" s="95"/>
      <c r="BN77" s="95"/>
      <c r="BO77" s="95"/>
      <c r="BP77" s="95"/>
      <c r="BQ77" s="95"/>
      <c r="BR77" s="95"/>
      <c r="BS77" s="95"/>
      <c r="BT77" s="95"/>
      <c r="BU77" s="95"/>
      <c r="BV77" s="95"/>
      <c r="BW77" s="95"/>
      <c r="BX77" s="95"/>
      <c r="BY77" s="95"/>
      <c r="BZ77" s="95"/>
      <c r="CA77" s="95"/>
      <c r="CB77" s="95"/>
      <c r="CC77" s="95"/>
      <c r="CD77" s="95"/>
    </row>
    <row r="78" spans="1:82" s="70" customFormat="1" ht="90" x14ac:dyDescent="0.2">
      <c r="A78" s="96" t="s">
        <v>355</v>
      </c>
      <c r="B78" s="72">
        <v>18457830</v>
      </c>
      <c r="C78" s="72">
        <v>21592402050214</v>
      </c>
      <c r="D78" s="93" t="s">
        <v>230</v>
      </c>
      <c r="E78" s="96" t="s">
        <v>37</v>
      </c>
      <c r="F78" s="73" t="s">
        <v>38</v>
      </c>
      <c r="G78" s="93" t="s">
        <v>356</v>
      </c>
      <c r="H78" s="97">
        <v>2023</v>
      </c>
      <c r="I78" s="188"/>
      <c r="J78" s="18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row>
    <row r="79" spans="1:82" s="70" customFormat="1" ht="75" x14ac:dyDescent="0.2">
      <c r="A79" s="96" t="s">
        <v>357</v>
      </c>
      <c r="B79" s="72">
        <v>18457998</v>
      </c>
      <c r="C79" s="72">
        <v>21592402050217</v>
      </c>
      <c r="D79" s="93" t="s">
        <v>230</v>
      </c>
      <c r="E79" s="96" t="s">
        <v>37</v>
      </c>
      <c r="F79" s="96" t="s">
        <v>38</v>
      </c>
      <c r="G79" s="93" t="s">
        <v>358</v>
      </c>
      <c r="H79" s="97">
        <v>2023</v>
      </c>
      <c r="I79" s="188"/>
      <c r="J79" s="18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row>
    <row r="80" spans="1:82" s="70" customFormat="1" ht="30" x14ac:dyDescent="0.2">
      <c r="A80" s="96" t="s">
        <v>359</v>
      </c>
      <c r="B80" s="72">
        <v>18458023</v>
      </c>
      <c r="C80" s="72">
        <v>21592002050210</v>
      </c>
      <c r="D80" s="93" t="s">
        <v>230</v>
      </c>
      <c r="E80" s="96" t="s">
        <v>37</v>
      </c>
      <c r="F80" s="96" t="s">
        <v>123</v>
      </c>
      <c r="G80" s="93" t="s">
        <v>360</v>
      </c>
      <c r="H80" s="97">
        <v>2023</v>
      </c>
      <c r="I80" s="188"/>
      <c r="J80" s="18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5"/>
      <c r="BR80" s="95"/>
      <c r="BS80" s="95"/>
      <c r="BT80" s="95"/>
      <c r="BU80" s="95"/>
      <c r="BV80" s="95"/>
      <c r="BW80" s="95"/>
      <c r="BX80" s="95"/>
      <c r="BY80" s="95"/>
      <c r="BZ80" s="95"/>
      <c r="CA80" s="95"/>
      <c r="CB80" s="95"/>
      <c r="CC80" s="95"/>
      <c r="CD80" s="95"/>
    </row>
    <row r="81" spans="1:82" s="70" customFormat="1" ht="30" x14ac:dyDescent="0.2">
      <c r="A81" s="96" t="s">
        <v>361</v>
      </c>
      <c r="B81" s="72">
        <v>18457869</v>
      </c>
      <c r="C81" s="72">
        <v>21592602050212</v>
      </c>
      <c r="D81" s="93" t="s">
        <v>230</v>
      </c>
      <c r="E81" s="96" t="s">
        <v>37</v>
      </c>
      <c r="F81" s="96" t="s">
        <v>156</v>
      </c>
      <c r="G81" s="93" t="s">
        <v>362</v>
      </c>
      <c r="H81" s="97">
        <v>2023</v>
      </c>
      <c r="I81" s="188"/>
      <c r="J81" s="18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c r="BN81" s="95"/>
      <c r="BO81" s="95"/>
      <c r="BP81" s="95"/>
      <c r="BQ81" s="95"/>
      <c r="BR81" s="95"/>
      <c r="BS81" s="95"/>
      <c r="BT81" s="95"/>
      <c r="BU81" s="95"/>
      <c r="BV81" s="95"/>
      <c r="BW81" s="95"/>
      <c r="BX81" s="95"/>
      <c r="BY81" s="95"/>
      <c r="BZ81" s="95"/>
      <c r="CA81" s="95"/>
      <c r="CB81" s="95"/>
      <c r="CC81" s="95"/>
      <c r="CD81" s="95"/>
    </row>
    <row r="82" spans="1:82" s="70" customFormat="1" ht="30" x14ac:dyDescent="0.2">
      <c r="A82" s="96" t="s">
        <v>363</v>
      </c>
      <c r="B82" s="72">
        <v>18457894</v>
      </c>
      <c r="C82" s="72">
        <v>21592402050215</v>
      </c>
      <c r="D82" s="93" t="s">
        <v>230</v>
      </c>
      <c r="E82" s="96" t="s">
        <v>37</v>
      </c>
      <c r="F82" s="96" t="s">
        <v>364</v>
      </c>
      <c r="G82" s="93" t="s">
        <v>365</v>
      </c>
      <c r="H82" s="97">
        <v>2023</v>
      </c>
      <c r="I82" s="188"/>
      <c r="J82" s="18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c r="BQ82" s="95"/>
      <c r="BR82" s="95"/>
      <c r="BS82" s="95"/>
      <c r="BT82" s="95"/>
      <c r="BU82" s="95"/>
      <c r="BV82" s="95"/>
      <c r="BW82" s="95"/>
      <c r="BX82" s="95"/>
      <c r="BY82" s="95"/>
      <c r="BZ82" s="95"/>
      <c r="CA82" s="95"/>
      <c r="CB82" s="95"/>
      <c r="CC82" s="95"/>
      <c r="CD82" s="95"/>
    </row>
    <row r="83" spans="1:82" s="70" customFormat="1" ht="15" x14ac:dyDescent="0.2">
      <c r="A83" s="74" t="s">
        <v>218</v>
      </c>
      <c r="B83" s="75" t="s">
        <v>218</v>
      </c>
      <c r="C83" s="75" t="s">
        <v>218</v>
      </c>
      <c r="D83" s="75" t="s">
        <v>230</v>
      </c>
      <c r="E83" s="74" t="s">
        <v>220</v>
      </c>
      <c r="F83" s="74" t="s">
        <v>221</v>
      </c>
      <c r="G83" s="74" t="s">
        <v>243</v>
      </c>
      <c r="H83" s="97">
        <v>2023</v>
      </c>
      <c r="I83" s="188"/>
      <c r="J83" s="18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c r="BJ83" s="95"/>
      <c r="BK83" s="95"/>
      <c r="BL83" s="95"/>
      <c r="BM83" s="95"/>
      <c r="BN83" s="95"/>
      <c r="BO83" s="95"/>
      <c r="BP83" s="95"/>
      <c r="BQ83" s="95"/>
      <c r="BR83" s="95"/>
      <c r="BS83" s="95"/>
      <c r="BT83" s="95"/>
      <c r="BU83" s="95"/>
      <c r="BV83" s="95"/>
      <c r="BW83" s="95"/>
      <c r="BX83" s="95"/>
      <c r="BY83" s="95"/>
      <c r="BZ83" s="95"/>
      <c r="CA83" s="95"/>
      <c r="CB83" s="95"/>
      <c r="CC83" s="95"/>
      <c r="CD83" s="95"/>
    </row>
    <row r="84" spans="1:82" s="70" customFormat="1" ht="30" x14ac:dyDescent="0.2">
      <c r="A84" s="93" t="s">
        <v>366</v>
      </c>
      <c r="B84" s="93">
        <v>18027491</v>
      </c>
      <c r="C84" s="71">
        <v>20575102050221</v>
      </c>
      <c r="D84" s="93" t="s">
        <v>230</v>
      </c>
      <c r="E84" s="96" t="s">
        <v>51</v>
      </c>
      <c r="F84" s="96" t="s">
        <v>103</v>
      </c>
      <c r="G84" s="93" t="s">
        <v>367</v>
      </c>
      <c r="H84" s="97">
        <v>2023</v>
      </c>
      <c r="I84" s="188"/>
      <c r="J84" s="18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c r="BQ84" s="95"/>
      <c r="BR84" s="95"/>
      <c r="BS84" s="95"/>
      <c r="BT84" s="95"/>
      <c r="BU84" s="95"/>
      <c r="BV84" s="95"/>
      <c r="BW84" s="95"/>
      <c r="BX84" s="95"/>
      <c r="BY84" s="95"/>
      <c r="BZ84" s="95"/>
      <c r="CA84" s="95"/>
      <c r="CB84" s="95"/>
      <c r="CC84" s="95"/>
      <c r="CD84" s="95"/>
    </row>
    <row r="85" spans="1:82" s="70" customFormat="1" ht="30" x14ac:dyDescent="0.2">
      <c r="A85" s="96" t="s">
        <v>368</v>
      </c>
      <c r="B85" s="93">
        <v>18120305</v>
      </c>
      <c r="C85" s="72">
        <v>21575102050210</v>
      </c>
      <c r="D85" s="93" t="s">
        <v>230</v>
      </c>
      <c r="E85" s="96" t="s">
        <v>51</v>
      </c>
      <c r="F85" s="96" t="s">
        <v>103</v>
      </c>
      <c r="G85" s="93" t="s">
        <v>369</v>
      </c>
      <c r="H85" s="97">
        <v>2023</v>
      </c>
      <c r="I85" s="188"/>
      <c r="J85" s="18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c r="BQ85" s="95"/>
      <c r="BR85" s="95"/>
      <c r="BS85" s="95"/>
      <c r="BT85" s="95"/>
      <c r="BU85" s="95"/>
      <c r="BV85" s="95"/>
      <c r="BW85" s="95"/>
      <c r="BX85" s="95"/>
      <c r="BY85" s="95"/>
      <c r="BZ85" s="95"/>
      <c r="CA85" s="95"/>
      <c r="CB85" s="95"/>
      <c r="CC85" s="95"/>
      <c r="CD85" s="95"/>
    </row>
    <row r="86" spans="1:82" s="70" customFormat="1" ht="30" x14ac:dyDescent="0.2">
      <c r="A86" s="96" t="s">
        <v>370</v>
      </c>
      <c r="B86" s="93">
        <v>18120321</v>
      </c>
      <c r="C86" s="72">
        <v>21575102050213</v>
      </c>
      <c r="D86" s="93" t="s">
        <v>230</v>
      </c>
      <c r="E86" s="96" t="s">
        <v>51</v>
      </c>
      <c r="F86" s="96" t="s">
        <v>103</v>
      </c>
      <c r="G86" s="93" t="s">
        <v>371</v>
      </c>
      <c r="H86" s="97">
        <v>2023</v>
      </c>
      <c r="I86" s="188"/>
      <c r="J86" s="18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5"/>
      <c r="BR86" s="95"/>
      <c r="BS86" s="95"/>
      <c r="BT86" s="95"/>
      <c r="BU86" s="95"/>
      <c r="BV86" s="95"/>
      <c r="BW86" s="95"/>
      <c r="BX86" s="95"/>
      <c r="BY86" s="95"/>
      <c r="BZ86" s="95"/>
      <c r="CA86" s="95"/>
      <c r="CB86" s="95"/>
      <c r="CC86" s="95"/>
      <c r="CD86" s="95"/>
    </row>
    <row r="87" spans="1:82" s="70" customFormat="1" ht="30" x14ac:dyDescent="0.2">
      <c r="A87" s="96" t="s">
        <v>372</v>
      </c>
      <c r="B87" s="93">
        <v>18120353</v>
      </c>
      <c r="C87" s="72">
        <v>21575102050214</v>
      </c>
      <c r="D87" s="93" t="s">
        <v>230</v>
      </c>
      <c r="E87" s="96" t="s">
        <v>51</v>
      </c>
      <c r="F87" s="96" t="s">
        <v>103</v>
      </c>
      <c r="G87" s="93" t="s">
        <v>373</v>
      </c>
      <c r="H87" s="97">
        <v>2023</v>
      </c>
      <c r="I87" s="188"/>
      <c r="J87" s="18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5"/>
      <c r="BR87" s="95"/>
      <c r="BS87" s="95"/>
      <c r="BT87" s="95"/>
      <c r="BU87" s="95"/>
      <c r="BV87" s="95"/>
      <c r="BW87" s="95"/>
      <c r="BX87" s="95"/>
      <c r="BY87" s="95"/>
      <c r="BZ87" s="95"/>
      <c r="CA87" s="95"/>
      <c r="CB87" s="95"/>
      <c r="CC87" s="95"/>
      <c r="CD87" s="95"/>
    </row>
    <row r="88" spans="1:82" s="70" customFormat="1" ht="30" x14ac:dyDescent="0.2">
      <c r="A88" s="96" t="s">
        <v>374</v>
      </c>
      <c r="B88" s="93">
        <v>18120355</v>
      </c>
      <c r="C88" s="72">
        <v>21575102050215</v>
      </c>
      <c r="D88" s="93" t="s">
        <v>230</v>
      </c>
      <c r="E88" s="96" t="s">
        <v>51</v>
      </c>
      <c r="F88" s="96" t="s">
        <v>103</v>
      </c>
      <c r="G88" s="93" t="s">
        <v>375</v>
      </c>
      <c r="H88" s="97">
        <v>2023</v>
      </c>
      <c r="I88" s="188"/>
      <c r="J88" s="18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S88" s="95"/>
      <c r="BT88" s="95"/>
      <c r="BU88" s="95"/>
      <c r="BV88" s="95"/>
      <c r="BW88" s="95"/>
      <c r="BX88" s="95"/>
      <c r="BY88" s="95"/>
      <c r="BZ88" s="95"/>
      <c r="CA88" s="95"/>
      <c r="CB88" s="95"/>
      <c r="CC88" s="95"/>
      <c r="CD88" s="95"/>
    </row>
    <row r="89" spans="1:82" s="70" customFormat="1" ht="30" x14ac:dyDescent="0.2">
      <c r="A89" s="96" t="s">
        <v>376</v>
      </c>
      <c r="B89" s="72">
        <v>18120367</v>
      </c>
      <c r="C89" s="72">
        <v>21575102050216</v>
      </c>
      <c r="D89" s="93" t="s">
        <v>230</v>
      </c>
      <c r="E89" s="96" t="s">
        <v>51</v>
      </c>
      <c r="F89" s="96" t="s">
        <v>103</v>
      </c>
      <c r="G89" s="93" t="s">
        <v>377</v>
      </c>
      <c r="H89" s="97">
        <v>2023</v>
      </c>
      <c r="I89" s="188"/>
      <c r="J89" s="18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95"/>
      <c r="BM89" s="95"/>
      <c r="BN89" s="95"/>
      <c r="BO89" s="95"/>
      <c r="BP89" s="95"/>
      <c r="BQ89" s="95"/>
      <c r="BR89" s="95"/>
      <c r="BS89" s="95"/>
      <c r="BT89" s="95"/>
      <c r="BU89" s="95"/>
      <c r="BV89" s="95"/>
      <c r="BW89" s="95"/>
      <c r="BX89" s="95"/>
      <c r="BY89" s="95"/>
      <c r="BZ89" s="95"/>
      <c r="CA89" s="95"/>
      <c r="CB89" s="95"/>
      <c r="CC89" s="95"/>
      <c r="CD89" s="95"/>
    </row>
    <row r="90" spans="1:82" s="70" customFormat="1" ht="30" x14ac:dyDescent="0.2">
      <c r="A90" s="96" t="s">
        <v>378</v>
      </c>
      <c r="B90" s="93">
        <v>18120317</v>
      </c>
      <c r="C90" s="72" t="s">
        <v>29</v>
      </c>
      <c r="D90" s="93" t="s">
        <v>230</v>
      </c>
      <c r="E90" s="96" t="s">
        <v>51</v>
      </c>
      <c r="F90" s="96" t="s">
        <v>103</v>
      </c>
      <c r="G90" s="93" t="s">
        <v>379</v>
      </c>
      <c r="H90" s="97">
        <v>2023</v>
      </c>
      <c r="I90" s="188"/>
      <c r="J90" s="18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95"/>
      <c r="BG90" s="95"/>
      <c r="BH90" s="95"/>
      <c r="BI90" s="95"/>
      <c r="BJ90" s="95"/>
      <c r="BK90" s="95"/>
      <c r="BL90" s="95"/>
      <c r="BM90" s="95"/>
      <c r="BN90" s="95"/>
      <c r="BO90" s="95"/>
      <c r="BP90" s="95"/>
      <c r="BQ90" s="95"/>
      <c r="BR90" s="95"/>
      <c r="BS90" s="95"/>
      <c r="BT90" s="95"/>
      <c r="BU90" s="95"/>
      <c r="BV90" s="95"/>
      <c r="BW90" s="95"/>
      <c r="BX90" s="95"/>
      <c r="BY90" s="95"/>
      <c r="BZ90" s="95"/>
      <c r="CA90" s="95"/>
      <c r="CB90" s="95"/>
      <c r="CC90" s="95"/>
      <c r="CD90" s="95"/>
    </row>
    <row r="91" spans="1:82" s="70" customFormat="1" ht="60" x14ac:dyDescent="0.2">
      <c r="A91" s="96" t="s">
        <v>380</v>
      </c>
      <c r="B91" s="72">
        <v>18455221</v>
      </c>
      <c r="C91" s="72">
        <v>21595002050215</v>
      </c>
      <c r="D91" s="93" t="s">
        <v>230</v>
      </c>
      <c r="E91" s="96" t="s">
        <v>54</v>
      </c>
      <c r="F91" s="96" t="s">
        <v>200</v>
      </c>
      <c r="G91" s="93" t="s">
        <v>381</v>
      </c>
      <c r="H91" s="97">
        <v>2023</v>
      </c>
      <c r="I91" s="188"/>
      <c r="J91" s="18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95"/>
      <c r="BF91" s="95"/>
      <c r="BG91" s="95"/>
      <c r="BH91" s="95"/>
      <c r="BI91" s="95"/>
      <c r="BJ91" s="95"/>
      <c r="BK91" s="95"/>
      <c r="BL91" s="95"/>
      <c r="BM91" s="95"/>
      <c r="BN91" s="95"/>
      <c r="BO91" s="95"/>
      <c r="BP91" s="95"/>
      <c r="BQ91" s="95"/>
      <c r="BR91" s="95"/>
      <c r="BS91" s="95"/>
      <c r="BT91" s="95"/>
      <c r="BU91" s="95"/>
      <c r="BV91" s="95"/>
      <c r="BW91" s="95"/>
      <c r="BX91" s="95"/>
      <c r="BY91" s="95"/>
      <c r="BZ91" s="95"/>
      <c r="CA91" s="95"/>
      <c r="CB91" s="95"/>
      <c r="CC91" s="95"/>
      <c r="CD91" s="95"/>
    </row>
    <row r="92" spans="1:82" s="70" customFormat="1" ht="15" x14ac:dyDescent="0.2">
      <c r="A92" s="74" t="s">
        <v>218</v>
      </c>
      <c r="B92" s="75" t="s">
        <v>218</v>
      </c>
      <c r="C92" s="75" t="s">
        <v>218</v>
      </c>
      <c r="D92" s="75" t="s">
        <v>257</v>
      </c>
      <c r="E92" s="74" t="s">
        <v>220</v>
      </c>
      <c r="F92" s="74" t="s">
        <v>221</v>
      </c>
      <c r="G92" s="74" t="s">
        <v>258</v>
      </c>
      <c r="H92" s="97">
        <v>2023</v>
      </c>
      <c r="I92" s="188"/>
      <c r="J92" s="18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95"/>
      <c r="BG92" s="95"/>
      <c r="BH92" s="95"/>
      <c r="BI92" s="95"/>
      <c r="BJ92" s="95"/>
      <c r="BK92" s="95"/>
      <c r="BL92" s="95"/>
      <c r="BM92" s="95"/>
      <c r="BN92" s="95"/>
      <c r="BO92" s="95"/>
      <c r="BP92" s="95"/>
      <c r="BQ92" s="95"/>
      <c r="BR92" s="95"/>
      <c r="BS92" s="95"/>
      <c r="BT92" s="95"/>
      <c r="BU92" s="95"/>
      <c r="BV92" s="95"/>
      <c r="BW92" s="95"/>
      <c r="BX92" s="95"/>
      <c r="BY92" s="95"/>
      <c r="BZ92" s="95"/>
      <c r="CA92" s="95"/>
      <c r="CB92" s="95"/>
      <c r="CC92" s="95"/>
      <c r="CD92" s="95"/>
    </row>
    <row r="93" spans="1:82" s="70" customFormat="1" ht="15" x14ac:dyDescent="0.2">
      <c r="A93" s="96" t="s">
        <v>382</v>
      </c>
      <c r="B93" s="72">
        <v>18062976</v>
      </c>
      <c r="C93" s="72">
        <v>20595002050212</v>
      </c>
      <c r="D93" s="93" t="s">
        <v>50</v>
      </c>
      <c r="E93" s="96" t="s">
        <v>54</v>
      </c>
      <c r="F93" s="96" t="s">
        <v>200</v>
      </c>
      <c r="G93" s="93" t="s">
        <v>383</v>
      </c>
      <c r="H93" s="97">
        <v>2023</v>
      </c>
      <c r="I93" s="188"/>
      <c r="J93" s="18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c r="AX93" s="95"/>
      <c r="AY93" s="95"/>
      <c r="AZ93" s="95"/>
      <c r="BA93" s="95"/>
      <c r="BB93" s="95"/>
      <c r="BC93" s="95"/>
      <c r="BD93" s="95"/>
      <c r="BE93" s="95"/>
      <c r="BF93" s="95"/>
      <c r="BG93" s="95"/>
      <c r="BH93" s="95"/>
      <c r="BI93" s="95"/>
      <c r="BJ93" s="95"/>
      <c r="BK93" s="95"/>
      <c r="BL93" s="95"/>
      <c r="BM93" s="95"/>
      <c r="BN93" s="95"/>
      <c r="BO93" s="95"/>
      <c r="BP93" s="95"/>
      <c r="BQ93" s="95"/>
      <c r="BR93" s="95"/>
      <c r="BS93" s="95"/>
      <c r="BT93" s="95"/>
      <c r="BU93" s="95"/>
      <c r="BV93" s="95"/>
      <c r="BW93" s="95"/>
      <c r="BX93" s="95"/>
      <c r="BY93" s="95"/>
      <c r="BZ93" s="95"/>
      <c r="CA93" s="95"/>
      <c r="CB93" s="95"/>
      <c r="CC93" s="95"/>
      <c r="CD93" s="95"/>
    </row>
    <row r="94" spans="1:82" s="70" customFormat="1" ht="30" x14ac:dyDescent="0.2">
      <c r="A94" s="96" t="s">
        <v>29</v>
      </c>
      <c r="B94" s="72">
        <v>18883256</v>
      </c>
      <c r="C94" s="72">
        <v>21592002050212</v>
      </c>
      <c r="D94" s="93" t="s">
        <v>259</v>
      </c>
      <c r="E94" s="96" t="s">
        <v>37</v>
      </c>
      <c r="F94" s="96" t="s">
        <v>123</v>
      </c>
      <c r="G94" s="93" t="s">
        <v>384</v>
      </c>
      <c r="H94" s="97">
        <v>2023</v>
      </c>
      <c r="I94" s="188"/>
      <c r="J94" s="18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5"/>
      <c r="AZ94" s="95"/>
      <c r="BA94" s="95"/>
      <c r="BB94" s="95"/>
      <c r="BC94" s="95"/>
      <c r="BD94" s="95"/>
      <c r="BE94" s="95"/>
      <c r="BF94" s="95"/>
      <c r="BG94" s="95"/>
      <c r="BH94" s="95"/>
      <c r="BI94" s="95"/>
      <c r="BJ94" s="95"/>
      <c r="BK94" s="95"/>
      <c r="BL94" s="95"/>
      <c r="BM94" s="95"/>
      <c r="BN94" s="95"/>
      <c r="BO94" s="95"/>
      <c r="BP94" s="95"/>
      <c r="BQ94" s="95"/>
      <c r="BR94" s="95"/>
      <c r="BS94" s="95"/>
      <c r="BT94" s="95"/>
      <c r="BU94" s="95"/>
      <c r="BV94" s="95"/>
      <c r="BW94" s="95"/>
      <c r="BX94" s="95"/>
      <c r="BY94" s="95"/>
      <c r="BZ94" s="95"/>
      <c r="CA94" s="95"/>
      <c r="CB94" s="95"/>
      <c r="CC94" s="95"/>
      <c r="CD94" s="95"/>
    </row>
    <row r="95" spans="1:82" s="70" customFormat="1" ht="30" x14ac:dyDescent="0.2">
      <c r="A95" s="96" t="s">
        <v>29</v>
      </c>
      <c r="B95" s="72">
        <v>18880254</v>
      </c>
      <c r="C95" s="72">
        <v>21582102050225</v>
      </c>
      <c r="D95" s="93" t="s">
        <v>259</v>
      </c>
      <c r="E95" s="96" t="s">
        <v>51</v>
      </c>
      <c r="F95" s="96" t="s">
        <v>293</v>
      </c>
      <c r="G95" s="93" t="s">
        <v>385</v>
      </c>
      <c r="H95" s="97">
        <v>2023</v>
      </c>
      <c r="I95" s="188"/>
      <c r="J95" s="18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95"/>
      <c r="AX95" s="95"/>
      <c r="AY95" s="95"/>
      <c r="AZ95" s="95"/>
      <c r="BA95" s="95"/>
      <c r="BB95" s="95"/>
      <c r="BC95" s="95"/>
      <c r="BD95" s="95"/>
      <c r="BE95" s="95"/>
      <c r="BF95" s="95"/>
      <c r="BG95" s="95"/>
      <c r="BH95" s="95"/>
      <c r="BI95" s="95"/>
      <c r="BJ95" s="95"/>
      <c r="BK95" s="95"/>
      <c r="BL95" s="95"/>
      <c r="BM95" s="95"/>
      <c r="BN95" s="95"/>
      <c r="BO95" s="95"/>
      <c r="BP95" s="95"/>
      <c r="BQ95" s="95"/>
      <c r="BR95" s="95"/>
      <c r="BS95" s="95"/>
      <c r="BT95" s="95"/>
      <c r="BU95" s="95"/>
      <c r="BV95" s="95"/>
      <c r="BW95" s="95"/>
      <c r="BX95" s="95"/>
      <c r="BY95" s="95"/>
      <c r="BZ95" s="95"/>
      <c r="CA95" s="95"/>
      <c r="CB95" s="95"/>
      <c r="CC95" s="95"/>
      <c r="CD95" s="95"/>
    </row>
    <row r="96" spans="1:82" s="69" customFormat="1" ht="30" x14ac:dyDescent="0.2">
      <c r="A96" s="96" t="s">
        <v>29</v>
      </c>
      <c r="B96" s="72">
        <v>18883399</v>
      </c>
      <c r="C96" s="72">
        <v>21583502050214</v>
      </c>
      <c r="D96" s="93" t="s">
        <v>259</v>
      </c>
      <c r="E96" s="96" t="s">
        <v>37</v>
      </c>
      <c r="F96" s="96" t="s">
        <v>299</v>
      </c>
      <c r="G96" s="93" t="s">
        <v>386</v>
      </c>
      <c r="H96" s="97">
        <v>2023</v>
      </c>
      <c r="I96" s="188"/>
      <c r="J96" s="18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95"/>
      <c r="AY96" s="95"/>
      <c r="AZ96" s="95"/>
      <c r="BA96" s="95"/>
      <c r="BB96" s="95"/>
      <c r="BC96" s="95"/>
      <c r="BD96" s="95"/>
      <c r="BE96" s="95"/>
      <c r="BF96" s="95"/>
      <c r="BG96" s="95"/>
      <c r="BH96" s="95"/>
      <c r="BI96" s="95"/>
      <c r="BJ96" s="95"/>
      <c r="BK96" s="95"/>
      <c r="BL96" s="95"/>
      <c r="BM96" s="95"/>
      <c r="BN96" s="95"/>
      <c r="BO96" s="95"/>
      <c r="BP96" s="95"/>
      <c r="BQ96" s="95"/>
      <c r="BR96" s="95"/>
      <c r="BS96" s="95"/>
      <c r="BT96" s="95"/>
      <c r="BU96" s="95"/>
      <c r="BV96" s="95"/>
      <c r="BW96" s="95"/>
      <c r="BX96" s="95"/>
      <c r="BY96" s="95"/>
      <c r="BZ96" s="95"/>
      <c r="CA96" s="95"/>
      <c r="CB96" s="95"/>
      <c r="CC96" s="95"/>
      <c r="CD96" s="95"/>
    </row>
    <row r="97" spans="1:11" s="69" customFormat="1" ht="30" x14ac:dyDescent="0.2">
      <c r="A97" s="96" t="s">
        <v>29</v>
      </c>
      <c r="B97" s="72">
        <v>18883464</v>
      </c>
      <c r="C97" s="72">
        <v>21592302050210</v>
      </c>
      <c r="D97" s="93" t="s">
        <v>259</v>
      </c>
      <c r="E97" s="96" t="s">
        <v>37</v>
      </c>
      <c r="F97" s="96" t="s">
        <v>387</v>
      </c>
      <c r="G97" s="93" t="s">
        <v>388</v>
      </c>
      <c r="H97" s="97">
        <v>2023</v>
      </c>
      <c r="I97" s="188"/>
      <c r="J97" s="185"/>
      <c r="K97" s="95"/>
    </row>
    <row r="98" spans="1:11" s="69" customFormat="1" ht="30" x14ac:dyDescent="0.2">
      <c r="A98" s="96" t="s">
        <v>29</v>
      </c>
      <c r="B98" s="72">
        <v>18880576</v>
      </c>
      <c r="C98" s="72">
        <v>21573302050219</v>
      </c>
      <c r="D98" s="93" t="s">
        <v>259</v>
      </c>
      <c r="E98" s="96" t="s">
        <v>51</v>
      </c>
      <c r="F98" s="93" t="s">
        <v>95</v>
      </c>
      <c r="G98" s="93" t="s">
        <v>389</v>
      </c>
      <c r="H98" s="97">
        <v>2023</v>
      </c>
      <c r="I98" s="188"/>
      <c r="J98" s="185"/>
      <c r="K98" s="95"/>
    </row>
    <row r="99" spans="1:11" s="69" customFormat="1" ht="30" x14ac:dyDescent="0.2">
      <c r="A99" s="96" t="s">
        <v>29</v>
      </c>
      <c r="B99" s="72">
        <v>18881071</v>
      </c>
      <c r="C99" s="72">
        <v>21575102050217</v>
      </c>
      <c r="D99" s="93" t="s">
        <v>259</v>
      </c>
      <c r="E99" s="96" t="s">
        <v>51</v>
      </c>
      <c r="F99" s="96" t="s">
        <v>103</v>
      </c>
      <c r="G99" s="93" t="s">
        <v>390</v>
      </c>
      <c r="H99" s="97">
        <v>2023</v>
      </c>
      <c r="I99" s="188"/>
      <c r="J99" s="185"/>
      <c r="K99" s="95"/>
    </row>
    <row r="100" spans="1:11" s="69" customFormat="1" ht="30" x14ac:dyDescent="0.2">
      <c r="A100" s="96" t="s">
        <v>29</v>
      </c>
      <c r="B100" s="72">
        <v>18883506</v>
      </c>
      <c r="C100" s="72">
        <v>21583202050210</v>
      </c>
      <c r="D100" s="93" t="s">
        <v>259</v>
      </c>
      <c r="E100" s="96" t="s">
        <v>37</v>
      </c>
      <c r="F100" s="96" t="s">
        <v>48</v>
      </c>
      <c r="G100" s="93" t="s">
        <v>391</v>
      </c>
      <c r="H100" s="97">
        <v>2023</v>
      </c>
      <c r="I100" s="188"/>
      <c r="J100" s="185"/>
      <c r="K100" s="95"/>
    </row>
    <row r="101" spans="1:11" s="69" customFormat="1" ht="30" x14ac:dyDescent="0.2">
      <c r="A101" s="96" t="s">
        <v>29</v>
      </c>
      <c r="B101" s="72">
        <v>18881317</v>
      </c>
      <c r="C101" s="72">
        <v>21595002050232</v>
      </c>
      <c r="D101" s="93" t="s">
        <v>259</v>
      </c>
      <c r="E101" s="96" t="s">
        <v>54</v>
      </c>
      <c r="F101" s="96" t="s">
        <v>200</v>
      </c>
      <c r="G101" s="93" t="s">
        <v>391</v>
      </c>
      <c r="H101" s="97">
        <v>2023</v>
      </c>
      <c r="I101" s="188"/>
      <c r="J101" s="185"/>
      <c r="K101" s="95"/>
    </row>
    <row r="102" spans="1:11" s="69" customFormat="1" ht="30" x14ac:dyDescent="0.2">
      <c r="A102" s="96" t="s">
        <v>392</v>
      </c>
      <c r="B102" s="72">
        <v>18747275</v>
      </c>
      <c r="C102" s="72">
        <v>21573302050215</v>
      </c>
      <c r="D102" s="96" t="s">
        <v>270</v>
      </c>
      <c r="E102" s="93" t="s">
        <v>51</v>
      </c>
      <c r="F102" s="93" t="s">
        <v>393</v>
      </c>
      <c r="G102" s="93" t="s">
        <v>394</v>
      </c>
      <c r="H102" s="97">
        <v>2023</v>
      </c>
      <c r="I102" s="188"/>
      <c r="J102" s="185"/>
      <c r="K102" s="95"/>
    </row>
    <row r="103" spans="1:11" s="69" customFormat="1" ht="30" x14ac:dyDescent="0.2">
      <c r="A103" s="96" t="s">
        <v>395</v>
      </c>
      <c r="B103" s="72">
        <v>18747247</v>
      </c>
      <c r="C103" s="72">
        <v>21582102050221</v>
      </c>
      <c r="D103" s="96" t="s">
        <v>270</v>
      </c>
      <c r="E103" s="93" t="s">
        <v>51</v>
      </c>
      <c r="F103" s="93" t="s">
        <v>74</v>
      </c>
      <c r="G103" s="93" t="s">
        <v>396</v>
      </c>
      <c r="H103" s="97">
        <v>2023</v>
      </c>
      <c r="I103" s="188"/>
      <c r="J103" s="185"/>
      <c r="K103" s="95"/>
    </row>
    <row r="104" spans="1:11" s="69" customFormat="1" ht="30" x14ac:dyDescent="0.2">
      <c r="A104" s="96" t="s">
        <v>397</v>
      </c>
      <c r="B104" s="72">
        <v>18747248</v>
      </c>
      <c r="C104" s="72">
        <v>21582102050222</v>
      </c>
      <c r="D104" s="96" t="s">
        <v>270</v>
      </c>
      <c r="E104" s="93" t="s">
        <v>51</v>
      </c>
      <c r="F104" s="93" t="s">
        <v>74</v>
      </c>
      <c r="G104" s="93" t="s">
        <v>398</v>
      </c>
      <c r="H104" s="97">
        <v>2023</v>
      </c>
      <c r="I104" s="188"/>
      <c r="J104" s="185"/>
      <c r="K104" s="95"/>
    </row>
    <row r="105" spans="1:11" s="69" customFormat="1" ht="30" x14ac:dyDescent="0.2">
      <c r="A105" s="96" t="s">
        <v>399</v>
      </c>
      <c r="B105" s="72">
        <v>18747251</v>
      </c>
      <c r="C105" s="72">
        <v>21582102050223</v>
      </c>
      <c r="D105" s="96" t="s">
        <v>270</v>
      </c>
      <c r="E105" s="93" t="s">
        <v>51</v>
      </c>
      <c r="F105" s="93" t="s">
        <v>74</v>
      </c>
      <c r="G105" s="93" t="s">
        <v>398</v>
      </c>
      <c r="H105" s="97">
        <v>2023</v>
      </c>
      <c r="I105" s="188"/>
      <c r="J105" s="185"/>
      <c r="K105" s="95"/>
    </row>
    <row r="106" spans="1:11" s="69" customFormat="1" ht="30" x14ac:dyDescent="0.2">
      <c r="A106" s="96" t="s">
        <v>400</v>
      </c>
      <c r="B106" s="72">
        <v>18747255</v>
      </c>
      <c r="C106" s="72">
        <v>21573302050213</v>
      </c>
      <c r="D106" s="96" t="s">
        <v>270</v>
      </c>
      <c r="E106" s="93" t="s">
        <v>51</v>
      </c>
      <c r="F106" s="93" t="s">
        <v>401</v>
      </c>
      <c r="G106" s="93" t="s">
        <v>402</v>
      </c>
      <c r="H106" s="97">
        <v>2023</v>
      </c>
      <c r="I106" s="188"/>
      <c r="J106" s="185"/>
      <c r="K106" s="95"/>
    </row>
    <row r="107" spans="1:11" s="69" customFormat="1" ht="75" x14ac:dyDescent="0.2">
      <c r="A107" s="96" t="s">
        <v>403</v>
      </c>
      <c r="B107" s="72">
        <v>16225804</v>
      </c>
      <c r="C107" s="72">
        <v>18202802054230</v>
      </c>
      <c r="D107" s="96" t="s">
        <v>270</v>
      </c>
      <c r="E107" s="96" t="s">
        <v>54</v>
      </c>
      <c r="F107" s="96" t="s">
        <v>81</v>
      </c>
      <c r="G107" s="93" t="s">
        <v>404</v>
      </c>
      <c r="H107" s="97">
        <v>2023</v>
      </c>
      <c r="I107" s="188"/>
      <c r="J107" s="185"/>
      <c r="K107" s="95"/>
    </row>
    <row r="108" spans="1:11" s="69" customFormat="1" ht="30" x14ac:dyDescent="0.2">
      <c r="A108" s="96" t="s">
        <v>405</v>
      </c>
      <c r="B108" s="72">
        <v>18747278</v>
      </c>
      <c r="C108" s="72">
        <v>21573302050217</v>
      </c>
      <c r="D108" s="96" t="s">
        <v>270</v>
      </c>
      <c r="E108" s="93" t="s">
        <v>51</v>
      </c>
      <c r="F108" s="93" t="s">
        <v>406</v>
      </c>
      <c r="G108" s="93" t="s">
        <v>407</v>
      </c>
      <c r="H108" s="97">
        <v>2023</v>
      </c>
      <c r="I108" s="188"/>
      <c r="J108" s="185"/>
      <c r="K108" s="95"/>
    </row>
    <row r="109" spans="1:11" s="69" customFormat="1" ht="30" x14ac:dyDescent="0.2">
      <c r="A109" s="96" t="s">
        <v>408</v>
      </c>
      <c r="B109" s="72">
        <v>18746072</v>
      </c>
      <c r="C109" s="72">
        <v>21583502050213</v>
      </c>
      <c r="D109" s="96" t="s">
        <v>270</v>
      </c>
      <c r="E109" s="93" t="s">
        <v>37</v>
      </c>
      <c r="F109" s="96" t="s">
        <v>299</v>
      </c>
      <c r="G109" s="93" t="s">
        <v>409</v>
      </c>
      <c r="H109" s="97">
        <v>2023</v>
      </c>
      <c r="I109" s="188"/>
      <c r="J109" s="185"/>
      <c r="K109" s="95"/>
    </row>
    <row r="110" spans="1:11" s="69" customFormat="1" ht="30" x14ac:dyDescent="0.2">
      <c r="A110" s="96" t="s">
        <v>410</v>
      </c>
      <c r="B110" s="72">
        <v>18746022</v>
      </c>
      <c r="C110" s="72">
        <v>21592702050213</v>
      </c>
      <c r="D110" s="96" t="s">
        <v>270</v>
      </c>
      <c r="E110" s="93" t="s">
        <v>37</v>
      </c>
      <c r="F110" s="96" t="s">
        <v>170</v>
      </c>
      <c r="G110" s="93" t="s">
        <v>411</v>
      </c>
      <c r="H110" s="97">
        <v>2023</v>
      </c>
      <c r="I110" s="188"/>
      <c r="J110" s="185"/>
      <c r="K110" s="95"/>
    </row>
    <row r="111" spans="1:11" s="69" customFormat="1" ht="30" x14ac:dyDescent="0.2">
      <c r="A111" s="96" t="s">
        <v>412</v>
      </c>
      <c r="B111" s="72">
        <v>18745641</v>
      </c>
      <c r="C111" s="72">
        <v>21592902050210</v>
      </c>
      <c r="D111" s="96" t="s">
        <v>270</v>
      </c>
      <c r="E111" s="93" t="s">
        <v>37</v>
      </c>
      <c r="F111" s="96" t="s">
        <v>255</v>
      </c>
      <c r="G111" s="93" t="s">
        <v>413</v>
      </c>
      <c r="H111" s="97">
        <v>2023</v>
      </c>
      <c r="I111" s="188"/>
      <c r="J111" s="185"/>
      <c r="K111" s="95"/>
    </row>
    <row r="112" spans="1:11" s="69" customFormat="1" ht="30" x14ac:dyDescent="0.2">
      <c r="A112" s="96" t="s">
        <v>414</v>
      </c>
      <c r="B112" s="72">
        <v>18745882</v>
      </c>
      <c r="C112" s="72">
        <v>21592902050212</v>
      </c>
      <c r="D112" s="96" t="s">
        <v>270</v>
      </c>
      <c r="E112" s="93" t="s">
        <v>37</v>
      </c>
      <c r="F112" s="96" t="s">
        <v>255</v>
      </c>
      <c r="G112" s="93" t="s">
        <v>415</v>
      </c>
      <c r="H112" s="97">
        <v>2023</v>
      </c>
      <c r="I112" s="188"/>
      <c r="J112" s="185"/>
      <c r="K112" s="95"/>
    </row>
    <row r="113" spans="1:11" s="69" customFormat="1" ht="30" x14ac:dyDescent="0.2">
      <c r="A113" s="96" t="s">
        <v>416</v>
      </c>
      <c r="B113" s="72">
        <v>18745935</v>
      </c>
      <c r="C113" s="72">
        <v>21592902050213</v>
      </c>
      <c r="D113" s="96" t="s">
        <v>270</v>
      </c>
      <c r="E113" s="93" t="s">
        <v>37</v>
      </c>
      <c r="F113" s="96" t="s">
        <v>255</v>
      </c>
      <c r="G113" s="93" t="s">
        <v>415</v>
      </c>
      <c r="H113" s="97">
        <v>2023</v>
      </c>
      <c r="I113" s="188"/>
      <c r="J113" s="185"/>
      <c r="K113" s="95"/>
    </row>
    <row r="114" spans="1:11" s="69" customFormat="1" ht="30" x14ac:dyDescent="0.2">
      <c r="A114" s="96" t="s">
        <v>417</v>
      </c>
      <c r="B114" s="72">
        <v>18745962</v>
      </c>
      <c r="C114" s="72">
        <v>21592902050214</v>
      </c>
      <c r="D114" s="96" t="s">
        <v>270</v>
      </c>
      <c r="E114" s="93" t="s">
        <v>37</v>
      </c>
      <c r="F114" s="96" t="s">
        <v>255</v>
      </c>
      <c r="G114" s="93" t="s">
        <v>418</v>
      </c>
      <c r="H114" s="97">
        <v>2023</v>
      </c>
      <c r="I114" s="188"/>
      <c r="J114" s="185"/>
      <c r="K114" s="95"/>
    </row>
    <row r="115" spans="1:11" s="69" customFormat="1" ht="30" x14ac:dyDescent="0.2">
      <c r="A115" s="96" t="s">
        <v>419</v>
      </c>
      <c r="B115" s="72">
        <v>18745992</v>
      </c>
      <c r="C115" s="72">
        <v>21592902050215</v>
      </c>
      <c r="D115" s="96" t="s">
        <v>270</v>
      </c>
      <c r="E115" s="93" t="s">
        <v>37</v>
      </c>
      <c r="F115" s="96" t="s">
        <v>255</v>
      </c>
      <c r="G115" s="93" t="s">
        <v>420</v>
      </c>
      <c r="H115" s="97">
        <v>2023</v>
      </c>
      <c r="I115" s="188"/>
      <c r="J115" s="185"/>
      <c r="K115" s="95"/>
    </row>
    <row r="116" spans="1:11" s="69" customFormat="1" ht="30" x14ac:dyDescent="0.2">
      <c r="A116" s="96" t="s">
        <v>421</v>
      </c>
      <c r="B116" s="72">
        <v>18746007</v>
      </c>
      <c r="C116" s="72">
        <v>21592902050216</v>
      </c>
      <c r="D116" s="96" t="s">
        <v>270</v>
      </c>
      <c r="E116" s="93" t="s">
        <v>37</v>
      </c>
      <c r="F116" s="96" t="s">
        <v>255</v>
      </c>
      <c r="G116" s="93" t="s">
        <v>422</v>
      </c>
      <c r="H116" s="97">
        <v>2023</v>
      </c>
      <c r="I116" s="188"/>
      <c r="J116" s="185"/>
      <c r="K116" s="95"/>
    </row>
    <row r="117" spans="1:11" s="69" customFormat="1" ht="15" x14ac:dyDescent="0.2">
      <c r="A117" s="96" t="s">
        <v>423</v>
      </c>
      <c r="B117" s="72">
        <v>18747282</v>
      </c>
      <c r="C117" s="72">
        <v>21573302050218</v>
      </c>
      <c r="D117" s="96" t="s">
        <v>270</v>
      </c>
      <c r="E117" s="93" t="s">
        <v>51</v>
      </c>
      <c r="F117" s="93" t="s">
        <v>424</v>
      </c>
      <c r="G117" s="93" t="s">
        <v>425</v>
      </c>
      <c r="H117" s="97">
        <v>2023</v>
      </c>
      <c r="I117" s="188"/>
      <c r="J117" s="185"/>
      <c r="K117" s="95"/>
    </row>
    <row r="118" spans="1:11" s="69" customFormat="1" ht="30" x14ac:dyDescent="0.2">
      <c r="A118" s="96" t="s">
        <v>426</v>
      </c>
      <c r="B118" s="72">
        <v>18747262</v>
      </c>
      <c r="C118" s="72">
        <v>21573302050214</v>
      </c>
      <c r="D118" s="96" t="s">
        <v>270</v>
      </c>
      <c r="E118" s="93" t="s">
        <v>51</v>
      </c>
      <c r="F118" s="93" t="s">
        <v>95</v>
      </c>
      <c r="G118" s="93" t="s">
        <v>427</v>
      </c>
      <c r="H118" s="97">
        <v>2023</v>
      </c>
      <c r="I118" s="188"/>
      <c r="J118" s="185"/>
      <c r="K118" s="95"/>
    </row>
    <row r="119" spans="1:11" s="69" customFormat="1" ht="30" x14ac:dyDescent="0.2">
      <c r="A119" s="96" t="s">
        <v>428</v>
      </c>
      <c r="B119" s="72">
        <v>18747276</v>
      </c>
      <c r="C119" s="72">
        <v>21573302050216</v>
      </c>
      <c r="D119" s="96" t="s">
        <v>270</v>
      </c>
      <c r="E119" s="93" t="s">
        <v>51</v>
      </c>
      <c r="F119" s="93" t="s">
        <v>95</v>
      </c>
      <c r="G119" s="93" t="s">
        <v>429</v>
      </c>
      <c r="H119" s="97">
        <v>2023</v>
      </c>
      <c r="I119" s="188"/>
      <c r="J119" s="185"/>
      <c r="K119" s="95"/>
    </row>
    <row r="120" spans="1:11" s="69" customFormat="1" ht="30" x14ac:dyDescent="0.2">
      <c r="A120" s="96" t="s">
        <v>430</v>
      </c>
      <c r="B120" s="72">
        <v>18747280</v>
      </c>
      <c r="C120" s="72">
        <v>21575202050210</v>
      </c>
      <c r="D120" s="96" t="s">
        <v>270</v>
      </c>
      <c r="E120" s="93" t="s">
        <v>51</v>
      </c>
      <c r="F120" s="93" t="s">
        <v>173</v>
      </c>
      <c r="G120" s="93" t="s">
        <v>431</v>
      </c>
      <c r="H120" s="97">
        <v>2023</v>
      </c>
      <c r="I120" s="188"/>
      <c r="J120" s="185"/>
      <c r="K120" s="95"/>
    </row>
    <row r="121" spans="1:11" s="69" customFormat="1" ht="30" x14ac:dyDescent="0.2">
      <c r="A121" s="96" t="s">
        <v>432</v>
      </c>
      <c r="B121" s="72">
        <v>18747245</v>
      </c>
      <c r="C121" s="72">
        <v>21582102050220</v>
      </c>
      <c r="D121" s="96" t="s">
        <v>270</v>
      </c>
      <c r="E121" s="93" t="s">
        <v>51</v>
      </c>
      <c r="F121" s="93" t="s">
        <v>321</v>
      </c>
      <c r="G121" s="93" t="s">
        <v>433</v>
      </c>
      <c r="H121" s="97">
        <v>2023</v>
      </c>
      <c r="I121" s="188"/>
      <c r="J121" s="185"/>
      <c r="K121" s="95"/>
    </row>
    <row r="122" spans="1:11" s="69" customFormat="1" ht="30" x14ac:dyDescent="0.2">
      <c r="A122" s="96" t="s">
        <v>434</v>
      </c>
      <c r="B122" s="72">
        <v>18746060</v>
      </c>
      <c r="C122" s="72">
        <v>21592802050210</v>
      </c>
      <c r="D122" s="96" t="s">
        <v>270</v>
      </c>
      <c r="E122" s="93" t="s">
        <v>37</v>
      </c>
      <c r="F122" s="96" t="s">
        <v>435</v>
      </c>
      <c r="G122" s="93" t="s">
        <v>436</v>
      </c>
      <c r="H122" s="97">
        <v>2023</v>
      </c>
      <c r="I122" s="188"/>
      <c r="J122" s="185"/>
      <c r="K122" s="95"/>
    </row>
    <row r="123" spans="1:11" s="69" customFormat="1" ht="30" x14ac:dyDescent="0.2">
      <c r="A123" s="96" t="s">
        <v>437</v>
      </c>
      <c r="B123" s="72">
        <v>18746063</v>
      </c>
      <c r="C123" s="72">
        <v>21592802050212</v>
      </c>
      <c r="D123" s="96" t="s">
        <v>270</v>
      </c>
      <c r="E123" s="93" t="s">
        <v>37</v>
      </c>
      <c r="F123" s="96" t="s">
        <v>435</v>
      </c>
      <c r="G123" s="93" t="s">
        <v>438</v>
      </c>
      <c r="H123" s="97">
        <v>2023</v>
      </c>
      <c r="I123" s="188"/>
      <c r="J123" s="185"/>
      <c r="K123" s="95"/>
    </row>
    <row r="124" spans="1:11" s="69" customFormat="1" ht="30" x14ac:dyDescent="0.2">
      <c r="A124" s="96" t="s">
        <v>439</v>
      </c>
      <c r="B124" s="72">
        <v>18746402</v>
      </c>
      <c r="C124" s="72">
        <v>21595002050222</v>
      </c>
      <c r="D124" s="96" t="s">
        <v>270</v>
      </c>
      <c r="E124" s="93" t="s">
        <v>54</v>
      </c>
      <c r="F124" s="96" t="s">
        <v>200</v>
      </c>
      <c r="G124" s="93" t="s">
        <v>440</v>
      </c>
      <c r="H124" s="97">
        <v>2023</v>
      </c>
      <c r="I124" s="188"/>
      <c r="J124" s="185"/>
      <c r="K124" s="95"/>
    </row>
    <row r="125" spans="1:11" s="69" customFormat="1" ht="30" x14ac:dyDescent="0.2">
      <c r="A125" s="96" t="s">
        <v>441</v>
      </c>
      <c r="B125" s="72">
        <v>18746405</v>
      </c>
      <c r="C125" s="72">
        <v>21595002050223</v>
      </c>
      <c r="D125" s="96" t="s">
        <v>270</v>
      </c>
      <c r="E125" s="93" t="s">
        <v>54</v>
      </c>
      <c r="F125" s="96" t="s">
        <v>200</v>
      </c>
      <c r="G125" s="93" t="s">
        <v>442</v>
      </c>
      <c r="H125" s="97">
        <v>2023</v>
      </c>
      <c r="I125" s="188"/>
      <c r="J125" s="185"/>
      <c r="K125" s="95"/>
    </row>
    <row r="126" spans="1:11" s="69" customFormat="1" ht="30" x14ac:dyDescent="0.2">
      <c r="A126" s="96" t="s">
        <v>443</v>
      </c>
      <c r="B126" s="72">
        <v>18746406</v>
      </c>
      <c r="C126" s="72">
        <v>21595002050224</v>
      </c>
      <c r="D126" s="96" t="s">
        <v>270</v>
      </c>
      <c r="E126" s="93" t="s">
        <v>54</v>
      </c>
      <c r="F126" s="96" t="s">
        <v>200</v>
      </c>
      <c r="G126" s="93" t="s">
        <v>444</v>
      </c>
      <c r="H126" s="97">
        <v>2023</v>
      </c>
      <c r="I126" s="188"/>
      <c r="J126" s="185"/>
      <c r="K126" s="95"/>
    </row>
    <row r="127" spans="1:11" s="69" customFormat="1" ht="30" x14ac:dyDescent="0.2">
      <c r="A127" s="96" t="s">
        <v>445</v>
      </c>
      <c r="B127" s="72">
        <v>18746407</v>
      </c>
      <c r="C127" s="72">
        <v>21595002050225</v>
      </c>
      <c r="D127" s="96" t="s">
        <v>270</v>
      </c>
      <c r="E127" s="93" t="s">
        <v>54</v>
      </c>
      <c r="F127" s="96" t="s">
        <v>200</v>
      </c>
      <c r="G127" s="93" t="s">
        <v>446</v>
      </c>
      <c r="H127" s="97">
        <v>2023</v>
      </c>
      <c r="I127" s="188"/>
      <c r="J127" s="185"/>
      <c r="K127" s="95"/>
    </row>
    <row r="128" spans="1:11" s="69" customFormat="1" ht="30" x14ac:dyDescent="0.2">
      <c r="A128" s="96" t="s">
        <v>447</v>
      </c>
      <c r="B128" s="72">
        <v>18746408</v>
      </c>
      <c r="C128" s="72">
        <v>21595002050226</v>
      </c>
      <c r="D128" s="96" t="s">
        <v>270</v>
      </c>
      <c r="E128" s="93" t="s">
        <v>54</v>
      </c>
      <c r="F128" s="96" t="s">
        <v>200</v>
      </c>
      <c r="G128" s="93" t="s">
        <v>448</v>
      </c>
      <c r="H128" s="97">
        <v>2023</v>
      </c>
      <c r="I128" s="188"/>
      <c r="J128" s="185"/>
      <c r="K128" s="95"/>
    </row>
    <row r="129" spans="1:11" s="69" customFormat="1" ht="30" x14ac:dyDescent="0.2">
      <c r="A129" s="96" t="s">
        <v>449</v>
      </c>
      <c r="B129" s="72">
        <v>18746409</v>
      </c>
      <c r="C129" s="72">
        <v>21595002050227</v>
      </c>
      <c r="D129" s="96" t="s">
        <v>270</v>
      </c>
      <c r="E129" s="93" t="s">
        <v>54</v>
      </c>
      <c r="F129" s="96" t="s">
        <v>200</v>
      </c>
      <c r="G129" s="93" t="s">
        <v>450</v>
      </c>
      <c r="H129" s="97">
        <v>2023</v>
      </c>
      <c r="I129" s="188"/>
      <c r="J129" s="185"/>
      <c r="K129" s="95"/>
    </row>
    <row r="130" spans="1:11" s="69" customFormat="1" ht="30" x14ac:dyDescent="0.2">
      <c r="A130" s="96" t="s">
        <v>451</v>
      </c>
      <c r="B130" s="72">
        <v>18746410</v>
      </c>
      <c r="C130" s="72">
        <v>21595002050228</v>
      </c>
      <c r="D130" s="96" t="s">
        <v>270</v>
      </c>
      <c r="E130" s="93" t="s">
        <v>54</v>
      </c>
      <c r="F130" s="96" t="s">
        <v>200</v>
      </c>
      <c r="G130" s="93" t="s">
        <v>452</v>
      </c>
      <c r="H130" s="97">
        <v>2023</v>
      </c>
      <c r="I130" s="188"/>
      <c r="J130" s="185"/>
      <c r="K130" s="95"/>
    </row>
    <row r="131" spans="1:11" s="69" customFormat="1" ht="30" x14ac:dyDescent="0.2">
      <c r="A131" s="96" t="s">
        <v>453</v>
      </c>
      <c r="B131" s="72">
        <v>18746411</v>
      </c>
      <c r="C131" s="72">
        <v>21595002050229</v>
      </c>
      <c r="D131" s="96" t="s">
        <v>270</v>
      </c>
      <c r="E131" s="93" t="s">
        <v>54</v>
      </c>
      <c r="F131" s="96" t="s">
        <v>200</v>
      </c>
      <c r="G131" s="93" t="s">
        <v>454</v>
      </c>
      <c r="H131" s="97">
        <v>2023</v>
      </c>
      <c r="I131" s="188"/>
      <c r="J131" s="185"/>
      <c r="K131" s="95"/>
    </row>
    <row r="132" spans="1:11" s="69" customFormat="1" ht="30" x14ac:dyDescent="0.2">
      <c r="A132" s="96" t="s">
        <v>455</v>
      </c>
      <c r="B132" s="72">
        <v>18746412</v>
      </c>
      <c r="C132" s="72">
        <v>21595002050230</v>
      </c>
      <c r="D132" s="96" t="s">
        <v>270</v>
      </c>
      <c r="E132" s="93" t="s">
        <v>54</v>
      </c>
      <c r="F132" s="96" t="s">
        <v>200</v>
      </c>
      <c r="G132" s="93" t="s">
        <v>454</v>
      </c>
      <c r="H132" s="97">
        <v>2023</v>
      </c>
      <c r="I132" s="188"/>
      <c r="J132" s="185"/>
      <c r="K132" s="95"/>
    </row>
    <row r="133" spans="1:11" s="69" customFormat="1" ht="30" x14ac:dyDescent="0.2">
      <c r="A133" s="96" t="s">
        <v>456</v>
      </c>
      <c r="B133" s="72">
        <v>18746413</v>
      </c>
      <c r="C133" s="72">
        <v>21595002050231</v>
      </c>
      <c r="D133" s="96" t="s">
        <v>270</v>
      </c>
      <c r="E133" s="93" t="s">
        <v>54</v>
      </c>
      <c r="F133" s="96" t="s">
        <v>200</v>
      </c>
      <c r="G133" s="93" t="s">
        <v>457</v>
      </c>
      <c r="H133" s="97">
        <v>2023</v>
      </c>
      <c r="I133" s="188"/>
      <c r="J133" s="185"/>
      <c r="K133" s="95"/>
    </row>
    <row r="134" spans="1:11" s="69" customFormat="1" ht="45" x14ac:dyDescent="0.2">
      <c r="A134" s="96" t="s">
        <v>458</v>
      </c>
      <c r="B134" s="93">
        <v>13999958</v>
      </c>
      <c r="C134" s="71">
        <v>19595402051210</v>
      </c>
      <c r="D134" s="93" t="s">
        <v>459</v>
      </c>
      <c r="E134" s="96" t="s">
        <v>54</v>
      </c>
      <c r="F134" s="96" t="s">
        <v>88</v>
      </c>
      <c r="G134" s="93" t="s">
        <v>460</v>
      </c>
      <c r="H134" s="97">
        <v>2023</v>
      </c>
      <c r="I134" s="188"/>
      <c r="J134" s="185"/>
      <c r="K134" s="95"/>
    </row>
    <row r="135" spans="1:11" s="69" customFormat="1" ht="30" x14ac:dyDescent="0.2">
      <c r="A135" s="96" t="s">
        <v>461</v>
      </c>
      <c r="B135" s="72" t="s">
        <v>29</v>
      </c>
      <c r="C135" s="72" t="s">
        <v>29</v>
      </c>
      <c r="D135" s="96" t="s">
        <v>199</v>
      </c>
      <c r="E135" s="96" t="s">
        <v>37</v>
      </c>
      <c r="F135" s="96" t="s">
        <v>170</v>
      </c>
      <c r="G135" s="93" t="s">
        <v>462</v>
      </c>
      <c r="H135" s="97">
        <v>2024</v>
      </c>
      <c r="I135" s="188"/>
      <c r="J135" s="185"/>
      <c r="K135" s="95"/>
    </row>
    <row r="136" spans="1:11" s="69" customFormat="1" ht="30" x14ac:dyDescent="0.2">
      <c r="A136" s="96" t="s">
        <v>463</v>
      </c>
      <c r="B136" s="72" t="s">
        <v>29</v>
      </c>
      <c r="C136" s="72" t="s">
        <v>29</v>
      </c>
      <c r="D136" s="96" t="s">
        <v>205</v>
      </c>
      <c r="E136" s="96" t="s">
        <v>37</v>
      </c>
      <c r="F136" s="96" t="s">
        <v>216</v>
      </c>
      <c r="G136" s="93" t="s">
        <v>464</v>
      </c>
      <c r="H136" s="97">
        <v>2024</v>
      </c>
      <c r="I136" s="188"/>
      <c r="J136" s="185"/>
      <c r="K136" s="95"/>
    </row>
    <row r="137" spans="1:11" s="69" customFormat="1" ht="30" x14ac:dyDescent="0.2">
      <c r="A137" s="96" t="s">
        <v>465</v>
      </c>
      <c r="B137" s="72" t="s">
        <v>29</v>
      </c>
      <c r="C137" s="72" t="s">
        <v>29</v>
      </c>
      <c r="D137" s="96" t="s">
        <v>205</v>
      </c>
      <c r="E137" s="96" t="s">
        <v>37</v>
      </c>
      <c r="F137" s="96" t="s">
        <v>466</v>
      </c>
      <c r="G137" s="93" t="s">
        <v>467</v>
      </c>
      <c r="H137" s="97">
        <v>2024</v>
      </c>
      <c r="I137" s="188"/>
      <c r="J137" s="185"/>
      <c r="K137" s="95"/>
    </row>
    <row r="138" spans="1:11" s="69" customFormat="1" ht="30" x14ac:dyDescent="0.2">
      <c r="A138" s="96" t="s">
        <v>468</v>
      </c>
      <c r="B138" s="72" t="s">
        <v>29</v>
      </c>
      <c r="C138" s="72" t="s">
        <v>29</v>
      </c>
      <c r="D138" s="96" t="s">
        <v>205</v>
      </c>
      <c r="E138" s="96" t="s">
        <v>37</v>
      </c>
      <c r="F138" s="96" t="s">
        <v>466</v>
      </c>
      <c r="G138" s="93" t="s">
        <v>469</v>
      </c>
      <c r="H138" s="97">
        <v>2024</v>
      </c>
      <c r="I138" s="188"/>
      <c r="J138" s="185"/>
      <c r="K138" s="95"/>
    </row>
    <row r="139" spans="1:11" s="69" customFormat="1" ht="15" x14ac:dyDescent="0.2">
      <c r="A139" s="74" t="s">
        <v>218</v>
      </c>
      <c r="B139" s="75" t="s">
        <v>218</v>
      </c>
      <c r="C139" s="75" t="s">
        <v>218</v>
      </c>
      <c r="D139" s="75" t="s">
        <v>219</v>
      </c>
      <c r="E139" s="74" t="s">
        <v>220</v>
      </c>
      <c r="F139" s="74" t="s">
        <v>221</v>
      </c>
      <c r="G139" s="74" t="s">
        <v>349</v>
      </c>
      <c r="H139" s="97">
        <v>2024</v>
      </c>
      <c r="I139" s="188"/>
      <c r="J139" s="185"/>
      <c r="K139" s="95"/>
    </row>
    <row r="140" spans="1:11" s="69" customFormat="1" ht="45" x14ac:dyDescent="0.2">
      <c r="A140" s="96" t="s">
        <v>470</v>
      </c>
      <c r="B140" s="72" t="s">
        <v>29</v>
      </c>
      <c r="C140" s="72" t="s">
        <v>29</v>
      </c>
      <c r="D140" s="93" t="s">
        <v>224</v>
      </c>
      <c r="E140" s="96" t="s">
        <v>37</v>
      </c>
      <c r="F140" s="96" t="s">
        <v>471</v>
      </c>
      <c r="G140" s="93" t="s">
        <v>472</v>
      </c>
      <c r="H140" s="97">
        <v>2024</v>
      </c>
      <c r="I140" s="188"/>
      <c r="J140" s="185"/>
      <c r="K140" s="95"/>
    </row>
    <row r="141" spans="1:11" s="69" customFormat="1" ht="45" x14ac:dyDescent="0.2">
      <c r="A141" s="96" t="s">
        <v>473</v>
      </c>
      <c r="B141" s="72">
        <v>18455214</v>
      </c>
      <c r="C141" s="72">
        <v>2159502050214</v>
      </c>
      <c r="D141" s="93" t="s">
        <v>224</v>
      </c>
      <c r="E141" s="96" t="s">
        <v>54</v>
      </c>
      <c r="F141" s="96" t="s">
        <v>474</v>
      </c>
      <c r="G141" s="93" t="s">
        <v>475</v>
      </c>
      <c r="H141" s="97">
        <v>2024</v>
      </c>
      <c r="I141" s="188"/>
      <c r="J141" s="185"/>
      <c r="K141" s="95"/>
    </row>
    <row r="142" spans="1:11" s="69" customFormat="1" ht="30" x14ac:dyDescent="0.2">
      <c r="A142" s="96" t="s">
        <v>476</v>
      </c>
      <c r="B142" s="72" t="s">
        <v>29</v>
      </c>
      <c r="C142" s="72" t="s">
        <v>29</v>
      </c>
      <c r="D142" s="93" t="s">
        <v>230</v>
      </c>
      <c r="E142" s="96" t="s">
        <v>37</v>
      </c>
      <c r="F142" s="96" t="s">
        <v>206</v>
      </c>
      <c r="G142" s="93" t="s">
        <v>477</v>
      </c>
      <c r="H142" s="97">
        <v>2024</v>
      </c>
      <c r="I142" s="188"/>
      <c r="J142" s="185"/>
      <c r="K142" s="95"/>
    </row>
    <row r="143" spans="1:11" s="69" customFormat="1" ht="30" x14ac:dyDescent="0.2">
      <c r="A143" s="96" t="s">
        <v>478</v>
      </c>
      <c r="B143" s="72" t="s">
        <v>29</v>
      </c>
      <c r="C143" s="72" t="s">
        <v>29</v>
      </c>
      <c r="D143" s="93" t="s">
        <v>230</v>
      </c>
      <c r="E143" s="96" t="s">
        <v>37</v>
      </c>
      <c r="F143" s="96" t="s">
        <v>38</v>
      </c>
      <c r="G143" s="93" t="s">
        <v>479</v>
      </c>
      <c r="H143" s="97">
        <v>2024</v>
      </c>
      <c r="I143" s="188"/>
      <c r="J143" s="185"/>
      <c r="K143" s="95"/>
    </row>
    <row r="144" spans="1:11" s="69" customFormat="1" ht="30" x14ac:dyDescent="0.2">
      <c r="A144" s="96" t="s">
        <v>480</v>
      </c>
      <c r="B144" s="72" t="s">
        <v>29</v>
      </c>
      <c r="C144" s="72" t="s">
        <v>29</v>
      </c>
      <c r="D144" s="93" t="s">
        <v>230</v>
      </c>
      <c r="E144" s="96" t="s">
        <v>37</v>
      </c>
      <c r="F144" s="96" t="s">
        <v>38</v>
      </c>
      <c r="G144" s="93" t="s">
        <v>481</v>
      </c>
      <c r="H144" s="97">
        <v>2024</v>
      </c>
      <c r="I144" s="188"/>
      <c r="J144" s="185"/>
      <c r="K144" s="95"/>
    </row>
    <row r="145" spans="1:11" s="69" customFormat="1" ht="30" x14ac:dyDescent="0.2">
      <c r="A145" s="96" t="s">
        <v>482</v>
      </c>
      <c r="B145" s="72" t="s">
        <v>29</v>
      </c>
      <c r="C145" s="72" t="s">
        <v>29</v>
      </c>
      <c r="D145" s="93" t="s">
        <v>230</v>
      </c>
      <c r="E145" s="96" t="s">
        <v>37</v>
      </c>
      <c r="F145" s="96" t="s">
        <v>38</v>
      </c>
      <c r="G145" s="93" t="s">
        <v>483</v>
      </c>
      <c r="H145" s="97">
        <v>2024</v>
      </c>
      <c r="I145" s="188"/>
      <c r="J145" s="185"/>
      <c r="K145" s="95"/>
    </row>
    <row r="146" spans="1:11" s="69" customFormat="1" ht="75" x14ac:dyDescent="0.2">
      <c r="A146" s="93" t="s">
        <v>484</v>
      </c>
      <c r="B146" s="72" t="s">
        <v>29</v>
      </c>
      <c r="C146" s="72" t="s">
        <v>29</v>
      </c>
      <c r="D146" s="93" t="s">
        <v>230</v>
      </c>
      <c r="E146" s="96" t="s">
        <v>54</v>
      </c>
      <c r="F146" s="93" t="s">
        <v>351</v>
      </c>
      <c r="G146" s="93" t="s">
        <v>485</v>
      </c>
      <c r="H146" s="97">
        <v>2024</v>
      </c>
      <c r="I146" s="188"/>
      <c r="J146" s="185"/>
      <c r="K146" s="95"/>
    </row>
    <row r="147" spans="1:11" s="69" customFormat="1" ht="30" x14ac:dyDescent="0.2">
      <c r="A147" s="96" t="s">
        <v>486</v>
      </c>
      <c r="B147" s="72" t="s">
        <v>29</v>
      </c>
      <c r="C147" s="72" t="s">
        <v>29</v>
      </c>
      <c r="D147" s="93" t="s">
        <v>230</v>
      </c>
      <c r="E147" s="96" t="s">
        <v>37</v>
      </c>
      <c r="F147" s="96" t="s">
        <v>123</v>
      </c>
      <c r="G147" s="93" t="s">
        <v>487</v>
      </c>
      <c r="H147" s="97">
        <v>2024</v>
      </c>
      <c r="I147" s="188"/>
      <c r="J147" s="185"/>
      <c r="K147" s="95"/>
    </row>
    <row r="148" spans="1:11" s="69" customFormat="1" ht="45" x14ac:dyDescent="0.2">
      <c r="A148" s="96" t="s">
        <v>488</v>
      </c>
      <c r="B148" s="72" t="s">
        <v>29</v>
      </c>
      <c r="C148" s="72" t="s">
        <v>29</v>
      </c>
      <c r="D148" s="93" t="s">
        <v>230</v>
      </c>
      <c r="E148" s="96" t="s">
        <v>54</v>
      </c>
      <c r="F148" s="93" t="s">
        <v>288</v>
      </c>
      <c r="G148" s="93" t="s">
        <v>489</v>
      </c>
      <c r="H148" s="97">
        <v>2024</v>
      </c>
      <c r="I148" s="188"/>
      <c r="J148" s="185"/>
      <c r="K148" s="95"/>
    </row>
    <row r="149" spans="1:11" s="69" customFormat="1" ht="45" x14ac:dyDescent="0.2">
      <c r="A149" s="96" t="s">
        <v>490</v>
      </c>
      <c r="B149" s="72" t="s">
        <v>29</v>
      </c>
      <c r="C149" s="72" t="s">
        <v>29</v>
      </c>
      <c r="D149" s="93" t="s">
        <v>230</v>
      </c>
      <c r="E149" s="96" t="s">
        <v>37</v>
      </c>
      <c r="F149" s="96" t="s">
        <v>156</v>
      </c>
      <c r="G149" s="93" t="s">
        <v>491</v>
      </c>
      <c r="H149" s="97">
        <v>2024</v>
      </c>
      <c r="I149" s="188"/>
      <c r="J149" s="185"/>
      <c r="K149" s="95"/>
    </row>
    <row r="150" spans="1:11" s="69" customFormat="1" ht="90" x14ac:dyDescent="0.2">
      <c r="A150" s="93" t="s">
        <v>492</v>
      </c>
      <c r="B150" s="72" t="s">
        <v>29</v>
      </c>
      <c r="C150" s="72" t="s">
        <v>29</v>
      </c>
      <c r="D150" s="93" t="s">
        <v>230</v>
      </c>
      <c r="E150" s="96" t="s">
        <v>54</v>
      </c>
      <c r="F150" s="96" t="s">
        <v>70</v>
      </c>
      <c r="G150" s="93" t="s">
        <v>493</v>
      </c>
      <c r="H150" s="97">
        <v>2024</v>
      </c>
      <c r="I150" s="188"/>
      <c r="J150" s="185"/>
      <c r="K150" s="95"/>
    </row>
    <row r="151" spans="1:11" s="69" customFormat="1" ht="45" x14ac:dyDescent="0.2">
      <c r="A151" s="96" t="s">
        <v>494</v>
      </c>
      <c r="B151" s="72" t="s">
        <v>29</v>
      </c>
      <c r="C151" s="72" t="s">
        <v>29</v>
      </c>
      <c r="D151" s="93" t="s">
        <v>230</v>
      </c>
      <c r="E151" s="96" t="s">
        <v>37</v>
      </c>
      <c r="F151" s="96" t="s">
        <v>495</v>
      </c>
      <c r="G151" s="93" t="s">
        <v>496</v>
      </c>
      <c r="H151" s="97">
        <v>2024</v>
      </c>
      <c r="I151" s="188"/>
      <c r="J151" s="185"/>
      <c r="K151" s="95"/>
    </row>
    <row r="152" spans="1:11" s="69" customFormat="1" ht="45" x14ac:dyDescent="0.2">
      <c r="A152" s="96" t="s">
        <v>497</v>
      </c>
      <c r="B152" s="72" t="s">
        <v>29</v>
      </c>
      <c r="C152" s="72" t="s">
        <v>29</v>
      </c>
      <c r="D152" s="93" t="s">
        <v>230</v>
      </c>
      <c r="E152" s="96" t="s">
        <v>37</v>
      </c>
      <c r="F152" s="96" t="s">
        <v>239</v>
      </c>
      <c r="G152" s="93" t="s">
        <v>498</v>
      </c>
      <c r="H152" s="97">
        <v>2024</v>
      </c>
      <c r="I152" s="188"/>
      <c r="J152" s="185"/>
      <c r="K152" s="95"/>
    </row>
    <row r="153" spans="1:11" s="69" customFormat="1" ht="75" x14ac:dyDescent="0.2">
      <c r="A153" s="93" t="s">
        <v>499</v>
      </c>
      <c r="B153" s="72" t="s">
        <v>29</v>
      </c>
      <c r="C153" s="72" t="s">
        <v>29</v>
      </c>
      <c r="D153" s="93" t="s">
        <v>230</v>
      </c>
      <c r="E153" s="96" t="s">
        <v>54</v>
      </c>
      <c r="F153" s="93" t="s">
        <v>67</v>
      </c>
      <c r="G153" s="93" t="s">
        <v>500</v>
      </c>
      <c r="H153" s="97">
        <v>2024</v>
      </c>
      <c r="I153" s="188"/>
      <c r="J153" s="185"/>
      <c r="K153" s="95"/>
    </row>
    <row r="154" spans="1:11" s="69" customFormat="1" ht="60" x14ac:dyDescent="0.2">
      <c r="A154" s="93" t="s">
        <v>501</v>
      </c>
      <c r="B154" s="72" t="s">
        <v>29</v>
      </c>
      <c r="C154" s="72" t="s">
        <v>29</v>
      </c>
      <c r="D154" s="93" t="s">
        <v>230</v>
      </c>
      <c r="E154" s="96" t="s">
        <v>54</v>
      </c>
      <c r="F154" s="93" t="s">
        <v>67</v>
      </c>
      <c r="G154" s="93" t="s">
        <v>502</v>
      </c>
      <c r="H154" s="97">
        <v>2024</v>
      </c>
      <c r="I154" s="188"/>
      <c r="J154" s="185"/>
      <c r="K154" s="95"/>
    </row>
    <row r="155" spans="1:11" s="69" customFormat="1" ht="60" x14ac:dyDescent="0.2">
      <c r="A155" s="93" t="s">
        <v>503</v>
      </c>
      <c r="B155" s="72" t="s">
        <v>29</v>
      </c>
      <c r="C155" s="72" t="s">
        <v>29</v>
      </c>
      <c r="D155" s="93" t="s">
        <v>230</v>
      </c>
      <c r="E155" s="96" t="s">
        <v>54</v>
      </c>
      <c r="F155" s="93" t="s">
        <v>67</v>
      </c>
      <c r="G155" s="93" t="s">
        <v>504</v>
      </c>
      <c r="H155" s="97">
        <v>2024</v>
      </c>
      <c r="I155" s="188"/>
      <c r="J155" s="185"/>
      <c r="K155" s="95"/>
    </row>
    <row r="156" spans="1:11" s="69" customFormat="1" ht="30" x14ac:dyDescent="0.2">
      <c r="A156" s="96" t="s">
        <v>505</v>
      </c>
      <c r="B156" s="72" t="s">
        <v>29</v>
      </c>
      <c r="C156" s="72" t="s">
        <v>29</v>
      </c>
      <c r="D156" s="93" t="s">
        <v>230</v>
      </c>
      <c r="E156" s="96" t="s">
        <v>37</v>
      </c>
      <c r="F156" s="96" t="s">
        <v>387</v>
      </c>
      <c r="G156" s="93" t="s">
        <v>506</v>
      </c>
      <c r="H156" s="97">
        <v>2024</v>
      </c>
      <c r="I156" s="188"/>
      <c r="J156" s="185"/>
      <c r="K156" s="95"/>
    </row>
    <row r="157" spans="1:11" s="69" customFormat="1" ht="60" x14ac:dyDescent="0.2">
      <c r="A157" s="96" t="s">
        <v>507</v>
      </c>
      <c r="B157" s="72" t="s">
        <v>29</v>
      </c>
      <c r="C157" s="72" t="s">
        <v>29</v>
      </c>
      <c r="D157" s="93" t="s">
        <v>230</v>
      </c>
      <c r="E157" s="96" t="s">
        <v>54</v>
      </c>
      <c r="F157" s="93" t="s">
        <v>508</v>
      </c>
      <c r="G157" s="93" t="s">
        <v>509</v>
      </c>
      <c r="H157" s="97">
        <v>2024</v>
      </c>
      <c r="I157" s="188"/>
      <c r="J157" s="185"/>
      <c r="K157" s="95"/>
    </row>
    <row r="158" spans="1:11" s="69" customFormat="1" ht="15" x14ac:dyDescent="0.2">
      <c r="A158" s="74" t="s">
        <v>218</v>
      </c>
      <c r="B158" s="75" t="s">
        <v>218</v>
      </c>
      <c r="C158" s="75" t="s">
        <v>218</v>
      </c>
      <c r="D158" s="75" t="s">
        <v>230</v>
      </c>
      <c r="E158" s="74" t="s">
        <v>220</v>
      </c>
      <c r="F158" s="74" t="s">
        <v>221</v>
      </c>
      <c r="G158" s="74" t="s">
        <v>243</v>
      </c>
      <c r="H158" s="97">
        <v>2024</v>
      </c>
      <c r="I158" s="188"/>
      <c r="J158" s="185"/>
      <c r="K158" s="95"/>
    </row>
    <row r="159" spans="1:11" s="69" customFormat="1" ht="75" x14ac:dyDescent="0.2">
      <c r="A159" s="93" t="s">
        <v>510</v>
      </c>
      <c r="B159" s="72" t="s">
        <v>29</v>
      </c>
      <c r="C159" s="72" t="s">
        <v>29</v>
      </c>
      <c r="D159" s="93" t="s">
        <v>230</v>
      </c>
      <c r="E159" s="96" t="s">
        <v>54</v>
      </c>
      <c r="F159" s="93" t="s">
        <v>227</v>
      </c>
      <c r="G159" s="93" t="s">
        <v>511</v>
      </c>
      <c r="H159" s="97">
        <v>2024</v>
      </c>
      <c r="I159" s="188"/>
      <c r="J159" s="185"/>
      <c r="K159" s="95"/>
    </row>
    <row r="160" spans="1:11" s="69" customFormat="1" ht="30" x14ac:dyDescent="0.2">
      <c r="A160" s="96" t="s">
        <v>512</v>
      </c>
      <c r="B160" s="93">
        <v>18120388</v>
      </c>
      <c r="C160" s="72" t="s">
        <v>29</v>
      </c>
      <c r="D160" s="93" t="s">
        <v>230</v>
      </c>
      <c r="E160" s="96" t="s">
        <v>51</v>
      </c>
      <c r="F160" s="96" t="s">
        <v>103</v>
      </c>
      <c r="G160" s="93" t="s">
        <v>513</v>
      </c>
      <c r="H160" s="97">
        <v>2024</v>
      </c>
      <c r="I160" s="188"/>
      <c r="J160" s="185"/>
      <c r="K160" s="95"/>
    </row>
    <row r="161" spans="1:11" s="69" customFormat="1" ht="30" x14ac:dyDescent="0.2">
      <c r="A161" s="96" t="s">
        <v>514</v>
      </c>
      <c r="B161" s="93">
        <v>18124755</v>
      </c>
      <c r="C161" s="72" t="s">
        <v>29</v>
      </c>
      <c r="D161" s="93" t="s">
        <v>230</v>
      </c>
      <c r="E161" s="96" t="s">
        <v>51</v>
      </c>
      <c r="F161" s="96" t="s">
        <v>103</v>
      </c>
      <c r="G161" s="93" t="s">
        <v>515</v>
      </c>
      <c r="H161" s="97">
        <v>2024</v>
      </c>
      <c r="I161" s="188"/>
      <c r="J161" s="185"/>
      <c r="K161" s="95"/>
    </row>
    <row r="162" spans="1:11" s="69" customFormat="1" ht="30" x14ac:dyDescent="0.2">
      <c r="A162" s="96" t="s">
        <v>516</v>
      </c>
      <c r="B162" s="93">
        <v>18120388</v>
      </c>
      <c r="C162" s="72" t="s">
        <v>29</v>
      </c>
      <c r="D162" s="93" t="s">
        <v>230</v>
      </c>
      <c r="E162" s="96" t="s">
        <v>51</v>
      </c>
      <c r="F162" s="96" t="s">
        <v>103</v>
      </c>
      <c r="G162" s="93" t="s">
        <v>517</v>
      </c>
      <c r="H162" s="97">
        <v>2024</v>
      </c>
      <c r="I162" s="188"/>
      <c r="J162" s="185"/>
      <c r="K162" s="95"/>
    </row>
    <row r="163" spans="1:11" s="69" customFormat="1" ht="30" x14ac:dyDescent="0.2">
      <c r="A163" s="96" t="s">
        <v>518</v>
      </c>
      <c r="B163" s="93">
        <v>18120395</v>
      </c>
      <c r="C163" s="72" t="s">
        <v>29</v>
      </c>
      <c r="D163" s="93" t="s">
        <v>230</v>
      </c>
      <c r="E163" s="96" t="s">
        <v>51</v>
      </c>
      <c r="F163" s="96" t="s">
        <v>103</v>
      </c>
      <c r="G163" s="93" t="s">
        <v>519</v>
      </c>
      <c r="H163" s="97">
        <v>2024</v>
      </c>
      <c r="I163" s="188"/>
      <c r="J163" s="185"/>
      <c r="K163" s="95"/>
    </row>
    <row r="164" spans="1:11" s="69" customFormat="1" ht="30" x14ac:dyDescent="0.2">
      <c r="A164" s="96" t="s">
        <v>520</v>
      </c>
      <c r="B164" s="93">
        <v>18120398</v>
      </c>
      <c r="C164" s="72" t="s">
        <v>29</v>
      </c>
      <c r="D164" s="93" t="s">
        <v>230</v>
      </c>
      <c r="E164" s="96" t="s">
        <v>51</v>
      </c>
      <c r="F164" s="96" t="s">
        <v>103</v>
      </c>
      <c r="G164" s="93" t="s">
        <v>521</v>
      </c>
      <c r="H164" s="97">
        <v>2024</v>
      </c>
      <c r="I164" s="188"/>
      <c r="J164" s="185"/>
      <c r="K164" s="95"/>
    </row>
    <row r="165" spans="1:11" s="69" customFormat="1" ht="45" x14ac:dyDescent="0.2">
      <c r="A165" s="93" t="s">
        <v>522</v>
      </c>
      <c r="B165" s="72" t="s">
        <v>29</v>
      </c>
      <c r="C165" s="72" t="s">
        <v>29</v>
      </c>
      <c r="D165" s="93" t="s">
        <v>50</v>
      </c>
      <c r="E165" s="96" t="s">
        <v>54</v>
      </c>
      <c r="F165" s="93" t="s">
        <v>59</v>
      </c>
      <c r="G165" s="93" t="s">
        <v>523</v>
      </c>
      <c r="H165" s="97">
        <v>2024</v>
      </c>
      <c r="I165" s="188"/>
      <c r="J165" s="185"/>
      <c r="K165" s="95"/>
    </row>
    <row r="166" spans="1:11" s="69" customFormat="1" ht="45" x14ac:dyDescent="0.2">
      <c r="A166" s="93" t="s">
        <v>524</v>
      </c>
      <c r="B166" s="72" t="s">
        <v>29</v>
      </c>
      <c r="C166" s="72" t="s">
        <v>29</v>
      </c>
      <c r="D166" s="93" t="s">
        <v>50</v>
      </c>
      <c r="E166" s="96" t="s">
        <v>54</v>
      </c>
      <c r="F166" s="93" t="s">
        <v>296</v>
      </c>
      <c r="G166" s="93" t="s">
        <v>525</v>
      </c>
      <c r="H166" s="97">
        <v>2024</v>
      </c>
      <c r="I166" s="188"/>
      <c r="J166" s="185"/>
      <c r="K166" s="95"/>
    </row>
    <row r="167" spans="1:11" s="69" customFormat="1" ht="45" x14ac:dyDescent="0.2">
      <c r="A167" s="96" t="s">
        <v>526</v>
      </c>
      <c r="B167" s="72">
        <v>18063029</v>
      </c>
      <c r="C167" s="72">
        <v>20595702050210</v>
      </c>
      <c r="D167" s="93" t="s">
        <v>50</v>
      </c>
      <c r="E167" s="96" t="s">
        <v>54</v>
      </c>
      <c r="F167" s="96" t="s">
        <v>296</v>
      </c>
      <c r="G167" s="93" t="s">
        <v>527</v>
      </c>
      <c r="H167" s="97">
        <v>2024</v>
      </c>
      <c r="I167" s="188"/>
      <c r="J167" s="185"/>
      <c r="K167" s="95"/>
    </row>
    <row r="168" spans="1:11" s="69" customFormat="1" ht="75" x14ac:dyDescent="0.2">
      <c r="A168" s="96" t="s">
        <v>528</v>
      </c>
      <c r="B168" s="71">
        <v>1845566</v>
      </c>
      <c r="C168" s="72">
        <v>2159552050216</v>
      </c>
      <c r="D168" s="93" t="s">
        <v>50</v>
      </c>
      <c r="E168" s="96" t="s">
        <v>54</v>
      </c>
      <c r="F168" s="96" t="s">
        <v>70</v>
      </c>
      <c r="G168" s="93" t="s">
        <v>529</v>
      </c>
      <c r="H168" s="97">
        <v>2024</v>
      </c>
      <c r="I168" s="188"/>
      <c r="J168" s="185"/>
      <c r="K168" s="95"/>
    </row>
    <row r="169" spans="1:11" s="69" customFormat="1" ht="60" x14ac:dyDescent="0.2">
      <c r="A169" s="96" t="s">
        <v>530</v>
      </c>
      <c r="B169" s="72" t="s">
        <v>29</v>
      </c>
      <c r="C169" s="72" t="s">
        <v>29</v>
      </c>
      <c r="D169" s="93" t="s">
        <v>50</v>
      </c>
      <c r="E169" s="96" t="s">
        <v>54</v>
      </c>
      <c r="F169" s="96" t="s">
        <v>70</v>
      </c>
      <c r="G169" s="93" t="s">
        <v>531</v>
      </c>
      <c r="H169" s="97">
        <v>2024</v>
      </c>
      <c r="I169" s="188"/>
      <c r="J169" s="185"/>
      <c r="K169" s="95"/>
    </row>
    <row r="170" spans="1:11" s="69" customFormat="1" ht="15" x14ac:dyDescent="0.2">
      <c r="A170" s="74" t="s">
        <v>218</v>
      </c>
      <c r="B170" s="75" t="s">
        <v>218</v>
      </c>
      <c r="C170" s="75" t="s">
        <v>218</v>
      </c>
      <c r="D170" s="75" t="s">
        <v>257</v>
      </c>
      <c r="E170" s="74" t="s">
        <v>220</v>
      </c>
      <c r="F170" s="74" t="s">
        <v>221</v>
      </c>
      <c r="G170" s="74" t="s">
        <v>258</v>
      </c>
      <c r="H170" s="97">
        <v>2024</v>
      </c>
      <c r="I170" s="188"/>
      <c r="J170" s="185"/>
      <c r="K170" s="95"/>
    </row>
    <row r="171" spans="1:11" s="69" customFormat="1" ht="60" x14ac:dyDescent="0.2">
      <c r="A171" s="96" t="s">
        <v>532</v>
      </c>
      <c r="B171" s="72" t="s">
        <v>29</v>
      </c>
      <c r="C171" s="72" t="s">
        <v>29</v>
      </c>
      <c r="D171" s="93" t="s">
        <v>50</v>
      </c>
      <c r="E171" s="96" t="s">
        <v>54</v>
      </c>
      <c r="F171" s="96" t="s">
        <v>200</v>
      </c>
      <c r="G171" s="93" t="s">
        <v>533</v>
      </c>
      <c r="H171" s="97">
        <v>2024</v>
      </c>
      <c r="I171" s="188"/>
      <c r="J171" s="185"/>
      <c r="K171" s="95"/>
    </row>
    <row r="172" spans="1:11" s="69" customFormat="1" ht="45" x14ac:dyDescent="0.2">
      <c r="A172" s="93" t="s">
        <v>534</v>
      </c>
      <c r="B172" s="72" t="s">
        <v>29</v>
      </c>
      <c r="C172" s="72" t="s">
        <v>29</v>
      </c>
      <c r="D172" s="93" t="s">
        <v>259</v>
      </c>
      <c r="E172" s="96" t="s">
        <v>54</v>
      </c>
      <c r="F172" s="93" t="s">
        <v>59</v>
      </c>
      <c r="G172" s="93" t="s">
        <v>535</v>
      </c>
      <c r="H172" s="97">
        <v>2024</v>
      </c>
      <c r="I172" s="188"/>
      <c r="J172" s="185"/>
      <c r="K172" s="95"/>
    </row>
    <row r="173" spans="1:11" s="69" customFormat="1" ht="30" x14ac:dyDescent="0.2">
      <c r="A173" s="96" t="s">
        <v>536</v>
      </c>
      <c r="B173" s="72" t="s">
        <v>29</v>
      </c>
      <c r="C173" s="72" t="s">
        <v>29</v>
      </c>
      <c r="D173" s="96" t="s">
        <v>259</v>
      </c>
      <c r="E173" s="96" t="s">
        <v>37</v>
      </c>
      <c r="F173" s="96" t="s">
        <v>123</v>
      </c>
      <c r="G173" s="93" t="s">
        <v>537</v>
      </c>
      <c r="H173" s="97">
        <v>2024</v>
      </c>
      <c r="I173" s="188"/>
      <c r="J173" s="185"/>
      <c r="K173" s="95"/>
    </row>
    <row r="174" spans="1:11" s="69" customFormat="1" ht="30" x14ac:dyDescent="0.2">
      <c r="A174" s="96" t="s">
        <v>538</v>
      </c>
      <c r="B174" s="72" t="s">
        <v>29</v>
      </c>
      <c r="C174" s="72" t="s">
        <v>29</v>
      </c>
      <c r="D174" s="96" t="s">
        <v>259</v>
      </c>
      <c r="E174" s="96" t="s">
        <v>37</v>
      </c>
      <c r="F174" s="96" t="s">
        <v>123</v>
      </c>
      <c r="G174" s="93" t="s">
        <v>537</v>
      </c>
      <c r="H174" s="97">
        <v>2024</v>
      </c>
      <c r="I174" s="188"/>
      <c r="J174" s="185"/>
      <c r="K174" s="95"/>
    </row>
    <row r="175" spans="1:11" s="69" customFormat="1" ht="30" x14ac:dyDescent="0.2">
      <c r="A175" s="96" t="s">
        <v>539</v>
      </c>
      <c r="B175" s="72" t="s">
        <v>29</v>
      </c>
      <c r="C175" s="72" t="s">
        <v>29</v>
      </c>
      <c r="D175" s="96" t="s">
        <v>259</v>
      </c>
      <c r="E175" s="96" t="s">
        <v>37</v>
      </c>
      <c r="F175" s="96" t="s">
        <v>156</v>
      </c>
      <c r="G175" s="93" t="s">
        <v>540</v>
      </c>
      <c r="H175" s="97">
        <v>2024</v>
      </c>
      <c r="I175" s="188"/>
      <c r="J175" s="185"/>
      <c r="K175" s="95"/>
    </row>
    <row r="176" spans="1:11" s="69" customFormat="1" ht="30" x14ac:dyDescent="0.2">
      <c r="A176" s="96" t="s">
        <v>541</v>
      </c>
      <c r="B176" s="72" t="s">
        <v>29</v>
      </c>
      <c r="C176" s="72" t="s">
        <v>29</v>
      </c>
      <c r="D176" s="96" t="s">
        <v>259</v>
      </c>
      <c r="E176" s="96" t="s">
        <v>37</v>
      </c>
      <c r="F176" s="96" t="s">
        <v>156</v>
      </c>
      <c r="G176" s="93" t="s">
        <v>540</v>
      </c>
      <c r="H176" s="97">
        <v>2024</v>
      </c>
      <c r="I176" s="188"/>
      <c r="J176" s="185"/>
      <c r="K176" s="95"/>
    </row>
    <row r="177" spans="1:11" s="69" customFormat="1" ht="30" x14ac:dyDescent="0.2">
      <c r="A177" s="96" t="s">
        <v>542</v>
      </c>
      <c r="B177" s="72" t="s">
        <v>29</v>
      </c>
      <c r="C177" s="72" t="s">
        <v>29</v>
      </c>
      <c r="D177" s="93" t="s">
        <v>259</v>
      </c>
      <c r="E177" s="96" t="s">
        <v>37</v>
      </c>
      <c r="F177" s="96" t="s">
        <v>156</v>
      </c>
      <c r="G177" s="93" t="s">
        <v>543</v>
      </c>
      <c r="H177" s="97">
        <v>2024</v>
      </c>
      <c r="I177" s="188"/>
      <c r="J177" s="185"/>
      <c r="K177" s="95"/>
    </row>
    <row r="178" spans="1:11" s="69" customFormat="1" ht="30" x14ac:dyDescent="0.2">
      <c r="A178" s="96" t="s">
        <v>544</v>
      </c>
      <c r="B178" s="72" t="s">
        <v>29</v>
      </c>
      <c r="C178" s="72" t="s">
        <v>29</v>
      </c>
      <c r="D178" s="96" t="s">
        <v>259</v>
      </c>
      <c r="E178" s="96" t="s">
        <v>37</v>
      </c>
      <c r="F178" s="96" t="s">
        <v>141</v>
      </c>
      <c r="G178" s="93" t="s">
        <v>545</v>
      </c>
      <c r="H178" s="97">
        <v>2024</v>
      </c>
      <c r="I178" s="188"/>
      <c r="J178" s="185"/>
      <c r="K178" s="95"/>
    </row>
    <row r="179" spans="1:11" s="69" customFormat="1" ht="30" x14ac:dyDescent="0.2">
      <c r="A179" s="96" t="s">
        <v>546</v>
      </c>
      <c r="B179" s="72" t="s">
        <v>29</v>
      </c>
      <c r="C179" s="72" t="s">
        <v>29</v>
      </c>
      <c r="D179" s="93" t="s">
        <v>259</v>
      </c>
      <c r="E179" s="96" t="s">
        <v>37</v>
      </c>
      <c r="F179" s="96" t="s">
        <v>435</v>
      </c>
      <c r="G179" s="93" t="s">
        <v>547</v>
      </c>
      <c r="H179" s="97">
        <v>2024</v>
      </c>
      <c r="I179" s="188"/>
      <c r="J179" s="185"/>
      <c r="K179" s="95"/>
    </row>
    <row r="180" spans="1:11" s="69" customFormat="1" ht="45" x14ac:dyDescent="0.2">
      <c r="A180" s="96" t="s">
        <v>548</v>
      </c>
      <c r="B180" s="72" t="s">
        <v>29</v>
      </c>
      <c r="C180" s="72" t="s">
        <v>29</v>
      </c>
      <c r="D180" s="96" t="s">
        <v>270</v>
      </c>
      <c r="E180" s="96" t="s">
        <v>54</v>
      </c>
      <c r="F180" s="96" t="s">
        <v>81</v>
      </c>
      <c r="G180" s="93" t="s">
        <v>525</v>
      </c>
      <c r="H180" s="97">
        <v>2024</v>
      </c>
      <c r="I180" s="188"/>
      <c r="J180" s="185"/>
      <c r="K180" s="95"/>
    </row>
    <row r="181" spans="1:11" s="69" customFormat="1" ht="30" x14ac:dyDescent="0.2">
      <c r="A181" s="96" t="s">
        <v>549</v>
      </c>
      <c r="B181" s="72" t="s">
        <v>29</v>
      </c>
      <c r="C181" s="72" t="s">
        <v>29</v>
      </c>
      <c r="D181" s="96" t="s">
        <v>270</v>
      </c>
      <c r="E181" s="96" t="s">
        <v>37</v>
      </c>
      <c r="F181" s="96" t="s">
        <v>299</v>
      </c>
      <c r="G181" s="93" t="s">
        <v>550</v>
      </c>
      <c r="H181" s="97">
        <v>2024</v>
      </c>
      <c r="I181" s="188"/>
      <c r="J181" s="185"/>
      <c r="K181" s="95"/>
    </row>
    <row r="182" spans="1:11" s="69" customFormat="1" ht="30" x14ac:dyDescent="0.2">
      <c r="A182" s="96" t="s">
        <v>551</v>
      </c>
      <c r="B182" s="72" t="s">
        <v>29</v>
      </c>
      <c r="C182" s="72" t="s">
        <v>29</v>
      </c>
      <c r="D182" s="96" t="s">
        <v>270</v>
      </c>
      <c r="E182" s="96" t="s">
        <v>37</v>
      </c>
      <c r="F182" s="96" t="s">
        <v>255</v>
      </c>
      <c r="G182" s="93" t="s">
        <v>552</v>
      </c>
      <c r="H182" s="97">
        <v>2024</v>
      </c>
      <c r="I182" s="188"/>
      <c r="J182" s="185"/>
      <c r="K182" s="95"/>
    </row>
    <row r="183" spans="1:11" s="69" customFormat="1" ht="30" x14ac:dyDescent="0.2">
      <c r="A183" s="96" t="s">
        <v>553</v>
      </c>
      <c r="B183" s="72" t="s">
        <v>29</v>
      </c>
      <c r="C183" s="72" t="s">
        <v>29</v>
      </c>
      <c r="D183" s="96" t="s">
        <v>270</v>
      </c>
      <c r="E183" s="96" t="s">
        <v>51</v>
      </c>
      <c r="F183" s="96" t="s">
        <v>95</v>
      </c>
      <c r="G183" s="93" t="s">
        <v>550</v>
      </c>
      <c r="H183" s="97">
        <v>2024</v>
      </c>
      <c r="I183" s="188"/>
      <c r="J183" s="185"/>
      <c r="K183" s="95"/>
    </row>
    <row r="184" spans="1:11" s="69" customFormat="1" ht="30" x14ac:dyDescent="0.2">
      <c r="A184" s="96" t="s">
        <v>554</v>
      </c>
      <c r="B184" s="72" t="s">
        <v>29</v>
      </c>
      <c r="C184" s="72" t="s">
        <v>29</v>
      </c>
      <c r="D184" s="96" t="s">
        <v>555</v>
      </c>
      <c r="E184" s="96" t="s">
        <v>37</v>
      </c>
      <c r="F184" s="96" t="s">
        <v>170</v>
      </c>
      <c r="G184" s="93" t="s">
        <v>556</v>
      </c>
      <c r="H184" s="97">
        <v>2024</v>
      </c>
      <c r="I184" s="188"/>
      <c r="J184" s="185"/>
      <c r="K184" s="95"/>
    </row>
    <row r="185" spans="1:11" s="69" customFormat="1" ht="45" x14ac:dyDescent="0.2">
      <c r="A185" s="96" t="s">
        <v>557</v>
      </c>
      <c r="B185" s="93" t="s">
        <v>29</v>
      </c>
      <c r="C185" s="71" t="s">
        <v>30</v>
      </c>
      <c r="D185" s="93" t="s">
        <v>459</v>
      </c>
      <c r="E185" s="96" t="s">
        <v>54</v>
      </c>
      <c r="F185" s="96" t="s">
        <v>59</v>
      </c>
      <c r="G185" s="93" t="s">
        <v>558</v>
      </c>
      <c r="H185" s="97">
        <v>2024</v>
      </c>
      <c r="I185" s="188"/>
      <c r="J185" s="185"/>
      <c r="K185" s="95"/>
    </row>
    <row r="186" spans="1:11" s="69" customFormat="1" ht="45" x14ac:dyDescent="0.2">
      <c r="A186" s="96" t="s">
        <v>559</v>
      </c>
      <c r="B186" s="72" t="s">
        <v>29</v>
      </c>
      <c r="C186" s="72" t="s">
        <v>29</v>
      </c>
      <c r="D186" s="96" t="s">
        <v>560</v>
      </c>
      <c r="E186" s="96" t="s">
        <v>37</v>
      </c>
      <c r="F186" s="96" t="s">
        <v>38</v>
      </c>
      <c r="G186" s="93" t="s">
        <v>561</v>
      </c>
      <c r="H186" s="97">
        <v>2025</v>
      </c>
      <c r="I186" s="188"/>
      <c r="J186" s="185"/>
      <c r="K186" s="95"/>
    </row>
    <row r="187" spans="1:11" s="69" customFormat="1" ht="30" x14ac:dyDescent="0.2">
      <c r="A187" s="96" t="s">
        <v>562</v>
      </c>
      <c r="B187" s="72" t="s">
        <v>29</v>
      </c>
      <c r="C187" s="72" t="s">
        <v>29</v>
      </c>
      <c r="D187" s="96" t="s">
        <v>205</v>
      </c>
      <c r="E187" s="96" t="s">
        <v>37</v>
      </c>
      <c r="F187" s="96" t="s">
        <v>206</v>
      </c>
      <c r="G187" s="93" t="s">
        <v>563</v>
      </c>
      <c r="H187" s="97">
        <v>2025</v>
      </c>
      <c r="I187" s="188"/>
      <c r="J187" s="185"/>
      <c r="K187" s="95"/>
    </row>
    <row r="188" spans="1:11" s="69" customFormat="1" ht="30" x14ac:dyDescent="0.2">
      <c r="A188" s="96" t="s">
        <v>564</v>
      </c>
      <c r="B188" s="72" t="s">
        <v>29</v>
      </c>
      <c r="C188" s="72" t="s">
        <v>29</v>
      </c>
      <c r="D188" s="96" t="s">
        <v>205</v>
      </c>
      <c r="E188" s="96" t="s">
        <v>37</v>
      </c>
      <c r="F188" s="96" t="s">
        <v>38</v>
      </c>
      <c r="G188" s="93" t="s">
        <v>565</v>
      </c>
      <c r="H188" s="97">
        <v>2025</v>
      </c>
      <c r="I188" s="188"/>
      <c r="J188" s="185"/>
      <c r="K188" s="95"/>
    </row>
    <row r="189" spans="1:11" s="69" customFormat="1" ht="30" x14ac:dyDescent="0.2">
      <c r="A189" s="96" t="s">
        <v>566</v>
      </c>
      <c r="B189" s="72" t="s">
        <v>29</v>
      </c>
      <c r="C189" s="72" t="s">
        <v>29</v>
      </c>
      <c r="D189" s="96" t="s">
        <v>205</v>
      </c>
      <c r="E189" s="96" t="s">
        <v>37</v>
      </c>
      <c r="F189" s="96" t="s">
        <v>299</v>
      </c>
      <c r="G189" s="93" t="s">
        <v>567</v>
      </c>
      <c r="H189" s="97">
        <v>2025</v>
      </c>
      <c r="I189" s="188"/>
      <c r="J189" s="185"/>
      <c r="K189" s="95"/>
    </row>
    <row r="190" spans="1:11" s="69" customFormat="1" ht="30" x14ac:dyDescent="0.2">
      <c r="A190" s="96" t="s">
        <v>568</v>
      </c>
      <c r="B190" s="72" t="s">
        <v>29</v>
      </c>
      <c r="C190" s="72" t="s">
        <v>29</v>
      </c>
      <c r="D190" s="96" t="s">
        <v>205</v>
      </c>
      <c r="E190" s="96" t="s">
        <v>37</v>
      </c>
      <c r="F190" s="96" t="s">
        <v>299</v>
      </c>
      <c r="G190" s="93" t="s">
        <v>569</v>
      </c>
      <c r="H190" s="97">
        <v>2025</v>
      </c>
      <c r="I190" s="188"/>
      <c r="J190" s="185"/>
      <c r="K190" s="95"/>
    </row>
    <row r="191" spans="1:11" s="69" customFormat="1" ht="30" x14ac:dyDescent="0.2">
      <c r="A191" s="96" t="s">
        <v>570</v>
      </c>
      <c r="B191" s="72" t="s">
        <v>29</v>
      </c>
      <c r="C191" s="72" t="s">
        <v>29</v>
      </c>
      <c r="D191" s="96" t="s">
        <v>205</v>
      </c>
      <c r="E191" s="96" t="s">
        <v>37</v>
      </c>
      <c r="F191" s="96" t="s">
        <v>255</v>
      </c>
      <c r="G191" s="93" t="s">
        <v>571</v>
      </c>
      <c r="H191" s="97">
        <v>2025</v>
      </c>
      <c r="I191" s="188"/>
      <c r="J191" s="185"/>
      <c r="K191" s="95"/>
    </row>
    <row r="192" spans="1:11" s="69" customFormat="1" ht="30" x14ac:dyDescent="0.2">
      <c r="A192" s="96" t="s">
        <v>572</v>
      </c>
      <c r="B192" s="72" t="s">
        <v>29</v>
      </c>
      <c r="C192" s="72" t="s">
        <v>29</v>
      </c>
      <c r="D192" s="96" t="s">
        <v>205</v>
      </c>
      <c r="E192" s="96" t="s">
        <v>37</v>
      </c>
      <c r="F192" s="96" t="s">
        <v>255</v>
      </c>
      <c r="G192" s="93" t="s">
        <v>573</v>
      </c>
      <c r="H192" s="97">
        <v>2025</v>
      </c>
      <c r="I192" s="188"/>
      <c r="J192" s="185"/>
      <c r="K192" s="95"/>
    </row>
    <row r="193" spans="1:11" s="69" customFormat="1" ht="30" x14ac:dyDescent="0.2">
      <c r="A193" s="96" t="s">
        <v>574</v>
      </c>
      <c r="B193" s="72" t="s">
        <v>29</v>
      </c>
      <c r="C193" s="72" t="s">
        <v>29</v>
      </c>
      <c r="D193" s="96" t="s">
        <v>205</v>
      </c>
      <c r="E193" s="96" t="s">
        <v>37</v>
      </c>
      <c r="F193" s="96" t="s">
        <v>255</v>
      </c>
      <c r="G193" s="93" t="s">
        <v>575</v>
      </c>
      <c r="H193" s="97">
        <v>2025</v>
      </c>
      <c r="I193" s="188"/>
      <c r="J193" s="185"/>
      <c r="K193" s="95"/>
    </row>
    <row r="194" spans="1:11" s="69" customFormat="1" ht="60" x14ac:dyDescent="0.2">
      <c r="A194" s="96" t="s">
        <v>576</v>
      </c>
      <c r="B194" s="72" t="s">
        <v>29</v>
      </c>
      <c r="C194" s="72" t="s">
        <v>29</v>
      </c>
      <c r="D194" s="96" t="s">
        <v>205</v>
      </c>
      <c r="E194" s="96" t="s">
        <v>37</v>
      </c>
      <c r="F194" s="96" t="s">
        <v>255</v>
      </c>
      <c r="G194" s="93" t="s">
        <v>577</v>
      </c>
      <c r="H194" s="97">
        <v>2025</v>
      </c>
      <c r="I194" s="188"/>
      <c r="J194" s="185"/>
      <c r="K194" s="95"/>
    </row>
    <row r="195" spans="1:11" s="69" customFormat="1" ht="30" x14ac:dyDescent="0.2">
      <c r="A195" s="96" t="s">
        <v>578</v>
      </c>
      <c r="B195" s="72" t="s">
        <v>29</v>
      </c>
      <c r="C195" s="72" t="s">
        <v>29</v>
      </c>
      <c r="D195" s="96" t="s">
        <v>205</v>
      </c>
      <c r="E195" s="96" t="s">
        <v>37</v>
      </c>
      <c r="F195" s="96" t="s">
        <v>216</v>
      </c>
      <c r="G195" s="93" t="s">
        <v>579</v>
      </c>
      <c r="H195" s="97">
        <v>2025</v>
      </c>
      <c r="I195" s="188"/>
      <c r="J195" s="185"/>
      <c r="K195" s="95"/>
    </row>
    <row r="196" spans="1:11" s="69" customFormat="1" ht="30" x14ac:dyDescent="0.2">
      <c r="A196" s="96" t="s">
        <v>580</v>
      </c>
      <c r="B196" s="93">
        <v>18027501</v>
      </c>
      <c r="C196" s="71">
        <v>20575102050222</v>
      </c>
      <c r="D196" s="96" t="s">
        <v>205</v>
      </c>
      <c r="E196" s="96" t="s">
        <v>37</v>
      </c>
      <c r="F196" s="96" t="s">
        <v>216</v>
      </c>
      <c r="G196" s="93" t="s">
        <v>581</v>
      </c>
      <c r="H196" s="97">
        <v>2025</v>
      </c>
      <c r="I196" s="188"/>
      <c r="J196" s="185"/>
      <c r="K196" s="95"/>
    </row>
    <row r="197" spans="1:11" s="69" customFormat="1" ht="30" x14ac:dyDescent="0.2">
      <c r="A197" s="96" t="s">
        <v>582</v>
      </c>
      <c r="B197" s="93">
        <v>18120367</v>
      </c>
      <c r="C197" s="72" t="s">
        <v>29</v>
      </c>
      <c r="D197" s="96" t="s">
        <v>205</v>
      </c>
      <c r="E197" s="96" t="s">
        <v>37</v>
      </c>
      <c r="F197" s="96" t="s">
        <v>216</v>
      </c>
      <c r="G197" s="93" t="s">
        <v>583</v>
      </c>
      <c r="H197" s="97">
        <v>2025</v>
      </c>
      <c r="I197" s="188"/>
      <c r="J197" s="185"/>
      <c r="K197" s="95"/>
    </row>
    <row r="198" spans="1:11" s="69" customFormat="1" ht="45" x14ac:dyDescent="0.2">
      <c r="A198" s="96" t="s">
        <v>584</v>
      </c>
      <c r="B198" s="72" t="s">
        <v>29</v>
      </c>
      <c r="C198" s="72" t="s">
        <v>29</v>
      </c>
      <c r="D198" s="96" t="s">
        <v>205</v>
      </c>
      <c r="E198" s="96" t="s">
        <v>37</v>
      </c>
      <c r="F198" s="96" t="s">
        <v>216</v>
      </c>
      <c r="G198" s="93" t="s">
        <v>585</v>
      </c>
      <c r="H198" s="97">
        <v>2025</v>
      </c>
      <c r="I198" s="188"/>
      <c r="J198" s="185"/>
      <c r="K198" s="95"/>
    </row>
    <row r="199" spans="1:11" s="69" customFormat="1" ht="30" x14ac:dyDescent="0.2">
      <c r="A199" s="96" t="s">
        <v>586</v>
      </c>
      <c r="B199" s="72" t="s">
        <v>29</v>
      </c>
      <c r="C199" s="72" t="s">
        <v>29</v>
      </c>
      <c r="D199" s="96" t="s">
        <v>205</v>
      </c>
      <c r="E199" s="96" t="s">
        <v>37</v>
      </c>
      <c r="F199" s="96" t="s">
        <v>466</v>
      </c>
      <c r="G199" s="93" t="s">
        <v>587</v>
      </c>
      <c r="H199" s="97">
        <v>2025</v>
      </c>
      <c r="I199" s="188"/>
      <c r="J199" s="185"/>
      <c r="K199" s="95"/>
    </row>
    <row r="200" spans="1:11" s="69" customFormat="1" ht="30" x14ac:dyDescent="0.2">
      <c r="A200" s="96" t="s">
        <v>588</v>
      </c>
      <c r="B200" s="72" t="s">
        <v>29</v>
      </c>
      <c r="C200" s="72" t="s">
        <v>29</v>
      </c>
      <c r="D200" s="96" t="s">
        <v>205</v>
      </c>
      <c r="E200" s="96" t="s">
        <v>37</v>
      </c>
      <c r="F200" s="96" t="s">
        <v>466</v>
      </c>
      <c r="G200" s="93" t="s">
        <v>589</v>
      </c>
      <c r="H200" s="97">
        <v>2025</v>
      </c>
      <c r="I200" s="188"/>
      <c r="J200" s="185"/>
      <c r="K200" s="95"/>
    </row>
    <row r="201" spans="1:11" s="69" customFormat="1" ht="30" x14ac:dyDescent="0.2">
      <c r="A201" s="96" t="s">
        <v>590</v>
      </c>
      <c r="B201" s="72" t="s">
        <v>29</v>
      </c>
      <c r="C201" s="72" t="s">
        <v>29</v>
      </c>
      <c r="D201" s="96" t="s">
        <v>205</v>
      </c>
      <c r="E201" s="96" t="s">
        <v>37</v>
      </c>
      <c r="F201" s="96" t="s">
        <v>466</v>
      </c>
      <c r="G201" s="93" t="s">
        <v>591</v>
      </c>
      <c r="H201" s="97">
        <v>2025</v>
      </c>
      <c r="I201" s="188"/>
      <c r="J201" s="185"/>
      <c r="K201" s="95"/>
    </row>
    <row r="202" spans="1:11" s="69" customFormat="1" ht="30" x14ac:dyDescent="0.2">
      <c r="A202" s="96" t="s">
        <v>592</v>
      </c>
      <c r="B202" s="71">
        <v>18159315</v>
      </c>
      <c r="C202" s="71">
        <v>20595002050214</v>
      </c>
      <c r="D202" s="96" t="s">
        <v>205</v>
      </c>
      <c r="E202" s="96" t="s">
        <v>54</v>
      </c>
      <c r="F202" s="93" t="s">
        <v>593</v>
      </c>
      <c r="G202" s="93" t="s">
        <v>594</v>
      </c>
      <c r="H202" s="97">
        <v>2025</v>
      </c>
      <c r="I202" s="188"/>
      <c r="J202" s="185"/>
      <c r="K202" s="95"/>
    </row>
    <row r="203" spans="1:11" s="69" customFormat="1" ht="15" x14ac:dyDescent="0.2">
      <c r="A203" s="74" t="s">
        <v>218</v>
      </c>
      <c r="B203" s="75" t="s">
        <v>218</v>
      </c>
      <c r="C203" s="75" t="s">
        <v>218</v>
      </c>
      <c r="D203" s="75" t="s">
        <v>219</v>
      </c>
      <c r="E203" s="74" t="s">
        <v>220</v>
      </c>
      <c r="F203" s="74" t="s">
        <v>221</v>
      </c>
      <c r="G203" s="74" t="s">
        <v>349</v>
      </c>
      <c r="H203" s="97">
        <v>2025</v>
      </c>
      <c r="I203" s="188"/>
      <c r="J203" s="185"/>
      <c r="K203" s="95"/>
    </row>
    <row r="204" spans="1:11" s="69" customFormat="1" ht="45" x14ac:dyDescent="0.2">
      <c r="A204" s="96" t="s">
        <v>595</v>
      </c>
      <c r="B204" s="72" t="s">
        <v>29</v>
      </c>
      <c r="C204" s="72" t="s">
        <v>29</v>
      </c>
      <c r="D204" s="93" t="s">
        <v>224</v>
      </c>
      <c r="E204" s="96" t="s">
        <v>54</v>
      </c>
      <c r="F204" s="96" t="s">
        <v>351</v>
      </c>
      <c r="G204" s="93" t="s">
        <v>596</v>
      </c>
      <c r="H204" s="97">
        <v>2025</v>
      </c>
      <c r="I204" s="188"/>
      <c r="J204" s="185"/>
      <c r="K204" s="95"/>
    </row>
    <row r="205" spans="1:11" s="69" customFormat="1" ht="45" x14ac:dyDescent="0.2">
      <c r="A205" s="96" t="s">
        <v>597</v>
      </c>
      <c r="B205" s="72">
        <v>18455143</v>
      </c>
      <c r="C205" s="72">
        <v>2159552050213</v>
      </c>
      <c r="D205" s="93" t="s">
        <v>224</v>
      </c>
      <c r="E205" s="96" t="s">
        <v>54</v>
      </c>
      <c r="F205" s="96" t="s">
        <v>598</v>
      </c>
      <c r="G205" s="93" t="s">
        <v>599</v>
      </c>
      <c r="H205" s="97">
        <v>2025</v>
      </c>
      <c r="I205" s="188"/>
      <c r="J205" s="185"/>
      <c r="K205" s="95"/>
    </row>
    <row r="206" spans="1:11" s="69" customFormat="1" ht="60" x14ac:dyDescent="0.2">
      <c r="A206" s="96" t="s">
        <v>600</v>
      </c>
      <c r="B206" s="72">
        <v>17144495</v>
      </c>
      <c r="C206" s="72">
        <v>19592402050210</v>
      </c>
      <c r="D206" s="93" t="s">
        <v>224</v>
      </c>
      <c r="E206" s="96" t="s">
        <v>37</v>
      </c>
      <c r="F206" s="96" t="s">
        <v>364</v>
      </c>
      <c r="G206" s="93" t="s">
        <v>601</v>
      </c>
      <c r="H206" s="97">
        <v>2025</v>
      </c>
      <c r="I206" s="188"/>
      <c r="J206" s="185"/>
      <c r="K206" s="95"/>
    </row>
    <row r="207" spans="1:11" s="69" customFormat="1" ht="210" x14ac:dyDescent="0.2">
      <c r="A207" s="96" t="s">
        <v>602</v>
      </c>
      <c r="B207" s="72" t="s">
        <v>29</v>
      </c>
      <c r="C207" s="72" t="s">
        <v>29</v>
      </c>
      <c r="D207" s="93" t="s">
        <v>224</v>
      </c>
      <c r="E207" s="96" t="s">
        <v>37</v>
      </c>
      <c r="F207" s="96" t="s">
        <v>603</v>
      </c>
      <c r="G207" s="93" t="s">
        <v>604</v>
      </c>
      <c r="H207" s="97">
        <v>2025</v>
      </c>
      <c r="I207" s="188"/>
      <c r="J207" s="185"/>
      <c r="K207" s="95"/>
    </row>
    <row r="208" spans="1:11" s="69" customFormat="1" ht="210" x14ac:dyDescent="0.2">
      <c r="A208" s="96" t="s">
        <v>605</v>
      </c>
      <c r="B208" s="72" t="s">
        <v>29</v>
      </c>
      <c r="C208" s="72" t="s">
        <v>29</v>
      </c>
      <c r="D208" s="93" t="s">
        <v>224</v>
      </c>
      <c r="E208" s="96" t="s">
        <v>37</v>
      </c>
      <c r="F208" s="96" t="s">
        <v>603</v>
      </c>
      <c r="G208" s="93" t="s">
        <v>606</v>
      </c>
      <c r="H208" s="97">
        <v>2025</v>
      </c>
      <c r="I208" s="188"/>
      <c r="J208" s="185"/>
      <c r="K208" s="95"/>
    </row>
    <row r="209" spans="1:11" s="69" customFormat="1" ht="90" x14ac:dyDescent="0.2">
      <c r="A209" s="96" t="s">
        <v>607</v>
      </c>
      <c r="B209" s="72" t="s">
        <v>29</v>
      </c>
      <c r="C209" s="72" t="s">
        <v>29</v>
      </c>
      <c r="D209" s="93" t="s">
        <v>224</v>
      </c>
      <c r="E209" s="96" t="s">
        <v>37</v>
      </c>
      <c r="F209" s="96" t="s">
        <v>239</v>
      </c>
      <c r="G209" s="93" t="s">
        <v>608</v>
      </c>
      <c r="H209" s="97">
        <v>2025</v>
      </c>
      <c r="I209" s="188"/>
      <c r="J209" s="185"/>
      <c r="K209" s="95"/>
    </row>
    <row r="210" spans="1:11" s="69" customFormat="1" ht="60" x14ac:dyDescent="0.2">
      <c r="A210" s="96" t="s">
        <v>609</v>
      </c>
      <c r="B210" s="72">
        <v>18455149</v>
      </c>
      <c r="C210" s="72">
        <v>21595502050214</v>
      </c>
      <c r="D210" s="93" t="s">
        <v>224</v>
      </c>
      <c r="E210" s="96" t="s">
        <v>54</v>
      </c>
      <c r="F210" s="96" t="s">
        <v>67</v>
      </c>
      <c r="G210" s="93" t="s">
        <v>610</v>
      </c>
      <c r="H210" s="97">
        <v>2025</v>
      </c>
      <c r="I210" s="188"/>
      <c r="J210" s="185"/>
      <c r="K210" s="95"/>
    </row>
    <row r="211" spans="1:11" s="69" customFormat="1" ht="30" x14ac:dyDescent="0.2">
      <c r="A211" s="93" t="s">
        <v>611</v>
      </c>
      <c r="B211" s="72" t="s">
        <v>29</v>
      </c>
      <c r="C211" s="72" t="s">
        <v>29</v>
      </c>
      <c r="D211" s="93" t="s">
        <v>230</v>
      </c>
      <c r="E211" s="96" t="s">
        <v>51</v>
      </c>
      <c r="F211" s="96" t="s">
        <v>612</v>
      </c>
      <c r="G211" s="93" t="s">
        <v>613</v>
      </c>
      <c r="H211" s="97">
        <v>2025</v>
      </c>
      <c r="I211" s="188"/>
      <c r="J211" s="185"/>
      <c r="K211" s="95"/>
    </row>
    <row r="212" spans="1:11" s="69" customFormat="1" ht="45" x14ac:dyDescent="0.2">
      <c r="A212" s="93" t="s">
        <v>614</v>
      </c>
      <c r="B212" s="72" t="s">
        <v>29</v>
      </c>
      <c r="C212" s="72" t="s">
        <v>29</v>
      </c>
      <c r="D212" s="93" t="s">
        <v>230</v>
      </c>
      <c r="E212" s="96" t="s">
        <v>51</v>
      </c>
      <c r="F212" s="96" t="s">
        <v>612</v>
      </c>
      <c r="G212" s="93" t="s">
        <v>615</v>
      </c>
      <c r="H212" s="97">
        <v>2025</v>
      </c>
      <c r="I212" s="188"/>
      <c r="J212" s="185"/>
      <c r="K212" s="95"/>
    </row>
    <row r="213" spans="1:11" s="69" customFormat="1" ht="30" x14ac:dyDescent="0.2">
      <c r="A213" s="96" t="s">
        <v>616</v>
      </c>
      <c r="B213" s="72" t="s">
        <v>29</v>
      </c>
      <c r="C213" s="72" t="s">
        <v>29</v>
      </c>
      <c r="D213" s="93" t="s">
        <v>230</v>
      </c>
      <c r="E213" s="96" t="s">
        <v>51</v>
      </c>
      <c r="F213" s="96" t="s">
        <v>612</v>
      </c>
      <c r="G213" s="93" t="s">
        <v>617</v>
      </c>
      <c r="H213" s="97">
        <v>2025</v>
      </c>
      <c r="I213" s="188"/>
      <c r="J213" s="185"/>
      <c r="K213" s="95"/>
    </row>
    <row r="214" spans="1:11" s="69" customFormat="1" ht="30" x14ac:dyDescent="0.2">
      <c r="A214" s="96" t="s">
        <v>618</v>
      </c>
      <c r="B214" s="72" t="s">
        <v>29</v>
      </c>
      <c r="C214" s="72" t="s">
        <v>29</v>
      </c>
      <c r="D214" s="93" t="s">
        <v>230</v>
      </c>
      <c r="E214" s="96" t="s">
        <v>51</v>
      </c>
      <c r="F214" s="96" t="s">
        <v>74</v>
      </c>
      <c r="G214" s="93" t="s">
        <v>619</v>
      </c>
      <c r="H214" s="97">
        <v>2025</v>
      </c>
      <c r="I214" s="188"/>
      <c r="J214" s="185"/>
      <c r="K214" s="95"/>
    </row>
    <row r="215" spans="1:11" s="69" customFormat="1" ht="30" x14ac:dyDescent="0.2">
      <c r="A215" s="96" t="s">
        <v>620</v>
      </c>
      <c r="B215" s="72" t="s">
        <v>29</v>
      </c>
      <c r="C215" s="72" t="s">
        <v>29</v>
      </c>
      <c r="D215" s="93" t="s">
        <v>230</v>
      </c>
      <c r="E215" s="96" t="s">
        <v>51</v>
      </c>
      <c r="F215" s="96" t="s">
        <v>74</v>
      </c>
      <c r="G215" s="93" t="s">
        <v>621</v>
      </c>
      <c r="H215" s="97">
        <v>2025</v>
      </c>
      <c r="I215" s="188"/>
      <c r="J215" s="185"/>
      <c r="K215" s="95"/>
    </row>
    <row r="216" spans="1:11" s="69" customFormat="1" ht="45" x14ac:dyDescent="0.2">
      <c r="A216" s="96" t="s">
        <v>622</v>
      </c>
      <c r="B216" s="72" t="s">
        <v>29</v>
      </c>
      <c r="C216" s="72" t="s">
        <v>29</v>
      </c>
      <c r="D216" s="93" t="s">
        <v>230</v>
      </c>
      <c r="E216" s="96" t="s">
        <v>51</v>
      </c>
      <c r="F216" s="96" t="s">
        <v>74</v>
      </c>
      <c r="G216" s="93" t="s">
        <v>623</v>
      </c>
      <c r="H216" s="97">
        <v>2025</v>
      </c>
      <c r="I216" s="188"/>
      <c r="J216" s="185"/>
      <c r="K216" s="95"/>
    </row>
    <row r="217" spans="1:11" s="69" customFormat="1" ht="30" x14ac:dyDescent="0.2">
      <c r="A217" s="96" t="s">
        <v>624</v>
      </c>
      <c r="B217" s="72" t="s">
        <v>29</v>
      </c>
      <c r="C217" s="72" t="s">
        <v>29</v>
      </c>
      <c r="D217" s="93" t="s">
        <v>230</v>
      </c>
      <c r="E217" s="96" t="s">
        <v>51</v>
      </c>
      <c r="F217" s="96" t="s">
        <v>74</v>
      </c>
      <c r="G217" s="93" t="s">
        <v>625</v>
      </c>
      <c r="H217" s="97">
        <v>2025</v>
      </c>
      <c r="I217" s="188"/>
      <c r="J217" s="185"/>
      <c r="K217" s="95"/>
    </row>
    <row r="218" spans="1:11" s="69" customFormat="1" ht="30" x14ac:dyDescent="0.2">
      <c r="A218" s="96" t="s">
        <v>626</v>
      </c>
      <c r="B218" s="72" t="s">
        <v>29</v>
      </c>
      <c r="C218" s="72" t="s">
        <v>29</v>
      </c>
      <c r="D218" s="93" t="s">
        <v>230</v>
      </c>
      <c r="E218" s="96" t="s">
        <v>51</v>
      </c>
      <c r="F218" s="96" t="s">
        <v>74</v>
      </c>
      <c r="G218" s="93" t="s">
        <v>627</v>
      </c>
      <c r="H218" s="97">
        <v>2025</v>
      </c>
      <c r="I218" s="188"/>
      <c r="J218" s="185"/>
      <c r="K218" s="95"/>
    </row>
    <row r="219" spans="1:11" s="69" customFormat="1" ht="45" x14ac:dyDescent="0.2">
      <c r="A219" s="96" t="s">
        <v>628</v>
      </c>
      <c r="B219" s="72" t="s">
        <v>29</v>
      </c>
      <c r="C219" s="72" t="s">
        <v>29</v>
      </c>
      <c r="D219" s="93" t="s">
        <v>230</v>
      </c>
      <c r="E219" s="96" t="s">
        <v>51</v>
      </c>
      <c r="F219" s="96" t="s">
        <v>74</v>
      </c>
      <c r="G219" s="93" t="s">
        <v>629</v>
      </c>
      <c r="H219" s="97">
        <v>2025</v>
      </c>
      <c r="I219" s="188"/>
      <c r="J219" s="185"/>
      <c r="K219" s="95"/>
    </row>
    <row r="220" spans="1:11" s="69" customFormat="1" ht="45" x14ac:dyDescent="0.2">
      <c r="A220" s="96" t="s">
        <v>630</v>
      </c>
      <c r="B220" s="72" t="s">
        <v>29</v>
      </c>
      <c r="C220" s="72" t="s">
        <v>29</v>
      </c>
      <c r="D220" s="93" t="s">
        <v>230</v>
      </c>
      <c r="E220" s="96" t="s">
        <v>51</v>
      </c>
      <c r="F220" s="96" t="s">
        <v>74</v>
      </c>
      <c r="G220" s="93" t="s">
        <v>631</v>
      </c>
      <c r="H220" s="97">
        <v>2025</v>
      </c>
      <c r="I220" s="188"/>
      <c r="J220" s="185"/>
      <c r="K220" s="95"/>
    </row>
    <row r="221" spans="1:11" s="69" customFormat="1" ht="45" x14ac:dyDescent="0.2">
      <c r="A221" s="96" t="s">
        <v>632</v>
      </c>
      <c r="B221" s="72" t="s">
        <v>29</v>
      </c>
      <c r="C221" s="72" t="s">
        <v>29</v>
      </c>
      <c r="D221" s="93" t="s">
        <v>230</v>
      </c>
      <c r="E221" s="96" t="s">
        <v>51</v>
      </c>
      <c r="F221" s="96" t="s">
        <v>74</v>
      </c>
      <c r="G221" s="93" t="s">
        <v>633</v>
      </c>
      <c r="H221" s="97">
        <v>2025</v>
      </c>
      <c r="I221" s="188"/>
      <c r="J221" s="185"/>
      <c r="K221" s="95"/>
    </row>
    <row r="222" spans="1:11" s="69" customFormat="1" ht="75" x14ac:dyDescent="0.2">
      <c r="A222" s="93" t="s">
        <v>634</v>
      </c>
      <c r="B222" s="72" t="s">
        <v>29</v>
      </c>
      <c r="C222" s="72" t="s">
        <v>29</v>
      </c>
      <c r="D222" s="93" t="s">
        <v>230</v>
      </c>
      <c r="E222" s="96" t="s">
        <v>54</v>
      </c>
      <c r="F222" s="93" t="s">
        <v>59</v>
      </c>
      <c r="G222" s="93" t="s">
        <v>635</v>
      </c>
      <c r="H222" s="97">
        <v>2025</v>
      </c>
      <c r="I222" s="188"/>
      <c r="J222" s="185"/>
      <c r="K222" s="95"/>
    </row>
    <row r="223" spans="1:11" s="69" customFormat="1" ht="30" x14ac:dyDescent="0.2">
      <c r="A223" s="96" t="s">
        <v>636</v>
      </c>
      <c r="B223" s="72" t="s">
        <v>29</v>
      </c>
      <c r="C223" s="72" t="s">
        <v>29</v>
      </c>
      <c r="D223" s="93" t="s">
        <v>230</v>
      </c>
      <c r="E223" s="96" t="s">
        <v>37</v>
      </c>
      <c r="F223" s="96" t="s">
        <v>206</v>
      </c>
      <c r="G223" s="93" t="s">
        <v>637</v>
      </c>
      <c r="H223" s="97">
        <v>2025</v>
      </c>
      <c r="I223" s="188"/>
      <c r="J223" s="185"/>
      <c r="K223" s="95"/>
    </row>
    <row r="224" spans="1:11" s="69" customFormat="1" ht="45" x14ac:dyDescent="0.2">
      <c r="A224" s="96" t="s">
        <v>638</v>
      </c>
      <c r="B224" s="72" t="s">
        <v>29</v>
      </c>
      <c r="C224" s="72" t="s">
        <v>29</v>
      </c>
      <c r="D224" s="93" t="s">
        <v>230</v>
      </c>
      <c r="E224" s="96" t="s">
        <v>37</v>
      </c>
      <c r="F224" s="96" t="s">
        <v>206</v>
      </c>
      <c r="G224" s="93" t="s">
        <v>639</v>
      </c>
      <c r="H224" s="97">
        <v>2025</v>
      </c>
      <c r="I224" s="188"/>
      <c r="J224" s="185"/>
      <c r="K224" s="95"/>
    </row>
    <row r="225" spans="1:11" s="69" customFormat="1" ht="30" x14ac:dyDescent="0.2">
      <c r="A225" s="96" t="s">
        <v>640</v>
      </c>
      <c r="B225" s="72" t="s">
        <v>29</v>
      </c>
      <c r="C225" s="72" t="s">
        <v>29</v>
      </c>
      <c r="D225" s="93" t="s">
        <v>230</v>
      </c>
      <c r="E225" s="96" t="s">
        <v>37</v>
      </c>
      <c r="F225" s="96" t="s">
        <v>206</v>
      </c>
      <c r="G225" s="93" t="s">
        <v>641</v>
      </c>
      <c r="H225" s="97">
        <v>2025</v>
      </c>
      <c r="I225" s="188"/>
      <c r="J225" s="185"/>
      <c r="K225" s="95"/>
    </row>
    <row r="226" spans="1:11" s="69" customFormat="1" ht="45" x14ac:dyDescent="0.2">
      <c r="A226" s="96" t="s">
        <v>642</v>
      </c>
      <c r="B226" s="72" t="s">
        <v>29</v>
      </c>
      <c r="C226" s="72" t="s">
        <v>29</v>
      </c>
      <c r="D226" s="93" t="s">
        <v>230</v>
      </c>
      <c r="E226" s="96" t="s">
        <v>37</v>
      </c>
      <c r="F226" s="96" t="s">
        <v>206</v>
      </c>
      <c r="G226" s="93" t="s">
        <v>643</v>
      </c>
      <c r="H226" s="97">
        <v>2025</v>
      </c>
      <c r="I226" s="188"/>
      <c r="J226" s="185"/>
      <c r="K226" s="95"/>
    </row>
    <row r="227" spans="1:11" s="69" customFormat="1" ht="75" x14ac:dyDescent="0.2">
      <c r="A227" s="96" t="s">
        <v>644</v>
      </c>
      <c r="B227" s="72" t="s">
        <v>29</v>
      </c>
      <c r="C227" s="72" t="s">
        <v>29</v>
      </c>
      <c r="D227" s="93" t="s">
        <v>230</v>
      </c>
      <c r="E227" s="96" t="s">
        <v>37</v>
      </c>
      <c r="F227" s="73" t="s">
        <v>38</v>
      </c>
      <c r="G227" s="93" t="s">
        <v>645</v>
      </c>
      <c r="H227" s="97">
        <v>2025</v>
      </c>
      <c r="I227" s="188"/>
      <c r="J227" s="185"/>
      <c r="K227" s="95"/>
    </row>
    <row r="228" spans="1:11" s="69" customFormat="1" ht="90" x14ac:dyDescent="0.2">
      <c r="A228" s="96" t="s">
        <v>646</v>
      </c>
      <c r="B228" s="72" t="s">
        <v>29</v>
      </c>
      <c r="C228" s="72" t="s">
        <v>29</v>
      </c>
      <c r="D228" s="93" t="s">
        <v>230</v>
      </c>
      <c r="E228" s="96" t="s">
        <v>37</v>
      </c>
      <c r="F228" s="73" t="s">
        <v>38</v>
      </c>
      <c r="G228" s="93" t="s">
        <v>647</v>
      </c>
      <c r="H228" s="97">
        <v>2025</v>
      </c>
      <c r="I228" s="188"/>
      <c r="J228" s="185"/>
      <c r="K228" s="95"/>
    </row>
    <row r="229" spans="1:11" s="69" customFormat="1" ht="75" x14ac:dyDescent="0.2">
      <c r="A229" s="96" t="s">
        <v>648</v>
      </c>
      <c r="B229" s="72" t="s">
        <v>29</v>
      </c>
      <c r="C229" s="72" t="s">
        <v>29</v>
      </c>
      <c r="D229" s="93" t="s">
        <v>230</v>
      </c>
      <c r="E229" s="96" t="s">
        <v>37</v>
      </c>
      <c r="F229" s="73" t="s">
        <v>38</v>
      </c>
      <c r="G229" s="93" t="s">
        <v>649</v>
      </c>
      <c r="H229" s="97">
        <v>2025</v>
      </c>
      <c r="I229" s="188"/>
      <c r="J229" s="185"/>
      <c r="K229" s="95"/>
    </row>
    <row r="230" spans="1:11" s="69" customFormat="1" ht="75" x14ac:dyDescent="0.2">
      <c r="A230" s="96" t="s">
        <v>650</v>
      </c>
      <c r="B230" s="72" t="s">
        <v>29</v>
      </c>
      <c r="C230" s="72" t="s">
        <v>29</v>
      </c>
      <c r="D230" s="93" t="s">
        <v>230</v>
      </c>
      <c r="E230" s="96" t="s">
        <v>37</v>
      </c>
      <c r="F230" s="96" t="s">
        <v>38</v>
      </c>
      <c r="G230" s="93" t="s">
        <v>651</v>
      </c>
      <c r="H230" s="97">
        <v>2025</v>
      </c>
      <c r="I230" s="188"/>
      <c r="J230" s="185"/>
      <c r="K230" s="95"/>
    </row>
    <row r="231" spans="1:11" s="69" customFormat="1" ht="30" x14ac:dyDescent="0.2">
      <c r="A231" s="96" t="s">
        <v>652</v>
      </c>
      <c r="B231" s="72" t="s">
        <v>29</v>
      </c>
      <c r="C231" s="72" t="s">
        <v>29</v>
      </c>
      <c r="D231" s="93" t="s">
        <v>230</v>
      </c>
      <c r="E231" s="96" t="s">
        <v>37</v>
      </c>
      <c r="F231" s="96" t="s">
        <v>38</v>
      </c>
      <c r="G231" s="93" t="s">
        <v>653</v>
      </c>
      <c r="H231" s="97">
        <v>2025</v>
      </c>
      <c r="I231" s="188"/>
      <c r="J231" s="185"/>
      <c r="K231" s="95"/>
    </row>
    <row r="232" spans="1:11" s="69" customFormat="1" ht="30" x14ac:dyDescent="0.2">
      <c r="A232" s="96" t="s">
        <v>654</v>
      </c>
      <c r="B232" s="72" t="s">
        <v>29</v>
      </c>
      <c r="C232" s="72" t="s">
        <v>29</v>
      </c>
      <c r="D232" s="93" t="s">
        <v>230</v>
      </c>
      <c r="E232" s="96" t="s">
        <v>37</v>
      </c>
      <c r="F232" s="96" t="s">
        <v>38</v>
      </c>
      <c r="G232" s="93" t="s">
        <v>655</v>
      </c>
      <c r="H232" s="97">
        <v>2025</v>
      </c>
      <c r="I232" s="188"/>
      <c r="J232" s="185"/>
      <c r="K232" s="95"/>
    </row>
    <row r="233" spans="1:11" s="69" customFormat="1" ht="30" x14ac:dyDescent="0.2">
      <c r="A233" s="96" t="s">
        <v>656</v>
      </c>
      <c r="B233" s="72" t="s">
        <v>29</v>
      </c>
      <c r="C233" s="72" t="s">
        <v>29</v>
      </c>
      <c r="D233" s="93" t="s">
        <v>230</v>
      </c>
      <c r="E233" s="96" t="s">
        <v>37</v>
      </c>
      <c r="F233" s="96" t="s">
        <v>38</v>
      </c>
      <c r="G233" s="93" t="s">
        <v>657</v>
      </c>
      <c r="H233" s="97">
        <v>2025</v>
      </c>
      <c r="I233" s="188"/>
      <c r="J233" s="185"/>
      <c r="K233" s="95"/>
    </row>
    <row r="234" spans="1:11" s="69" customFormat="1" ht="30" x14ac:dyDescent="0.2">
      <c r="A234" s="96" t="s">
        <v>658</v>
      </c>
      <c r="B234" s="72" t="s">
        <v>29</v>
      </c>
      <c r="C234" s="72" t="s">
        <v>29</v>
      </c>
      <c r="D234" s="93" t="s">
        <v>230</v>
      </c>
      <c r="E234" s="96" t="s">
        <v>37</v>
      </c>
      <c r="F234" s="96" t="s">
        <v>38</v>
      </c>
      <c r="G234" s="93" t="s">
        <v>659</v>
      </c>
      <c r="H234" s="97">
        <v>2025</v>
      </c>
      <c r="I234" s="188"/>
      <c r="J234" s="185"/>
      <c r="K234" s="95"/>
    </row>
    <row r="235" spans="1:11" s="69" customFormat="1" ht="30" x14ac:dyDescent="0.2">
      <c r="A235" s="96" t="s">
        <v>660</v>
      </c>
      <c r="B235" s="72" t="s">
        <v>29</v>
      </c>
      <c r="C235" s="72" t="s">
        <v>29</v>
      </c>
      <c r="D235" s="93" t="s">
        <v>230</v>
      </c>
      <c r="E235" s="96" t="s">
        <v>37</v>
      </c>
      <c r="F235" s="96" t="s">
        <v>38</v>
      </c>
      <c r="G235" s="93" t="s">
        <v>661</v>
      </c>
      <c r="H235" s="97">
        <v>2025</v>
      </c>
      <c r="I235" s="188"/>
      <c r="J235" s="185"/>
      <c r="K235" s="95"/>
    </row>
    <row r="236" spans="1:11" s="69" customFormat="1" ht="30" x14ac:dyDescent="0.2">
      <c r="A236" s="96" t="s">
        <v>662</v>
      </c>
      <c r="B236" s="72" t="s">
        <v>29</v>
      </c>
      <c r="C236" s="72" t="s">
        <v>29</v>
      </c>
      <c r="D236" s="93" t="s">
        <v>230</v>
      </c>
      <c r="E236" s="96" t="s">
        <v>37</v>
      </c>
      <c r="F236" s="96" t="s">
        <v>38</v>
      </c>
      <c r="G236" s="93" t="s">
        <v>663</v>
      </c>
      <c r="H236" s="97">
        <v>2025</v>
      </c>
      <c r="I236" s="188"/>
      <c r="J236" s="185"/>
      <c r="K236" s="95"/>
    </row>
    <row r="237" spans="1:11" s="69" customFormat="1" ht="150" x14ac:dyDescent="0.2">
      <c r="A237" s="93" t="s">
        <v>664</v>
      </c>
      <c r="B237" s="72" t="s">
        <v>29</v>
      </c>
      <c r="C237" s="72" t="s">
        <v>29</v>
      </c>
      <c r="D237" s="93" t="s">
        <v>230</v>
      </c>
      <c r="E237" s="96" t="s">
        <v>54</v>
      </c>
      <c r="F237" s="93" t="s">
        <v>351</v>
      </c>
      <c r="G237" s="93" t="s">
        <v>665</v>
      </c>
      <c r="H237" s="97">
        <v>2025</v>
      </c>
      <c r="I237" s="188"/>
      <c r="J237" s="185"/>
      <c r="K237" s="95"/>
    </row>
    <row r="238" spans="1:11" s="69" customFormat="1" ht="75" x14ac:dyDescent="0.2">
      <c r="A238" s="93" t="s">
        <v>666</v>
      </c>
      <c r="B238" s="72" t="s">
        <v>29</v>
      </c>
      <c r="C238" s="72" t="s">
        <v>29</v>
      </c>
      <c r="D238" s="93" t="s">
        <v>230</v>
      </c>
      <c r="E238" s="96" t="s">
        <v>54</v>
      </c>
      <c r="F238" s="93" t="s">
        <v>351</v>
      </c>
      <c r="G238" s="93" t="s">
        <v>667</v>
      </c>
      <c r="H238" s="97">
        <v>2025</v>
      </c>
      <c r="I238" s="188"/>
      <c r="J238" s="185"/>
      <c r="K238" s="95"/>
    </row>
    <row r="239" spans="1:11" s="69" customFormat="1" ht="60" x14ac:dyDescent="0.2">
      <c r="A239" s="96" t="s">
        <v>668</v>
      </c>
      <c r="B239" s="72">
        <v>17509967</v>
      </c>
      <c r="C239" s="72">
        <v>20592002050210</v>
      </c>
      <c r="D239" s="93" t="s">
        <v>230</v>
      </c>
      <c r="E239" s="96" t="s">
        <v>37</v>
      </c>
      <c r="F239" s="96" t="s">
        <v>123</v>
      </c>
      <c r="G239" s="93" t="s">
        <v>669</v>
      </c>
      <c r="H239" s="97">
        <v>2025</v>
      </c>
      <c r="I239" s="188"/>
      <c r="J239" s="185"/>
      <c r="K239" s="95"/>
    </row>
    <row r="240" spans="1:11" s="69" customFormat="1" ht="45" x14ac:dyDescent="0.2">
      <c r="A240" s="96" t="s">
        <v>670</v>
      </c>
      <c r="B240" s="72" t="s">
        <v>29</v>
      </c>
      <c r="C240" s="72" t="s">
        <v>29</v>
      </c>
      <c r="D240" s="93" t="s">
        <v>230</v>
      </c>
      <c r="E240" s="96" t="s">
        <v>37</v>
      </c>
      <c r="F240" s="96" t="s">
        <v>671</v>
      </c>
      <c r="G240" s="93" t="s">
        <v>672</v>
      </c>
      <c r="H240" s="97">
        <v>2025</v>
      </c>
      <c r="I240" s="188"/>
      <c r="J240" s="185"/>
      <c r="K240" s="95"/>
    </row>
    <row r="241" spans="1:11" s="69" customFormat="1" ht="45" x14ac:dyDescent="0.2">
      <c r="A241" s="96" t="s">
        <v>673</v>
      </c>
      <c r="B241" s="72" t="s">
        <v>29</v>
      </c>
      <c r="C241" s="72" t="s">
        <v>29</v>
      </c>
      <c r="D241" s="93" t="s">
        <v>230</v>
      </c>
      <c r="E241" s="96" t="s">
        <v>37</v>
      </c>
      <c r="F241" s="96" t="s">
        <v>674</v>
      </c>
      <c r="G241" s="93" t="s">
        <v>675</v>
      </c>
      <c r="H241" s="97">
        <v>2025</v>
      </c>
      <c r="I241" s="188"/>
      <c r="J241" s="185"/>
      <c r="K241" s="95"/>
    </row>
    <row r="242" spans="1:11" s="69" customFormat="1" ht="75" x14ac:dyDescent="0.2">
      <c r="A242" s="96" t="s">
        <v>676</v>
      </c>
      <c r="B242" s="96">
        <v>17503975</v>
      </c>
      <c r="C242" s="72">
        <v>20583502050212</v>
      </c>
      <c r="D242" s="93" t="s">
        <v>230</v>
      </c>
      <c r="E242" s="96" t="s">
        <v>37</v>
      </c>
      <c r="F242" s="96" t="s">
        <v>677</v>
      </c>
      <c r="G242" s="93" t="s">
        <v>678</v>
      </c>
      <c r="H242" s="97">
        <v>2025</v>
      </c>
      <c r="I242" s="188"/>
      <c r="J242" s="185"/>
      <c r="K242" s="95"/>
    </row>
    <row r="243" spans="1:11" s="69" customFormat="1" ht="30" x14ac:dyDescent="0.2">
      <c r="A243" s="93" t="s">
        <v>679</v>
      </c>
      <c r="B243" s="72" t="s">
        <v>29</v>
      </c>
      <c r="C243" s="72" t="s">
        <v>29</v>
      </c>
      <c r="D243" s="93" t="s">
        <v>230</v>
      </c>
      <c r="E243" s="96" t="s">
        <v>51</v>
      </c>
      <c r="F243" s="96" t="s">
        <v>293</v>
      </c>
      <c r="G243" s="93" t="s">
        <v>680</v>
      </c>
      <c r="H243" s="97">
        <v>2025</v>
      </c>
      <c r="I243" s="188"/>
      <c r="J243" s="185"/>
      <c r="K243" s="95"/>
    </row>
    <row r="244" spans="1:11" s="69" customFormat="1" ht="30" x14ac:dyDescent="0.2">
      <c r="A244" s="93" t="s">
        <v>681</v>
      </c>
      <c r="B244" s="72" t="s">
        <v>29</v>
      </c>
      <c r="C244" s="72" t="s">
        <v>29</v>
      </c>
      <c r="D244" s="93" t="s">
        <v>230</v>
      </c>
      <c r="E244" s="96" t="s">
        <v>51</v>
      </c>
      <c r="F244" s="96" t="s">
        <v>293</v>
      </c>
      <c r="G244" s="93" t="s">
        <v>682</v>
      </c>
      <c r="H244" s="97">
        <v>2025</v>
      </c>
      <c r="I244" s="188"/>
      <c r="J244" s="185"/>
      <c r="K244" s="95"/>
    </row>
    <row r="245" spans="1:11" s="69" customFormat="1" ht="45" x14ac:dyDescent="0.2">
      <c r="A245" s="96" t="s">
        <v>683</v>
      </c>
      <c r="B245" s="72" t="s">
        <v>29</v>
      </c>
      <c r="C245" s="72" t="s">
        <v>29</v>
      </c>
      <c r="D245" s="93" t="s">
        <v>230</v>
      </c>
      <c r="E245" s="96" t="s">
        <v>51</v>
      </c>
      <c r="F245" s="96" t="s">
        <v>293</v>
      </c>
      <c r="G245" s="93" t="s">
        <v>684</v>
      </c>
      <c r="H245" s="97">
        <v>2025</v>
      </c>
      <c r="I245" s="188"/>
      <c r="J245" s="185"/>
      <c r="K245" s="95"/>
    </row>
    <row r="246" spans="1:11" s="69" customFormat="1" ht="45" x14ac:dyDescent="0.2">
      <c r="A246" s="96" t="s">
        <v>685</v>
      </c>
      <c r="B246" s="72" t="s">
        <v>29</v>
      </c>
      <c r="C246" s="72" t="s">
        <v>29</v>
      </c>
      <c r="D246" s="93" t="s">
        <v>230</v>
      </c>
      <c r="E246" s="96" t="s">
        <v>51</v>
      </c>
      <c r="F246" s="96" t="s">
        <v>293</v>
      </c>
      <c r="G246" s="93" t="s">
        <v>686</v>
      </c>
      <c r="H246" s="97">
        <v>2025</v>
      </c>
      <c r="I246" s="188"/>
      <c r="J246" s="185"/>
      <c r="K246" s="95"/>
    </row>
    <row r="247" spans="1:11" s="69" customFormat="1" ht="135" x14ac:dyDescent="0.2">
      <c r="A247" s="93" t="s">
        <v>687</v>
      </c>
      <c r="B247" s="72" t="s">
        <v>29</v>
      </c>
      <c r="C247" s="72" t="s">
        <v>29</v>
      </c>
      <c r="D247" s="93" t="s">
        <v>230</v>
      </c>
      <c r="E247" s="96" t="s">
        <v>54</v>
      </c>
      <c r="F247" s="96" t="s">
        <v>70</v>
      </c>
      <c r="G247" s="93" t="s">
        <v>688</v>
      </c>
      <c r="H247" s="97">
        <v>2025</v>
      </c>
      <c r="I247" s="188"/>
      <c r="J247" s="185"/>
      <c r="K247" s="95"/>
    </row>
    <row r="248" spans="1:11" s="69" customFormat="1" ht="75" x14ac:dyDescent="0.2">
      <c r="A248" s="96" t="s">
        <v>689</v>
      </c>
      <c r="B248" s="72" t="s">
        <v>29</v>
      </c>
      <c r="C248" s="72" t="s">
        <v>29</v>
      </c>
      <c r="D248" s="93" t="s">
        <v>230</v>
      </c>
      <c r="E248" s="96" t="s">
        <v>37</v>
      </c>
      <c r="F248" s="96" t="s">
        <v>495</v>
      </c>
      <c r="G248" s="93" t="s">
        <v>690</v>
      </c>
      <c r="H248" s="97">
        <v>2025</v>
      </c>
      <c r="I248" s="188"/>
      <c r="J248" s="185"/>
      <c r="K248" s="95"/>
    </row>
    <row r="249" spans="1:11" s="69" customFormat="1" ht="60" x14ac:dyDescent="0.2">
      <c r="A249" s="96" t="s">
        <v>691</v>
      </c>
      <c r="B249" s="72" t="s">
        <v>29</v>
      </c>
      <c r="C249" s="72" t="s">
        <v>29</v>
      </c>
      <c r="D249" s="93" t="s">
        <v>230</v>
      </c>
      <c r="E249" s="96" t="s">
        <v>37</v>
      </c>
      <c r="F249" s="96" t="s">
        <v>495</v>
      </c>
      <c r="G249" s="93" t="s">
        <v>692</v>
      </c>
      <c r="H249" s="97">
        <v>2025</v>
      </c>
      <c r="I249" s="188"/>
      <c r="J249" s="185"/>
      <c r="K249" s="95"/>
    </row>
    <row r="250" spans="1:11" s="69" customFormat="1" ht="45" x14ac:dyDescent="0.2">
      <c r="A250" s="96" t="s">
        <v>693</v>
      </c>
      <c r="B250" s="72" t="s">
        <v>29</v>
      </c>
      <c r="C250" s="72" t="s">
        <v>29</v>
      </c>
      <c r="D250" s="93" t="s">
        <v>230</v>
      </c>
      <c r="E250" s="96" t="s">
        <v>51</v>
      </c>
      <c r="F250" s="96" t="s">
        <v>178</v>
      </c>
      <c r="G250" s="93" t="s">
        <v>694</v>
      </c>
      <c r="H250" s="97">
        <v>2025</v>
      </c>
      <c r="I250" s="188"/>
      <c r="J250" s="185"/>
      <c r="K250" s="95"/>
    </row>
    <row r="251" spans="1:11" s="69" customFormat="1" ht="60" x14ac:dyDescent="0.2">
      <c r="A251" s="93" t="s">
        <v>695</v>
      </c>
      <c r="B251" s="72" t="s">
        <v>29</v>
      </c>
      <c r="C251" s="72" t="s">
        <v>29</v>
      </c>
      <c r="D251" s="93" t="s">
        <v>230</v>
      </c>
      <c r="E251" s="96" t="s">
        <v>54</v>
      </c>
      <c r="F251" s="93" t="s">
        <v>67</v>
      </c>
      <c r="G251" s="93" t="s">
        <v>696</v>
      </c>
      <c r="H251" s="97">
        <v>2025</v>
      </c>
      <c r="I251" s="188"/>
      <c r="J251" s="185"/>
      <c r="K251" s="95"/>
    </row>
    <row r="252" spans="1:11" s="69" customFormat="1" ht="60" x14ac:dyDescent="0.2">
      <c r="A252" s="93" t="s">
        <v>697</v>
      </c>
      <c r="B252" s="72" t="s">
        <v>29</v>
      </c>
      <c r="C252" s="72" t="s">
        <v>29</v>
      </c>
      <c r="D252" s="93" t="s">
        <v>230</v>
      </c>
      <c r="E252" s="96" t="s">
        <v>54</v>
      </c>
      <c r="F252" s="93" t="s">
        <v>67</v>
      </c>
      <c r="G252" s="93" t="s">
        <v>698</v>
      </c>
      <c r="H252" s="97">
        <v>2025</v>
      </c>
      <c r="I252" s="188"/>
      <c r="J252" s="185"/>
      <c r="K252" s="95"/>
    </row>
    <row r="253" spans="1:11" s="69" customFormat="1" ht="75" x14ac:dyDescent="0.2">
      <c r="A253" s="93" t="s">
        <v>699</v>
      </c>
      <c r="B253" s="72" t="s">
        <v>29</v>
      </c>
      <c r="C253" s="72" t="s">
        <v>29</v>
      </c>
      <c r="D253" s="93" t="s">
        <v>230</v>
      </c>
      <c r="E253" s="96" t="s">
        <v>54</v>
      </c>
      <c r="F253" s="93" t="s">
        <v>67</v>
      </c>
      <c r="G253" s="93" t="s">
        <v>700</v>
      </c>
      <c r="H253" s="97">
        <v>2025</v>
      </c>
      <c r="I253" s="188"/>
      <c r="J253" s="185"/>
      <c r="K253" s="95"/>
    </row>
    <row r="254" spans="1:11" s="69" customFormat="1" ht="60" x14ac:dyDescent="0.2">
      <c r="A254" s="96" t="s">
        <v>701</v>
      </c>
      <c r="B254" s="72" t="s">
        <v>29</v>
      </c>
      <c r="C254" s="72" t="s">
        <v>29</v>
      </c>
      <c r="D254" s="93" t="s">
        <v>230</v>
      </c>
      <c r="E254" s="96" t="s">
        <v>37</v>
      </c>
      <c r="F254" s="96" t="s">
        <v>387</v>
      </c>
      <c r="G254" s="93" t="s">
        <v>702</v>
      </c>
      <c r="H254" s="97">
        <v>2025</v>
      </c>
      <c r="I254" s="188"/>
      <c r="J254" s="185"/>
      <c r="K254" s="95"/>
    </row>
    <row r="255" spans="1:11" s="69" customFormat="1" ht="45" x14ac:dyDescent="0.2">
      <c r="A255" s="96" t="s">
        <v>703</v>
      </c>
      <c r="B255" s="72" t="s">
        <v>29</v>
      </c>
      <c r="C255" s="72" t="s">
        <v>29</v>
      </c>
      <c r="D255" s="93" t="s">
        <v>230</v>
      </c>
      <c r="E255" s="96" t="s">
        <v>37</v>
      </c>
      <c r="F255" s="96" t="s">
        <v>216</v>
      </c>
      <c r="G255" s="93" t="s">
        <v>704</v>
      </c>
      <c r="H255" s="97">
        <v>2025</v>
      </c>
      <c r="I255" s="188"/>
      <c r="J255" s="185"/>
      <c r="K255" s="95"/>
    </row>
    <row r="256" spans="1:11" s="69" customFormat="1" ht="30" x14ac:dyDescent="0.2">
      <c r="A256" s="96" t="s">
        <v>705</v>
      </c>
      <c r="B256" s="72" t="s">
        <v>29</v>
      </c>
      <c r="C256" s="72" t="s">
        <v>29</v>
      </c>
      <c r="D256" s="93" t="s">
        <v>230</v>
      </c>
      <c r="E256" s="96" t="s">
        <v>37</v>
      </c>
      <c r="F256" s="96" t="s">
        <v>216</v>
      </c>
      <c r="G256" s="93" t="s">
        <v>706</v>
      </c>
      <c r="H256" s="97">
        <v>2025</v>
      </c>
      <c r="I256" s="188"/>
      <c r="J256" s="185"/>
      <c r="K256" s="95"/>
    </row>
    <row r="257" spans="1:11" s="69" customFormat="1" ht="15" x14ac:dyDescent="0.2">
      <c r="A257" s="74" t="s">
        <v>218</v>
      </c>
      <c r="B257" s="75" t="s">
        <v>218</v>
      </c>
      <c r="C257" s="75" t="s">
        <v>218</v>
      </c>
      <c r="D257" s="75" t="s">
        <v>230</v>
      </c>
      <c r="E257" s="74" t="s">
        <v>220</v>
      </c>
      <c r="F257" s="74" t="s">
        <v>221</v>
      </c>
      <c r="G257" s="74" t="s">
        <v>707</v>
      </c>
      <c r="H257" s="97">
        <v>2025</v>
      </c>
      <c r="I257" s="188"/>
      <c r="J257" s="185"/>
      <c r="K257" s="95"/>
    </row>
    <row r="258" spans="1:11" s="69" customFormat="1" ht="30" x14ac:dyDescent="0.2">
      <c r="A258" s="96" t="s">
        <v>708</v>
      </c>
      <c r="B258" s="72" t="s">
        <v>29</v>
      </c>
      <c r="C258" s="72" t="s">
        <v>29</v>
      </c>
      <c r="D258" s="93" t="s">
        <v>230</v>
      </c>
      <c r="E258" s="96" t="s">
        <v>51</v>
      </c>
      <c r="F258" s="96" t="s">
        <v>95</v>
      </c>
      <c r="G258" s="93" t="s">
        <v>709</v>
      </c>
      <c r="H258" s="97">
        <v>2025</v>
      </c>
      <c r="I258" s="188"/>
      <c r="J258" s="185"/>
      <c r="K258" s="95"/>
    </row>
    <row r="259" spans="1:11" s="69" customFormat="1" ht="15" x14ac:dyDescent="0.2">
      <c r="A259" s="96" t="s">
        <v>710</v>
      </c>
      <c r="B259" s="72" t="s">
        <v>29</v>
      </c>
      <c r="C259" s="72" t="s">
        <v>29</v>
      </c>
      <c r="D259" s="93" t="s">
        <v>230</v>
      </c>
      <c r="E259" s="96" t="s">
        <v>51</v>
      </c>
      <c r="F259" s="96" t="s">
        <v>95</v>
      </c>
      <c r="G259" s="93" t="s">
        <v>711</v>
      </c>
      <c r="H259" s="97">
        <v>2025</v>
      </c>
      <c r="I259" s="188"/>
      <c r="J259" s="185"/>
      <c r="K259" s="95"/>
    </row>
    <row r="260" spans="1:11" s="69" customFormat="1" ht="15" x14ac:dyDescent="0.2">
      <c r="A260" s="96" t="s">
        <v>712</v>
      </c>
      <c r="B260" s="72" t="s">
        <v>29</v>
      </c>
      <c r="C260" s="72" t="s">
        <v>29</v>
      </c>
      <c r="D260" s="93" t="s">
        <v>230</v>
      </c>
      <c r="E260" s="96" t="s">
        <v>51</v>
      </c>
      <c r="F260" s="96" t="s">
        <v>95</v>
      </c>
      <c r="G260" s="93" t="s">
        <v>713</v>
      </c>
      <c r="H260" s="97">
        <v>2025</v>
      </c>
      <c r="I260" s="188"/>
      <c r="J260" s="185"/>
      <c r="K260" s="95"/>
    </row>
    <row r="261" spans="1:11" s="69" customFormat="1" ht="15" x14ac:dyDescent="0.2">
      <c r="A261" s="96" t="s">
        <v>714</v>
      </c>
      <c r="B261" s="72" t="s">
        <v>29</v>
      </c>
      <c r="C261" s="72" t="s">
        <v>29</v>
      </c>
      <c r="D261" s="93" t="s">
        <v>230</v>
      </c>
      <c r="E261" s="96" t="s">
        <v>51</v>
      </c>
      <c r="F261" s="96" t="s">
        <v>120</v>
      </c>
      <c r="G261" s="93" t="s">
        <v>715</v>
      </c>
      <c r="H261" s="97">
        <v>2025</v>
      </c>
      <c r="I261" s="188"/>
      <c r="J261" s="185"/>
      <c r="K261" s="95"/>
    </row>
    <row r="262" spans="1:11" s="69" customFormat="1" ht="15" x14ac:dyDescent="0.2">
      <c r="A262" s="96" t="s">
        <v>716</v>
      </c>
      <c r="B262" s="72" t="s">
        <v>29</v>
      </c>
      <c r="C262" s="72" t="s">
        <v>29</v>
      </c>
      <c r="D262" s="93" t="s">
        <v>230</v>
      </c>
      <c r="E262" s="96" t="s">
        <v>51</v>
      </c>
      <c r="F262" s="96" t="s">
        <v>120</v>
      </c>
      <c r="G262" s="93" t="s">
        <v>717</v>
      </c>
      <c r="H262" s="97">
        <v>2025</v>
      </c>
      <c r="I262" s="188"/>
      <c r="J262" s="185"/>
      <c r="K262" s="95"/>
    </row>
    <row r="263" spans="1:11" s="69" customFormat="1" ht="75" x14ac:dyDescent="0.2">
      <c r="A263" s="93" t="s">
        <v>718</v>
      </c>
      <c r="B263" s="72" t="s">
        <v>29</v>
      </c>
      <c r="C263" s="72" t="s">
        <v>29</v>
      </c>
      <c r="D263" s="93" t="s">
        <v>230</v>
      </c>
      <c r="E263" s="96" t="s">
        <v>54</v>
      </c>
      <c r="F263" s="93" t="s">
        <v>227</v>
      </c>
      <c r="G263" s="93" t="s">
        <v>719</v>
      </c>
      <c r="H263" s="97">
        <v>2025</v>
      </c>
      <c r="I263" s="188"/>
      <c r="J263" s="185"/>
      <c r="K263" s="95"/>
    </row>
    <row r="264" spans="1:11" s="69" customFormat="1" ht="45" x14ac:dyDescent="0.2">
      <c r="A264" s="96" t="s">
        <v>720</v>
      </c>
      <c r="B264" s="72" t="s">
        <v>29</v>
      </c>
      <c r="C264" s="72" t="s">
        <v>29</v>
      </c>
      <c r="D264" s="93" t="s">
        <v>230</v>
      </c>
      <c r="E264" s="96" t="s">
        <v>37</v>
      </c>
      <c r="F264" s="96" t="s">
        <v>721</v>
      </c>
      <c r="G264" s="93" t="s">
        <v>722</v>
      </c>
      <c r="H264" s="97">
        <v>2025</v>
      </c>
      <c r="I264" s="188"/>
      <c r="J264" s="185"/>
      <c r="K264" s="95"/>
    </row>
    <row r="265" spans="1:11" s="69" customFormat="1" ht="45" x14ac:dyDescent="0.2">
      <c r="A265" s="96" t="s">
        <v>723</v>
      </c>
      <c r="B265" s="72" t="s">
        <v>29</v>
      </c>
      <c r="C265" s="72" t="s">
        <v>29</v>
      </c>
      <c r="D265" s="93" t="s">
        <v>230</v>
      </c>
      <c r="E265" s="96" t="s">
        <v>37</v>
      </c>
      <c r="F265" s="96" t="s">
        <v>721</v>
      </c>
      <c r="G265" s="93" t="s">
        <v>724</v>
      </c>
      <c r="H265" s="97">
        <v>2025</v>
      </c>
      <c r="I265" s="188"/>
      <c r="J265" s="185"/>
      <c r="K265" s="95"/>
    </row>
    <row r="266" spans="1:11" s="69" customFormat="1" ht="45" x14ac:dyDescent="0.2">
      <c r="A266" s="96" t="s">
        <v>725</v>
      </c>
      <c r="B266" s="72" t="s">
        <v>29</v>
      </c>
      <c r="C266" s="72" t="s">
        <v>29</v>
      </c>
      <c r="D266" s="93" t="s">
        <v>230</v>
      </c>
      <c r="E266" s="96" t="s">
        <v>37</v>
      </c>
      <c r="F266" s="96" t="s">
        <v>721</v>
      </c>
      <c r="G266" s="93" t="s">
        <v>726</v>
      </c>
      <c r="H266" s="97">
        <v>2025</v>
      </c>
      <c r="I266" s="188"/>
      <c r="J266" s="185"/>
      <c r="K266" s="95"/>
    </row>
    <row r="267" spans="1:11" s="69" customFormat="1" ht="90" x14ac:dyDescent="0.2">
      <c r="A267" s="93" t="s">
        <v>727</v>
      </c>
      <c r="B267" s="72" t="s">
        <v>29</v>
      </c>
      <c r="C267" s="72" t="s">
        <v>29</v>
      </c>
      <c r="D267" s="93" t="s">
        <v>230</v>
      </c>
      <c r="E267" s="96" t="s">
        <v>54</v>
      </c>
      <c r="F267" s="93" t="s">
        <v>200</v>
      </c>
      <c r="G267" s="93" t="s">
        <v>728</v>
      </c>
      <c r="H267" s="97">
        <v>2025</v>
      </c>
      <c r="I267" s="188"/>
      <c r="J267" s="185"/>
      <c r="K267" s="95"/>
    </row>
    <row r="268" spans="1:11" s="69" customFormat="1" ht="75" x14ac:dyDescent="0.2">
      <c r="A268" s="93" t="s">
        <v>729</v>
      </c>
      <c r="B268" s="72" t="s">
        <v>29</v>
      </c>
      <c r="C268" s="72" t="s">
        <v>29</v>
      </c>
      <c r="D268" s="93" t="s">
        <v>230</v>
      </c>
      <c r="E268" s="96" t="s">
        <v>54</v>
      </c>
      <c r="F268" s="96" t="s">
        <v>200</v>
      </c>
      <c r="G268" s="93" t="s">
        <v>730</v>
      </c>
      <c r="H268" s="97">
        <v>2025</v>
      </c>
      <c r="I268" s="188"/>
      <c r="J268" s="185"/>
      <c r="K268" s="95"/>
    </row>
    <row r="269" spans="1:11" s="69" customFormat="1" ht="60" x14ac:dyDescent="0.2">
      <c r="A269" s="93" t="s">
        <v>731</v>
      </c>
      <c r="B269" s="72" t="s">
        <v>29</v>
      </c>
      <c r="C269" s="72" t="s">
        <v>29</v>
      </c>
      <c r="D269" s="93" t="s">
        <v>230</v>
      </c>
      <c r="E269" s="96" t="s">
        <v>54</v>
      </c>
      <c r="F269" s="96" t="s">
        <v>200</v>
      </c>
      <c r="G269" s="93" t="s">
        <v>732</v>
      </c>
      <c r="H269" s="97">
        <v>2025</v>
      </c>
      <c r="I269" s="188"/>
      <c r="J269" s="185"/>
      <c r="K269" s="95"/>
    </row>
    <row r="270" spans="1:11" s="69" customFormat="1" ht="180" x14ac:dyDescent="0.2">
      <c r="A270" s="93" t="s">
        <v>733</v>
      </c>
      <c r="B270" s="72" t="s">
        <v>29</v>
      </c>
      <c r="C270" s="72" t="s">
        <v>29</v>
      </c>
      <c r="D270" s="93" t="s">
        <v>230</v>
      </c>
      <c r="E270" s="96" t="s">
        <v>54</v>
      </c>
      <c r="F270" s="93" t="s">
        <v>200</v>
      </c>
      <c r="G270" s="93" t="s">
        <v>734</v>
      </c>
      <c r="H270" s="97">
        <v>2025</v>
      </c>
      <c r="I270" s="188"/>
      <c r="J270" s="185"/>
      <c r="K270" s="95"/>
    </row>
    <row r="271" spans="1:11" s="69" customFormat="1" ht="90" x14ac:dyDescent="0.2">
      <c r="A271" s="93" t="s">
        <v>735</v>
      </c>
      <c r="B271" s="72" t="s">
        <v>29</v>
      </c>
      <c r="C271" s="72" t="s">
        <v>29</v>
      </c>
      <c r="D271" s="93" t="s">
        <v>230</v>
      </c>
      <c r="E271" s="96" t="s">
        <v>54</v>
      </c>
      <c r="F271" s="93" t="s">
        <v>200</v>
      </c>
      <c r="G271" s="93" t="s">
        <v>736</v>
      </c>
      <c r="H271" s="97">
        <v>2025</v>
      </c>
      <c r="I271" s="188"/>
      <c r="J271" s="185"/>
      <c r="K271" s="95"/>
    </row>
    <row r="272" spans="1:11" s="69" customFormat="1" ht="30" x14ac:dyDescent="0.2">
      <c r="A272" s="96" t="s">
        <v>737</v>
      </c>
      <c r="B272" s="72" t="s">
        <v>29</v>
      </c>
      <c r="C272" s="72" t="s">
        <v>29</v>
      </c>
      <c r="D272" s="93" t="s">
        <v>230</v>
      </c>
      <c r="E272" s="96" t="s">
        <v>51</v>
      </c>
      <c r="F272" s="96" t="s">
        <v>738</v>
      </c>
      <c r="G272" s="93" t="s">
        <v>739</v>
      </c>
      <c r="H272" s="97">
        <v>2025</v>
      </c>
      <c r="I272" s="188"/>
      <c r="J272" s="185"/>
      <c r="K272" s="95"/>
    </row>
    <row r="273" spans="1:11" s="69" customFormat="1" ht="45" x14ac:dyDescent="0.2">
      <c r="A273" s="96" t="s">
        <v>740</v>
      </c>
      <c r="B273" s="72" t="s">
        <v>29</v>
      </c>
      <c r="C273" s="72" t="s">
        <v>29</v>
      </c>
      <c r="D273" s="93" t="s">
        <v>230</v>
      </c>
      <c r="E273" s="96" t="s">
        <v>54</v>
      </c>
      <c r="F273" s="96" t="s">
        <v>741</v>
      </c>
      <c r="G273" s="93" t="s">
        <v>742</v>
      </c>
      <c r="H273" s="97">
        <v>2025</v>
      </c>
      <c r="I273" s="188"/>
      <c r="J273" s="185"/>
      <c r="K273" s="95"/>
    </row>
    <row r="274" spans="1:11" s="69" customFormat="1" ht="60" x14ac:dyDescent="0.2">
      <c r="A274" s="93" t="s">
        <v>743</v>
      </c>
      <c r="B274" s="72" t="s">
        <v>29</v>
      </c>
      <c r="C274" s="72" t="s">
        <v>29</v>
      </c>
      <c r="D274" s="93" t="s">
        <v>230</v>
      </c>
      <c r="E274" s="96" t="s">
        <v>54</v>
      </c>
      <c r="F274" s="93" t="s">
        <v>744</v>
      </c>
      <c r="G274" s="93" t="s">
        <v>745</v>
      </c>
      <c r="H274" s="97">
        <v>2025</v>
      </c>
      <c r="I274" s="188"/>
      <c r="J274" s="185"/>
      <c r="K274" s="95"/>
    </row>
    <row r="275" spans="1:11" s="69" customFormat="1" ht="45" x14ac:dyDescent="0.2">
      <c r="A275" s="93" t="s">
        <v>746</v>
      </c>
      <c r="B275" s="72" t="s">
        <v>29</v>
      </c>
      <c r="C275" s="72" t="s">
        <v>29</v>
      </c>
      <c r="D275" s="93" t="s">
        <v>50</v>
      </c>
      <c r="E275" s="96" t="s">
        <v>54</v>
      </c>
      <c r="F275" s="93" t="s">
        <v>67</v>
      </c>
      <c r="G275" s="93" t="s">
        <v>747</v>
      </c>
      <c r="H275" s="97">
        <v>2025</v>
      </c>
      <c r="I275" s="188"/>
      <c r="J275" s="185"/>
      <c r="K275" s="95"/>
    </row>
    <row r="276" spans="1:11" s="69" customFormat="1" ht="15" x14ac:dyDescent="0.2">
      <c r="A276" s="74" t="s">
        <v>218</v>
      </c>
      <c r="B276" s="75" t="s">
        <v>218</v>
      </c>
      <c r="C276" s="75" t="s">
        <v>218</v>
      </c>
      <c r="D276" s="75" t="s">
        <v>257</v>
      </c>
      <c r="E276" s="74" t="s">
        <v>220</v>
      </c>
      <c r="F276" s="74" t="s">
        <v>221</v>
      </c>
      <c r="G276" s="74" t="s">
        <v>258</v>
      </c>
      <c r="H276" s="97">
        <v>2025</v>
      </c>
      <c r="I276" s="188"/>
      <c r="J276" s="185"/>
      <c r="K276" s="95"/>
    </row>
    <row r="277" spans="1:11" s="69" customFormat="1" ht="30" x14ac:dyDescent="0.2">
      <c r="A277" s="96" t="s">
        <v>748</v>
      </c>
      <c r="B277" s="72" t="s">
        <v>29</v>
      </c>
      <c r="C277" s="72" t="s">
        <v>29</v>
      </c>
      <c r="D277" s="93" t="s">
        <v>259</v>
      </c>
      <c r="E277" s="96" t="s">
        <v>37</v>
      </c>
      <c r="F277" s="96" t="s">
        <v>123</v>
      </c>
      <c r="G277" s="93" t="s">
        <v>749</v>
      </c>
      <c r="H277" s="97">
        <v>2025</v>
      </c>
      <c r="I277" s="188"/>
      <c r="J277" s="185"/>
      <c r="K277" s="95"/>
    </row>
    <row r="278" spans="1:11" s="69" customFormat="1" ht="30" x14ac:dyDescent="0.2">
      <c r="A278" s="96" t="s">
        <v>750</v>
      </c>
      <c r="B278" s="72" t="s">
        <v>29</v>
      </c>
      <c r="C278" s="72" t="s">
        <v>29</v>
      </c>
      <c r="D278" s="93" t="s">
        <v>259</v>
      </c>
      <c r="E278" s="96" t="s">
        <v>37</v>
      </c>
      <c r="F278" s="96" t="s">
        <v>123</v>
      </c>
      <c r="G278" s="93" t="s">
        <v>751</v>
      </c>
      <c r="H278" s="97">
        <v>2025</v>
      </c>
      <c r="I278" s="188"/>
      <c r="J278" s="185"/>
      <c r="K278" s="95"/>
    </row>
    <row r="279" spans="1:11" s="69" customFormat="1" ht="45" x14ac:dyDescent="0.2">
      <c r="A279" s="96" t="s">
        <v>752</v>
      </c>
      <c r="B279" s="72" t="s">
        <v>29</v>
      </c>
      <c r="C279" s="72" t="s">
        <v>29</v>
      </c>
      <c r="D279" s="93" t="s">
        <v>259</v>
      </c>
      <c r="E279" s="96" t="s">
        <v>37</v>
      </c>
      <c r="F279" s="96" t="s">
        <v>156</v>
      </c>
      <c r="G279" s="93" t="s">
        <v>753</v>
      </c>
      <c r="H279" s="97">
        <v>2025</v>
      </c>
      <c r="I279" s="188"/>
      <c r="J279" s="185"/>
      <c r="K279" s="95"/>
    </row>
    <row r="280" spans="1:11" s="69" customFormat="1" ht="30" x14ac:dyDescent="0.2">
      <c r="A280" s="96" t="s">
        <v>754</v>
      </c>
      <c r="B280" s="72" t="s">
        <v>29</v>
      </c>
      <c r="C280" s="72" t="s">
        <v>29</v>
      </c>
      <c r="D280" s="93" t="s">
        <v>259</v>
      </c>
      <c r="E280" s="96" t="s">
        <v>37</v>
      </c>
      <c r="F280" s="96" t="s">
        <v>141</v>
      </c>
      <c r="G280" s="93" t="s">
        <v>755</v>
      </c>
      <c r="H280" s="97">
        <v>2025</v>
      </c>
      <c r="I280" s="188"/>
      <c r="J280" s="185"/>
      <c r="K280" s="95"/>
    </row>
    <row r="281" spans="1:11" s="69" customFormat="1" ht="30" x14ac:dyDescent="0.2">
      <c r="A281" s="96" t="s">
        <v>756</v>
      </c>
      <c r="B281" s="72" t="s">
        <v>29</v>
      </c>
      <c r="C281" s="72" t="s">
        <v>29</v>
      </c>
      <c r="D281" s="93" t="s">
        <v>259</v>
      </c>
      <c r="E281" s="96" t="s">
        <v>37</v>
      </c>
      <c r="F281" s="96" t="s">
        <v>141</v>
      </c>
      <c r="G281" s="93" t="s">
        <v>757</v>
      </c>
      <c r="H281" s="97">
        <v>2025</v>
      </c>
      <c r="I281" s="188"/>
      <c r="J281" s="185"/>
      <c r="K281" s="95"/>
    </row>
    <row r="282" spans="1:11" s="69" customFormat="1" ht="45" x14ac:dyDescent="0.2">
      <c r="A282" s="93" t="s">
        <v>758</v>
      </c>
      <c r="B282" s="72" t="s">
        <v>29</v>
      </c>
      <c r="C282" s="72" t="s">
        <v>29</v>
      </c>
      <c r="D282" s="93" t="s">
        <v>259</v>
      </c>
      <c r="E282" s="96" t="s">
        <v>54</v>
      </c>
      <c r="F282" s="93" t="s">
        <v>200</v>
      </c>
      <c r="G282" s="93" t="s">
        <v>759</v>
      </c>
      <c r="H282" s="97">
        <v>2025</v>
      </c>
      <c r="I282" s="188"/>
      <c r="J282" s="185"/>
      <c r="K282" s="95"/>
    </row>
    <row r="283" spans="1:11" s="69" customFormat="1" ht="30" x14ac:dyDescent="0.2">
      <c r="A283" s="96" t="s">
        <v>760</v>
      </c>
      <c r="B283" s="72">
        <v>15157435</v>
      </c>
      <c r="C283" s="72">
        <v>18582102050212</v>
      </c>
      <c r="D283" s="96" t="s">
        <v>270</v>
      </c>
      <c r="E283" s="96" t="s">
        <v>51</v>
      </c>
      <c r="F283" s="96" t="s">
        <v>74</v>
      </c>
      <c r="G283" s="93" t="s">
        <v>761</v>
      </c>
      <c r="H283" s="97">
        <v>2025</v>
      </c>
      <c r="I283" s="188"/>
      <c r="J283" s="185"/>
      <c r="K283" s="95"/>
    </row>
    <row r="284" spans="1:11" s="69" customFormat="1" ht="30" x14ac:dyDescent="0.2">
      <c r="A284" s="96" t="s">
        <v>762</v>
      </c>
      <c r="B284" s="72" t="s">
        <v>29</v>
      </c>
      <c r="C284" s="72" t="s">
        <v>29</v>
      </c>
      <c r="D284" s="96" t="s">
        <v>270</v>
      </c>
      <c r="E284" s="96" t="s">
        <v>54</v>
      </c>
      <c r="F284" s="96" t="s">
        <v>81</v>
      </c>
      <c r="G284" s="93" t="s">
        <v>550</v>
      </c>
      <c r="H284" s="97">
        <v>2025</v>
      </c>
      <c r="I284" s="188"/>
      <c r="J284" s="185"/>
      <c r="K284" s="95"/>
    </row>
    <row r="285" spans="1:11" s="69" customFormat="1" ht="30" x14ac:dyDescent="0.2">
      <c r="A285" s="96" t="s">
        <v>763</v>
      </c>
      <c r="B285" s="72" t="s">
        <v>29</v>
      </c>
      <c r="C285" s="72" t="s">
        <v>29</v>
      </c>
      <c r="D285" s="96" t="s">
        <v>270</v>
      </c>
      <c r="E285" s="96" t="s">
        <v>37</v>
      </c>
      <c r="F285" s="96" t="s">
        <v>299</v>
      </c>
      <c r="G285" s="93" t="s">
        <v>764</v>
      </c>
      <c r="H285" s="97">
        <v>2025</v>
      </c>
      <c r="I285" s="188"/>
      <c r="J285" s="185"/>
      <c r="K285" s="95"/>
    </row>
    <row r="286" spans="1:11" s="69" customFormat="1" ht="30" x14ac:dyDescent="0.2">
      <c r="A286" s="96" t="s">
        <v>765</v>
      </c>
      <c r="B286" s="72" t="s">
        <v>29</v>
      </c>
      <c r="C286" s="72" t="s">
        <v>29</v>
      </c>
      <c r="D286" s="96" t="s">
        <v>270</v>
      </c>
      <c r="E286" s="96" t="s">
        <v>37</v>
      </c>
      <c r="F286" s="96" t="s">
        <v>255</v>
      </c>
      <c r="G286" s="93" t="s">
        <v>766</v>
      </c>
      <c r="H286" s="97">
        <v>2025</v>
      </c>
      <c r="I286" s="188"/>
      <c r="J286" s="185"/>
      <c r="K286" s="95"/>
    </row>
    <row r="287" spans="1:11" s="69" customFormat="1" ht="30" x14ac:dyDescent="0.2">
      <c r="A287" s="96" t="s">
        <v>767</v>
      </c>
      <c r="B287" s="72" t="s">
        <v>29</v>
      </c>
      <c r="C287" s="72" t="s">
        <v>29</v>
      </c>
      <c r="D287" s="96" t="s">
        <v>270</v>
      </c>
      <c r="E287" s="96" t="s">
        <v>51</v>
      </c>
      <c r="F287" s="96" t="s">
        <v>95</v>
      </c>
      <c r="G287" s="93" t="s">
        <v>550</v>
      </c>
      <c r="H287" s="97">
        <v>2025</v>
      </c>
      <c r="I287" s="188"/>
      <c r="J287" s="185"/>
      <c r="K287" s="95"/>
    </row>
    <row r="288" spans="1:11" s="69" customFormat="1" ht="30" x14ac:dyDescent="0.2">
      <c r="A288" s="96" t="s">
        <v>768</v>
      </c>
      <c r="B288" s="72">
        <v>15157320</v>
      </c>
      <c r="C288" s="72">
        <v>18582102050215</v>
      </c>
      <c r="D288" s="93" t="s">
        <v>555</v>
      </c>
      <c r="E288" s="96" t="s">
        <v>51</v>
      </c>
      <c r="F288" s="96" t="s">
        <v>74</v>
      </c>
      <c r="G288" s="93" t="s">
        <v>769</v>
      </c>
      <c r="H288" s="97">
        <v>2025</v>
      </c>
      <c r="I288" s="188"/>
      <c r="J288" s="185"/>
      <c r="K288" s="95"/>
    </row>
    <row r="289" spans="1:11" s="69" customFormat="1" ht="30" x14ac:dyDescent="0.2">
      <c r="A289" s="96" t="s">
        <v>770</v>
      </c>
      <c r="B289" s="93">
        <v>18120401</v>
      </c>
      <c r="C289" s="72" t="s">
        <v>29</v>
      </c>
      <c r="D289" s="93" t="s">
        <v>555</v>
      </c>
      <c r="E289" s="96" t="s">
        <v>51</v>
      </c>
      <c r="F289" s="96" t="s">
        <v>74</v>
      </c>
      <c r="G289" s="93" t="s">
        <v>771</v>
      </c>
      <c r="H289" s="97">
        <v>2025</v>
      </c>
      <c r="I289" s="188"/>
      <c r="J289" s="185"/>
      <c r="K289" s="95"/>
    </row>
    <row r="290" spans="1:11" s="69" customFormat="1" ht="30" x14ac:dyDescent="0.2">
      <c r="A290" s="96" t="s">
        <v>772</v>
      </c>
      <c r="B290" s="93">
        <v>18120403</v>
      </c>
      <c r="C290" s="72" t="s">
        <v>29</v>
      </c>
      <c r="D290" s="93" t="s">
        <v>555</v>
      </c>
      <c r="E290" s="96" t="s">
        <v>51</v>
      </c>
      <c r="F290" s="96" t="s">
        <v>74</v>
      </c>
      <c r="G290" s="93" t="s">
        <v>773</v>
      </c>
      <c r="H290" s="97">
        <v>2025</v>
      </c>
      <c r="I290" s="188"/>
      <c r="J290" s="185"/>
      <c r="K290" s="95"/>
    </row>
    <row r="291" spans="1:11" s="69" customFormat="1" ht="30" x14ac:dyDescent="0.2">
      <c r="A291" s="96" t="s">
        <v>774</v>
      </c>
      <c r="B291" s="93">
        <v>18120407</v>
      </c>
      <c r="C291" s="72" t="s">
        <v>29</v>
      </c>
      <c r="D291" s="93" t="s">
        <v>555</v>
      </c>
      <c r="E291" s="96" t="s">
        <v>51</v>
      </c>
      <c r="F291" s="96" t="s">
        <v>74</v>
      </c>
      <c r="G291" s="93" t="s">
        <v>775</v>
      </c>
      <c r="H291" s="97">
        <v>2025</v>
      </c>
      <c r="I291" s="188"/>
      <c r="J291" s="185"/>
      <c r="K291" s="95"/>
    </row>
    <row r="292" spans="1:11" s="69" customFormat="1" ht="30" x14ac:dyDescent="0.2">
      <c r="A292" s="96" t="s">
        <v>776</v>
      </c>
      <c r="B292" s="93">
        <v>18120409</v>
      </c>
      <c r="C292" s="72" t="s">
        <v>29</v>
      </c>
      <c r="D292" s="93" t="s">
        <v>555</v>
      </c>
      <c r="E292" s="96" t="s">
        <v>51</v>
      </c>
      <c r="F292" s="96" t="s">
        <v>74</v>
      </c>
      <c r="G292" s="93" t="s">
        <v>777</v>
      </c>
      <c r="H292" s="97">
        <v>2025</v>
      </c>
      <c r="I292" s="188"/>
      <c r="J292" s="185"/>
      <c r="K292" s="95"/>
    </row>
    <row r="293" spans="1:11" s="69" customFormat="1" ht="30" x14ac:dyDescent="0.2">
      <c r="A293" s="96" t="s">
        <v>778</v>
      </c>
      <c r="B293" s="72" t="s">
        <v>29</v>
      </c>
      <c r="C293" s="72" t="s">
        <v>29</v>
      </c>
      <c r="D293" s="96" t="s">
        <v>31</v>
      </c>
      <c r="E293" s="96" t="s">
        <v>37</v>
      </c>
      <c r="F293" s="96" t="s">
        <v>206</v>
      </c>
      <c r="G293" s="93" t="s">
        <v>779</v>
      </c>
      <c r="H293" s="97">
        <v>2026</v>
      </c>
      <c r="I293" s="188"/>
      <c r="J293" s="185"/>
      <c r="K293" s="95"/>
    </row>
    <row r="294" spans="1:11" s="69" customFormat="1" ht="60" x14ac:dyDescent="0.2">
      <c r="A294" s="93" t="s">
        <v>780</v>
      </c>
      <c r="B294" s="72" t="s">
        <v>29</v>
      </c>
      <c r="C294" s="72" t="s">
        <v>29</v>
      </c>
      <c r="D294" s="96" t="s">
        <v>205</v>
      </c>
      <c r="E294" s="96" t="s">
        <v>54</v>
      </c>
      <c r="F294" s="93" t="s">
        <v>67</v>
      </c>
      <c r="G294" s="93" t="s">
        <v>781</v>
      </c>
      <c r="H294" s="97">
        <v>2026</v>
      </c>
      <c r="I294" s="188"/>
      <c r="J294" s="185"/>
      <c r="K294" s="95"/>
    </row>
    <row r="295" spans="1:11" s="69" customFormat="1" ht="60" x14ac:dyDescent="0.2">
      <c r="A295" s="93" t="s">
        <v>782</v>
      </c>
      <c r="B295" s="72" t="s">
        <v>29</v>
      </c>
      <c r="C295" s="72" t="s">
        <v>29</v>
      </c>
      <c r="D295" s="96" t="s">
        <v>205</v>
      </c>
      <c r="E295" s="96" t="s">
        <v>54</v>
      </c>
      <c r="F295" s="93" t="s">
        <v>67</v>
      </c>
      <c r="G295" s="93" t="s">
        <v>783</v>
      </c>
      <c r="H295" s="97">
        <v>2026</v>
      </c>
      <c r="I295" s="188"/>
      <c r="J295" s="185"/>
      <c r="K295" s="95"/>
    </row>
    <row r="296" spans="1:11" s="69" customFormat="1" ht="60" x14ac:dyDescent="0.2">
      <c r="A296" s="93" t="s">
        <v>784</v>
      </c>
      <c r="B296" s="72" t="s">
        <v>29</v>
      </c>
      <c r="C296" s="72" t="s">
        <v>29</v>
      </c>
      <c r="D296" s="96" t="s">
        <v>205</v>
      </c>
      <c r="E296" s="96" t="s">
        <v>54</v>
      </c>
      <c r="F296" s="93" t="s">
        <v>67</v>
      </c>
      <c r="G296" s="93" t="s">
        <v>785</v>
      </c>
      <c r="H296" s="97">
        <v>2026</v>
      </c>
      <c r="I296" s="188"/>
      <c r="J296" s="185"/>
      <c r="K296" s="95"/>
    </row>
    <row r="297" spans="1:11" s="69" customFormat="1" ht="45" x14ac:dyDescent="0.2">
      <c r="A297" s="96" t="s">
        <v>786</v>
      </c>
      <c r="B297" s="72" t="s">
        <v>29</v>
      </c>
      <c r="C297" s="72" t="s">
        <v>29</v>
      </c>
      <c r="D297" s="96" t="s">
        <v>787</v>
      </c>
      <c r="E297" s="96" t="s">
        <v>54</v>
      </c>
      <c r="F297" s="96" t="s">
        <v>200</v>
      </c>
      <c r="G297" s="93" t="s">
        <v>788</v>
      </c>
      <c r="H297" s="97">
        <v>2026</v>
      </c>
      <c r="I297" s="188"/>
      <c r="J297" s="185"/>
      <c r="K297" s="95"/>
    </row>
    <row r="298" spans="1:11" s="69" customFormat="1" ht="15" x14ac:dyDescent="0.2">
      <c r="A298" s="74" t="s">
        <v>218</v>
      </c>
      <c r="B298" s="75" t="s">
        <v>218</v>
      </c>
      <c r="C298" s="75" t="s">
        <v>218</v>
      </c>
      <c r="D298" s="75" t="s">
        <v>219</v>
      </c>
      <c r="E298" s="74" t="s">
        <v>220</v>
      </c>
      <c r="F298" s="74" t="s">
        <v>221</v>
      </c>
      <c r="G298" s="74" t="s">
        <v>222</v>
      </c>
      <c r="H298" s="97">
        <v>2026</v>
      </c>
      <c r="I298" s="188"/>
      <c r="J298" s="185"/>
      <c r="K298" s="95"/>
    </row>
    <row r="299" spans="1:11" s="69" customFormat="1" ht="195" x14ac:dyDescent="0.2">
      <c r="A299" s="96" t="s">
        <v>789</v>
      </c>
      <c r="B299" s="72" t="s">
        <v>29</v>
      </c>
      <c r="C299" s="72" t="s">
        <v>29</v>
      </c>
      <c r="D299" s="93" t="s">
        <v>224</v>
      </c>
      <c r="E299" s="96" t="s">
        <v>37</v>
      </c>
      <c r="F299" s="96" t="s">
        <v>603</v>
      </c>
      <c r="G299" s="93" t="s">
        <v>790</v>
      </c>
      <c r="H299" s="97">
        <v>2026</v>
      </c>
      <c r="I299" s="188"/>
      <c r="J299" s="185"/>
      <c r="K299" s="95"/>
    </row>
    <row r="300" spans="1:11" s="69" customFormat="1" ht="75" x14ac:dyDescent="0.2">
      <c r="A300" s="96" t="s">
        <v>791</v>
      </c>
      <c r="B300" s="72" t="s">
        <v>29</v>
      </c>
      <c r="C300" s="72" t="s">
        <v>29</v>
      </c>
      <c r="D300" s="93" t="s">
        <v>224</v>
      </c>
      <c r="E300" s="96" t="s">
        <v>54</v>
      </c>
      <c r="F300" s="93" t="s">
        <v>67</v>
      </c>
      <c r="G300" s="93" t="s">
        <v>792</v>
      </c>
      <c r="H300" s="97">
        <v>2026</v>
      </c>
      <c r="I300" s="188"/>
      <c r="J300" s="185"/>
      <c r="K300" s="95"/>
    </row>
    <row r="301" spans="1:11" s="69" customFormat="1" ht="75" x14ac:dyDescent="0.2">
      <c r="A301" s="93" t="s">
        <v>793</v>
      </c>
      <c r="B301" s="72" t="s">
        <v>29</v>
      </c>
      <c r="C301" s="72" t="s">
        <v>29</v>
      </c>
      <c r="D301" s="93" t="s">
        <v>224</v>
      </c>
      <c r="E301" s="96" t="s">
        <v>54</v>
      </c>
      <c r="F301" s="93" t="s">
        <v>67</v>
      </c>
      <c r="G301" s="93" t="s">
        <v>794</v>
      </c>
      <c r="H301" s="97">
        <v>2026</v>
      </c>
      <c r="I301" s="188"/>
      <c r="J301" s="185"/>
      <c r="K301" s="95"/>
    </row>
    <row r="302" spans="1:11" s="69" customFormat="1" ht="60" x14ac:dyDescent="0.2">
      <c r="A302" s="93" t="s">
        <v>795</v>
      </c>
      <c r="B302" s="72" t="s">
        <v>29</v>
      </c>
      <c r="C302" s="72" t="s">
        <v>29</v>
      </c>
      <c r="D302" s="93" t="s">
        <v>224</v>
      </c>
      <c r="E302" s="96" t="s">
        <v>54</v>
      </c>
      <c r="F302" s="93" t="s">
        <v>67</v>
      </c>
      <c r="G302" s="93" t="s">
        <v>796</v>
      </c>
      <c r="H302" s="97">
        <v>2026</v>
      </c>
      <c r="I302" s="188"/>
      <c r="J302" s="185"/>
      <c r="K302" s="95"/>
    </row>
    <row r="303" spans="1:11" s="69" customFormat="1" ht="60" x14ac:dyDescent="0.2">
      <c r="A303" s="93" t="s">
        <v>797</v>
      </c>
      <c r="B303" s="72" t="s">
        <v>29</v>
      </c>
      <c r="C303" s="72" t="s">
        <v>29</v>
      </c>
      <c r="D303" s="93" t="s">
        <v>224</v>
      </c>
      <c r="E303" s="96" t="s">
        <v>54</v>
      </c>
      <c r="F303" s="93" t="s">
        <v>798</v>
      </c>
      <c r="G303" s="93" t="s">
        <v>799</v>
      </c>
      <c r="H303" s="97">
        <v>2026</v>
      </c>
      <c r="I303" s="188"/>
      <c r="J303" s="185"/>
      <c r="K303" s="95"/>
    </row>
    <row r="304" spans="1:11" s="69" customFormat="1" ht="75" x14ac:dyDescent="0.2">
      <c r="A304" s="93" t="s">
        <v>800</v>
      </c>
      <c r="B304" s="72" t="s">
        <v>29</v>
      </c>
      <c r="C304" s="72" t="s">
        <v>29</v>
      </c>
      <c r="D304" s="93" t="s">
        <v>230</v>
      </c>
      <c r="E304" s="96" t="s">
        <v>54</v>
      </c>
      <c r="F304" s="93" t="s">
        <v>59</v>
      </c>
      <c r="G304" s="93" t="s">
        <v>801</v>
      </c>
      <c r="H304" s="97">
        <v>2026</v>
      </c>
      <c r="I304" s="188"/>
      <c r="J304" s="185"/>
      <c r="K304" s="95"/>
    </row>
    <row r="305" spans="1:11" s="69" customFormat="1" ht="45" x14ac:dyDescent="0.2">
      <c r="A305" s="96" t="s">
        <v>802</v>
      </c>
      <c r="B305" s="72" t="s">
        <v>29</v>
      </c>
      <c r="C305" s="72" t="s">
        <v>29</v>
      </c>
      <c r="D305" s="93" t="s">
        <v>230</v>
      </c>
      <c r="E305" s="96" t="s">
        <v>54</v>
      </c>
      <c r="F305" s="93" t="s">
        <v>59</v>
      </c>
      <c r="G305" s="93" t="s">
        <v>803</v>
      </c>
      <c r="H305" s="97">
        <v>2026</v>
      </c>
      <c r="I305" s="188"/>
      <c r="J305" s="185"/>
      <c r="K305" s="95"/>
    </row>
    <row r="306" spans="1:11" s="69" customFormat="1" ht="75" x14ac:dyDescent="0.2">
      <c r="A306" s="93" t="s">
        <v>804</v>
      </c>
      <c r="B306" s="72" t="s">
        <v>29</v>
      </c>
      <c r="C306" s="72" t="s">
        <v>29</v>
      </c>
      <c r="D306" s="93" t="s">
        <v>230</v>
      </c>
      <c r="E306" s="96" t="s">
        <v>54</v>
      </c>
      <c r="F306" s="93" t="s">
        <v>805</v>
      </c>
      <c r="G306" s="93" t="s">
        <v>806</v>
      </c>
      <c r="H306" s="97">
        <v>2026</v>
      </c>
      <c r="I306" s="188"/>
      <c r="J306" s="185"/>
      <c r="K306" s="95"/>
    </row>
    <row r="307" spans="1:11" s="69" customFormat="1" ht="90" x14ac:dyDescent="0.2">
      <c r="A307" s="96" t="s">
        <v>807</v>
      </c>
      <c r="B307" s="72" t="s">
        <v>29</v>
      </c>
      <c r="C307" s="72" t="s">
        <v>29</v>
      </c>
      <c r="D307" s="93" t="s">
        <v>230</v>
      </c>
      <c r="E307" s="96" t="s">
        <v>37</v>
      </c>
      <c r="F307" s="96" t="s">
        <v>38</v>
      </c>
      <c r="G307" s="93" t="s">
        <v>808</v>
      </c>
      <c r="H307" s="97">
        <v>2026</v>
      </c>
      <c r="I307" s="188"/>
      <c r="J307" s="185"/>
      <c r="K307" s="95"/>
    </row>
    <row r="308" spans="1:11" s="69" customFormat="1" ht="30" x14ac:dyDescent="0.2">
      <c r="A308" s="96" t="s">
        <v>809</v>
      </c>
      <c r="B308" s="72" t="s">
        <v>29</v>
      </c>
      <c r="C308" s="72" t="s">
        <v>29</v>
      </c>
      <c r="D308" s="93" t="s">
        <v>230</v>
      </c>
      <c r="E308" s="96" t="s">
        <v>37</v>
      </c>
      <c r="F308" s="96" t="s">
        <v>38</v>
      </c>
      <c r="G308" s="93" t="s">
        <v>810</v>
      </c>
      <c r="H308" s="97">
        <v>2026</v>
      </c>
      <c r="I308" s="188"/>
      <c r="J308" s="185"/>
      <c r="K308" s="95"/>
    </row>
    <row r="309" spans="1:11" s="69" customFormat="1" ht="60" x14ac:dyDescent="0.2">
      <c r="A309" s="93" t="s">
        <v>811</v>
      </c>
      <c r="B309" s="72" t="s">
        <v>29</v>
      </c>
      <c r="C309" s="72" t="s">
        <v>29</v>
      </c>
      <c r="D309" s="93" t="s">
        <v>230</v>
      </c>
      <c r="E309" s="96" t="s">
        <v>54</v>
      </c>
      <c r="F309" s="93" t="s">
        <v>351</v>
      </c>
      <c r="G309" s="93" t="s">
        <v>812</v>
      </c>
      <c r="H309" s="97">
        <v>2026</v>
      </c>
      <c r="I309" s="188"/>
      <c r="J309" s="185"/>
      <c r="K309" s="95"/>
    </row>
    <row r="310" spans="1:11" s="69" customFormat="1" ht="75" x14ac:dyDescent="0.2">
      <c r="A310" s="93" t="s">
        <v>813</v>
      </c>
      <c r="B310" s="72" t="s">
        <v>29</v>
      </c>
      <c r="C310" s="72" t="s">
        <v>29</v>
      </c>
      <c r="D310" s="93" t="s">
        <v>230</v>
      </c>
      <c r="E310" s="96" t="s">
        <v>54</v>
      </c>
      <c r="F310" s="93" t="s">
        <v>814</v>
      </c>
      <c r="G310" s="93" t="s">
        <v>815</v>
      </c>
      <c r="H310" s="97">
        <v>2026</v>
      </c>
      <c r="I310" s="188"/>
      <c r="J310" s="185"/>
      <c r="K310" s="95"/>
    </row>
    <row r="311" spans="1:11" s="69" customFormat="1" ht="45" x14ac:dyDescent="0.2">
      <c r="A311" s="96" t="s">
        <v>816</v>
      </c>
      <c r="B311" s="72" t="s">
        <v>29</v>
      </c>
      <c r="C311" s="72" t="s">
        <v>29</v>
      </c>
      <c r="D311" s="93" t="s">
        <v>230</v>
      </c>
      <c r="E311" s="96" t="s">
        <v>37</v>
      </c>
      <c r="F311" s="96" t="s">
        <v>156</v>
      </c>
      <c r="G311" s="93" t="s">
        <v>817</v>
      </c>
      <c r="H311" s="97">
        <v>2026</v>
      </c>
      <c r="I311" s="188"/>
      <c r="J311" s="185"/>
      <c r="K311" s="95"/>
    </row>
    <row r="312" spans="1:11" s="69" customFormat="1" ht="30" x14ac:dyDescent="0.2">
      <c r="A312" s="96" t="s">
        <v>818</v>
      </c>
      <c r="B312" s="72" t="s">
        <v>29</v>
      </c>
      <c r="C312" s="72" t="s">
        <v>29</v>
      </c>
      <c r="D312" s="93" t="s">
        <v>230</v>
      </c>
      <c r="E312" s="96" t="s">
        <v>37</v>
      </c>
      <c r="F312" s="96" t="s">
        <v>156</v>
      </c>
      <c r="G312" s="93" t="s">
        <v>819</v>
      </c>
      <c r="H312" s="97">
        <v>2026</v>
      </c>
      <c r="I312" s="188"/>
      <c r="J312" s="185"/>
      <c r="K312" s="95"/>
    </row>
    <row r="313" spans="1:11" s="69" customFormat="1" ht="75" x14ac:dyDescent="0.2">
      <c r="A313" s="93" t="s">
        <v>820</v>
      </c>
      <c r="B313" s="72" t="s">
        <v>29</v>
      </c>
      <c r="C313" s="72" t="s">
        <v>29</v>
      </c>
      <c r="D313" s="93" t="s">
        <v>230</v>
      </c>
      <c r="E313" s="96" t="s">
        <v>54</v>
      </c>
      <c r="F313" s="93" t="s">
        <v>598</v>
      </c>
      <c r="G313" s="93" t="s">
        <v>821</v>
      </c>
      <c r="H313" s="97">
        <v>2026</v>
      </c>
      <c r="I313" s="188"/>
      <c r="J313" s="185"/>
      <c r="K313" s="95"/>
    </row>
    <row r="314" spans="1:11" s="69" customFormat="1" ht="90" x14ac:dyDescent="0.2">
      <c r="A314" s="93" t="s">
        <v>822</v>
      </c>
      <c r="B314" s="72" t="s">
        <v>29</v>
      </c>
      <c r="C314" s="72" t="s">
        <v>29</v>
      </c>
      <c r="D314" s="93" t="s">
        <v>230</v>
      </c>
      <c r="E314" s="96" t="s">
        <v>54</v>
      </c>
      <c r="F314" s="96" t="s">
        <v>70</v>
      </c>
      <c r="G314" s="93" t="s">
        <v>823</v>
      </c>
      <c r="H314" s="97">
        <v>2026</v>
      </c>
      <c r="I314" s="188"/>
      <c r="J314" s="185"/>
      <c r="K314" s="95"/>
    </row>
    <row r="315" spans="1:11" s="69" customFormat="1" ht="75" x14ac:dyDescent="0.2">
      <c r="A315" s="96" t="s">
        <v>824</v>
      </c>
      <c r="B315" s="72" t="s">
        <v>29</v>
      </c>
      <c r="C315" s="72" t="s">
        <v>29</v>
      </c>
      <c r="D315" s="93" t="s">
        <v>230</v>
      </c>
      <c r="E315" s="96" t="s">
        <v>37</v>
      </c>
      <c r="F315" s="96" t="s">
        <v>239</v>
      </c>
      <c r="G315" s="93" t="s">
        <v>825</v>
      </c>
      <c r="H315" s="97">
        <v>2026</v>
      </c>
      <c r="I315" s="188"/>
      <c r="J315" s="185"/>
      <c r="K315" s="95"/>
    </row>
    <row r="316" spans="1:11" s="69" customFormat="1" ht="60" x14ac:dyDescent="0.2">
      <c r="A316" s="93" t="s">
        <v>826</v>
      </c>
      <c r="B316" s="72" t="s">
        <v>29</v>
      </c>
      <c r="C316" s="72" t="s">
        <v>29</v>
      </c>
      <c r="D316" s="93" t="s">
        <v>230</v>
      </c>
      <c r="E316" s="96" t="s">
        <v>54</v>
      </c>
      <c r="F316" s="93" t="s">
        <v>67</v>
      </c>
      <c r="G316" s="93" t="s">
        <v>827</v>
      </c>
      <c r="H316" s="97">
        <v>2026</v>
      </c>
      <c r="I316" s="188"/>
      <c r="J316" s="185"/>
      <c r="K316" s="95"/>
    </row>
    <row r="317" spans="1:11" s="69" customFormat="1" ht="75" x14ac:dyDescent="0.2">
      <c r="A317" s="93" t="s">
        <v>828</v>
      </c>
      <c r="B317" s="72" t="s">
        <v>29</v>
      </c>
      <c r="C317" s="72" t="s">
        <v>29</v>
      </c>
      <c r="D317" s="93" t="s">
        <v>230</v>
      </c>
      <c r="E317" s="96" t="s">
        <v>54</v>
      </c>
      <c r="F317" s="93" t="s">
        <v>67</v>
      </c>
      <c r="G317" s="93" t="s">
        <v>829</v>
      </c>
      <c r="H317" s="97">
        <v>2026</v>
      </c>
      <c r="I317" s="188"/>
      <c r="J317" s="185"/>
      <c r="K317" s="95"/>
    </row>
    <row r="318" spans="1:11" s="69" customFormat="1" ht="45" x14ac:dyDescent="0.2">
      <c r="A318" s="93" t="s">
        <v>830</v>
      </c>
      <c r="B318" s="72" t="s">
        <v>29</v>
      </c>
      <c r="C318" s="72" t="s">
        <v>29</v>
      </c>
      <c r="D318" s="93" t="s">
        <v>230</v>
      </c>
      <c r="E318" s="96" t="s">
        <v>54</v>
      </c>
      <c r="F318" s="93" t="s">
        <v>67</v>
      </c>
      <c r="G318" s="93" t="s">
        <v>831</v>
      </c>
      <c r="H318" s="97">
        <v>2026</v>
      </c>
      <c r="I318" s="188"/>
      <c r="J318" s="185"/>
      <c r="K318" s="95"/>
    </row>
    <row r="319" spans="1:11" s="69" customFormat="1" ht="45" x14ac:dyDescent="0.2">
      <c r="A319" s="93" t="s">
        <v>832</v>
      </c>
      <c r="B319" s="72" t="s">
        <v>29</v>
      </c>
      <c r="C319" s="72" t="s">
        <v>29</v>
      </c>
      <c r="D319" s="93" t="s">
        <v>230</v>
      </c>
      <c r="E319" s="96" t="s">
        <v>54</v>
      </c>
      <c r="F319" s="93" t="s">
        <v>67</v>
      </c>
      <c r="G319" s="93" t="s">
        <v>833</v>
      </c>
      <c r="H319" s="97">
        <v>2026</v>
      </c>
      <c r="I319" s="188"/>
      <c r="J319" s="185"/>
      <c r="K319" s="95"/>
    </row>
    <row r="320" spans="1:11" s="69" customFormat="1" ht="60" x14ac:dyDescent="0.2">
      <c r="A320" s="93" t="s">
        <v>834</v>
      </c>
      <c r="B320" s="72" t="s">
        <v>29</v>
      </c>
      <c r="C320" s="72" t="s">
        <v>29</v>
      </c>
      <c r="D320" s="93" t="s">
        <v>230</v>
      </c>
      <c r="E320" s="96" t="s">
        <v>54</v>
      </c>
      <c r="F320" s="93" t="s">
        <v>67</v>
      </c>
      <c r="G320" s="93" t="s">
        <v>835</v>
      </c>
      <c r="H320" s="97">
        <v>2026</v>
      </c>
      <c r="I320" s="188"/>
      <c r="J320" s="185"/>
      <c r="K320" s="95"/>
    </row>
    <row r="321" spans="1:11" s="69" customFormat="1" ht="60" x14ac:dyDescent="0.2">
      <c r="A321" s="93" t="s">
        <v>836</v>
      </c>
      <c r="B321" s="72" t="s">
        <v>29</v>
      </c>
      <c r="C321" s="72" t="s">
        <v>29</v>
      </c>
      <c r="D321" s="93" t="s">
        <v>230</v>
      </c>
      <c r="E321" s="96" t="s">
        <v>54</v>
      </c>
      <c r="F321" s="93" t="s">
        <v>67</v>
      </c>
      <c r="G321" s="93" t="s">
        <v>837</v>
      </c>
      <c r="H321" s="97">
        <v>2026</v>
      </c>
      <c r="I321" s="188"/>
      <c r="J321" s="185"/>
      <c r="K321" s="95"/>
    </row>
    <row r="322" spans="1:11" s="69" customFormat="1" ht="60" x14ac:dyDescent="0.2">
      <c r="A322" s="93" t="s">
        <v>838</v>
      </c>
      <c r="B322" s="72" t="s">
        <v>29</v>
      </c>
      <c r="C322" s="72" t="s">
        <v>29</v>
      </c>
      <c r="D322" s="93" t="s">
        <v>230</v>
      </c>
      <c r="E322" s="96" t="s">
        <v>54</v>
      </c>
      <c r="F322" s="93" t="s">
        <v>67</v>
      </c>
      <c r="G322" s="93" t="s">
        <v>839</v>
      </c>
      <c r="H322" s="97">
        <v>2026</v>
      </c>
      <c r="I322" s="188"/>
      <c r="J322" s="185"/>
      <c r="K322" s="95"/>
    </row>
    <row r="323" spans="1:11" s="69" customFormat="1" ht="60" x14ac:dyDescent="0.2">
      <c r="A323" s="93" t="s">
        <v>840</v>
      </c>
      <c r="B323" s="72" t="s">
        <v>29</v>
      </c>
      <c r="C323" s="72" t="s">
        <v>29</v>
      </c>
      <c r="D323" s="93" t="s">
        <v>230</v>
      </c>
      <c r="E323" s="96" t="s">
        <v>54</v>
      </c>
      <c r="F323" s="93" t="s">
        <v>88</v>
      </c>
      <c r="G323" s="93" t="s">
        <v>841</v>
      </c>
      <c r="H323" s="97">
        <v>2026</v>
      </c>
      <c r="I323" s="188"/>
      <c r="J323" s="185"/>
      <c r="K323" s="95"/>
    </row>
    <row r="324" spans="1:11" s="69" customFormat="1" ht="15" x14ac:dyDescent="0.2">
      <c r="A324" s="74" t="s">
        <v>218</v>
      </c>
      <c r="B324" s="75" t="s">
        <v>218</v>
      </c>
      <c r="C324" s="75" t="s">
        <v>218</v>
      </c>
      <c r="D324" s="75" t="s">
        <v>230</v>
      </c>
      <c r="E324" s="74" t="s">
        <v>220</v>
      </c>
      <c r="F324" s="74" t="s">
        <v>221</v>
      </c>
      <c r="G324" s="74" t="s">
        <v>707</v>
      </c>
      <c r="H324" s="97">
        <v>2026</v>
      </c>
      <c r="I324" s="188"/>
      <c r="J324" s="185"/>
      <c r="K324" s="95"/>
    </row>
    <row r="325" spans="1:11" s="69" customFormat="1" ht="15" x14ac:dyDescent="0.2">
      <c r="A325" s="96" t="s">
        <v>842</v>
      </c>
      <c r="B325" s="72" t="s">
        <v>29</v>
      </c>
      <c r="C325" s="72" t="s">
        <v>29</v>
      </c>
      <c r="D325" s="93" t="s">
        <v>230</v>
      </c>
      <c r="E325" s="96" t="s">
        <v>51</v>
      </c>
      <c r="F325" s="96" t="s">
        <v>95</v>
      </c>
      <c r="G325" s="93" t="s">
        <v>843</v>
      </c>
      <c r="H325" s="97">
        <v>2026</v>
      </c>
      <c r="I325" s="188"/>
      <c r="J325" s="185"/>
      <c r="K325" s="95"/>
    </row>
    <row r="326" spans="1:11" s="69" customFormat="1" ht="15" x14ac:dyDescent="0.2">
      <c r="A326" s="96" t="s">
        <v>844</v>
      </c>
      <c r="B326" s="72" t="s">
        <v>29</v>
      </c>
      <c r="C326" s="72" t="s">
        <v>29</v>
      </c>
      <c r="D326" s="93" t="s">
        <v>230</v>
      </c>
      <c r="E326" s="96" t="s">
        <v>51</v>
      </c>
      <c r="F326" s="96" t="s">
        <v>95</v>
      </c>
      <c r="G326" s="93" t="s">
        <v>845</v>
      </c>
      <c r="H326" s="97">
        <v>2026</v>
      </c>
      <c r="I326" s="188"/>
      <c r="J326" s="185"/>
      <c r="K326" s="95"/>
    </row>
    <row r="327" spans="1:11" s="69" customFormat="1" ht="15" x14ac:dyDescent="0.2">
      <c r="A327" s="96" t="s">
        <v>846</v>
      </c>
      <c r="B327" s="72" t="s">
        <v>29</v>
      </c>
      <c r="C327" s="72" t="s">
        <v>29</v>
      </c>
      <c r="D327" s="93" t="s">
        <v>230</v>
      </c>
      <c r="E327" s="96" t="s">
        <v>51</v>
      </c>
      <c r="F327" s="96" t="s">
        <v>95</v>
      </c>
      <c r="G327" s="93" t="s">
        <v>847</v>
      </c>
      <c r="H327" s="97">
        <v>2026</v>
      </c>
      <c r="I327" s="188"/>
      <c r="J327" s="185"/>
      <c r="K327" s="95"/>
    </row>
    <row r="328" spans="1:11" s="69" customFormat="1" ht="15" x14ac:dyDescent="0.2">
      <c r="A328" s="96" t="s">
        <v>848</v>
      </c>
      <c r="B328" s="72" t="s">
        <v>29</v>
      </c>
      <c r="C328" s="72" t="s">
        <v>29</v>
      </c>
      <c r="D328" s="93" t="s">
        <v>230</v>
      </c>
      <c r="E328" s="96" t="s">
        <v>51</v>
      </c>
      <c r="F328" s="96" t="s">
        <v>95</v>
      </c>
      <c r="G328" s="93" t="s">
        <v>849</v>
      </c>
      <c r="H328" s="97">
        <v>2026</v>
      </c>
      <c r="I328" s="188"/>
      <c r="J328" s="185"/>
      <c r="K328" s="95"/>
    </row>
    <row r="329" spans="1:11" s="69" customFormat="1" ht="15" x14ac:dyDescent="0.2">
      <c r="A329" s="96" t="s">
        <v>850</v>
      </c>
      <c r="B329" s="72" t="s">
        <v>29</v>
      </c>
      <c r="C329" s="72" t="s">
        <v>29</v>
      </c>
      <c r="D329" s="93" t="s">
        <v>230</v>
      </c>
      <c r="E329" s="96" t="s">
        <v>51</v>
      </c>
      <c r="F329" s="96" t="s">
        <v>95</v>
      </c>
      <c r="G329" s="93" t="s">
        <v>851</v>
      </c>
      <c r="H329" s="97">
        <v>2026</v>
      </c>
      <c r="I329" s="188"/>
      <c r="J329" s="185"/>
      <c r="K329" s="95"/>
    </row>
    <row r="330" spans="1:11" s="69" customFormat="1" ht="15" x14ac:dyDescent="0.2">
      <c r="A330" s="96" t="s">
        <v>852</v>
      </c>
      <c r="B330" s="72" t="s">
        <v>29</v>
      </c>
      <c r="C330" s="72" t="s">
        <v>29</v>
      </c>
      <c r="D330" s="93" t="s">
        <v>230</v>
      </c>
      <c r="E330" s="96" t="s">
        <v>51</v>
      </c>
      <c r="F330" s="96" t="s">
        <v>95</v>
      </c>
      <c r="G330" s="93" t="s">
        <v>853</v>
      </c>
      <c r="H330" s="97">
        <v>2026</v>
      </c>
      <c r="I330" s="188"/>
      <c r="J330" s="185"/>
      <c r="K330" s="95"/>
    </row>
    <row r="331" spans="1:11" s="69" customFormat="1" ht="15" x14ac:dyDescent="0.2">
      <c r="A331" s="96" t="s">
        <v>854</v>
      </c>
      <c r="B331" s="72" t="s">
        <v>29</v>
      </c>
      <c r="C331" s="72" t="s">
        <v>29</v>
      </c>
      <c r="D331" s="93" t="s">
        <v>230</v>
      </c>
      <c r="E331" s="96" t="s">
        <v>51</v>
      </c>
      <c r="F331" s="96" t="s">
        <v>95</v>
      </c>
      <c r="G331" s="93" t="s">
        <v>855</v>
      </c>
      <c r="H331" s="97">
        <v>2026</v>
      </c>
      <c r="I331" s="188"/>
      <c r="J331" s="185"/>
      <c r="K331" s="95"/>
    </row>
    <row r="332" spans="1:11" s="69" customFormat="1" ht="15" x14ac:dyDescent="0.2">
      <c r="A332" s="96" t="s">
        <v>856</v>
      </c>
      <c r="B332" s="72" t="s">
        <v>29</v>
      </c>
      <c r="C332" s="72" t="s">
        <v>29</v>
      </c>
      <c r="D332" s="93" t="s">
        <v>230</v>
      </c>
      <c r="E332" s="96" t="s">
        <v>51</v>
      </c>
      <c r="F332" s="96" t="s">
        <v>95</v>
      </c>
      <c r="G332" s="93" t="s">
        <v>857</v>
      </c>
      <c r="H332" s="97">
        <v>2026</v>
      </c>
      <c r="I332" s="188"/>
      <c r="J332" s="185"/>
      <c r="K332" s="95"/>
    </row>
    <row r="333" spans="1:11" s="69" customFormat="1" ht="15" x14ac:dyDescent="0.2">
      <c r="A333" s="96" t="s">
        <v>858</v>
      </c>
      <c r="B333" s="72" t="s">
        <v>29</v>
      </c>
      <c r="C333" s="72" t="s">
        <v>29</v>
      </c>
      <c r="D333" s="93" t="s">
        <v>230</v>
      </c>
      <c r="E333" s="96" t="s">
        <v>51</v>
      </c>
      <c r="F333" s="96" t="s">
        <v>859</v>
      </c>
      <c r="G333" s="93" t="s">
        <v>860</v>
      </c>
      <c r="H333" s="97">
        <v>2026</v>
      </c>
      <c r="I333" s="188"/>
      <c r="J333" s="185"/>
      <c r="K333" s="95"/>
    </row>
    <row r="334" spans="1:11" s="69" customFormat="1" ht="15" x14ac:dyDescent="0.2">
      <c r="A334" s="96" t="s">
        <v>861</v>
      </c>
      <c r="B334" s="72" t="s">
        <v>29</v>
      </c>
      <c r="C334" s="72" t="s">
        <v>29</v>
      </c>
      <c r="D334" s="93" t="s">
        <v>230</v>
      </c>
      <c r="E334" s="96" t="s">
        <v>51</v>
      </c>
      <c r="F334" s="96" t="s">
        <v>859</v>
      </c>
      <c r="G334" s="93" t="s">
        <v>862</v>
      </c>
      <c r="H334" s="97">
        <v>2026</v>
      </c>
      <c r="I334" s="188"/>
      <c r="J334" s="185"/>
      <c r="K334" s="95"/>
    </row>
    <row r="335" spans="1:11" s="69" customFormat="1" ht="75" x14ac:dyDescent="0.2">
      <c r="A335" s="93" t="s">
        <v>863</v>
      </c>
      <c r="B335" s="72" t="s">
        <v>29</v>
      </c>
      <c r="C335" s="72" t="s">
        <v>29</v>
      </c>
      <c r="D335" s="93" t="s">
        <v>230</v>
      </c>
      <c r="E335" s="96" t="s">
        <v>54</v>
      </c>
      <c r="F335" s="93" t="s">
        <v>227</v>
      </c>
      <c r="G335" s="93" t="s">
        <v>864</v>
      </c>
      <c r="H335" s="97">
        <v>2026</v>
      </c>
      <c r="I335" s="188"/>
      <c r="J335" s="185"/>
      <c r="K335" s="95"/>
    </row>
    <row r="336" spans="1:11" s="69" customFormat="1" ht="75" x14ac:dyDescent="0.2">
      <c r="A336" s="93" t="s">
        <v>865</v>
      </c>
      <c r="B336" s="72" t="s">
        <v>29</v>
      </c>
      <c r="C336" s="72" t="s">
        <v>29</v>
      </c>
      <c r="D336" s="93" t="s">
        <v>230</v>
      </c>
      <c r="E336" s="96" t="s">
        <v>54</v>
      </c>
      <c r="F336" s="93" t="s">
        <v>227</v>
      </c>
      <c r="G336" s="93" t="s">
        <v>866</v>
      </c>
      <c r="H336" s="97">
        <v>2026</v>
      </c>
      <c r="I336" s="188"/>
      <c r="J336" s="185"/>
      <c r="K336" s="95"/>
    </row>
    <row r="337" spans="1:11" s="69" customFormat="1" ht="75" x14ac:dyDescent="0.2">
      <c r="A337" s="93" t="s">
        <v>867</v>
      </c>
      <c r="B337" s="72" t="s">
        <v>29</v>
      </c>
      <c r="C337" s="72" t="s">
        <v>29</v>
      </c>
      <c r="D337" s="93" t="s">
        <v>230</v>
      </c>
      <c r="E337" s="96" t="s">
        <v>54</v>
      </c>
      <c r="F337" s="93" t="s">
        <v>227</v>
      </c>
      <c r="G337" s="93" t="s">
        <v>868</v>
      </c>
      <c r="H337" s="97">
        <v>2026</v>
      </c>
      <c r="I337" s="188"/>
      <c r="J337" s="185"/>
      <c r="K337" s="95"/>
    </row>
    <row r="338" spans="1:11" s="69" customFormat="1" ht="60" x14ac:dyDescent="0.2">
      <c r="A338" s="96" t="s">
        <v>869</v>
      </c>
      <c r="B338" s="72" t="s">
        <v>29</v>
      </c>
      <c r="C338" s="72" t="s">
        <v>29</v>
      </c>
      <c r="D338" s="93" t="s">
        <v>230</v>
      </c>
      <c r="E338" s="96" t="s">
        <v>37</v>
      </c>
      <c r="F338" s="96" t="s">
        <v>48</v>
      </c>
      <c r="G338" s="93" t="s">
        <v>870</v>
      </c>
      <c r="H338" s="97">
        <v>2026</v>
      </c>
      <c r="I338" s="188"/>
      <c r="J338" s="185"/>
      <c r="K338" s="95"/>
    </row>
    <row r="339" spans="1:11" s="69" customFormat="1" ht="45" x14ac:dyDescent="0.2">
      <c r="A339" s="93" t="s">
        <v>871</v>
      </c>
      <c r="B339" s="72" t="s">
        <v>29</v>
      </c>
      <c r="C339" s="72" t="s">
        <v>29</v>
      </c>
      <c r="D339" s="93" t="s">
        <v>230</v>
      </c>
      <c r="E339" s="96" t="s">
        <v>54</v>
      </c>
      <c r="F339" s="96" t="s">
        <v>200</v>
      </c>
      <c r="G339" s="93" t="s">
        <v>872</v>
      </c>
      <c r="H339" s="97">
        <v>2026</v>
      </c>
      <c r="I339" s="188"/>
      <c r="J339" s="185"/>
      <c r="K339" s="95"/>
    </row>
    <row r="340" spans="1:11" s="69" customFormat="1" ht="45" x14ac:dyDescent="0.2">
      <c r="A340" s="93" t="s">
        <v>873</v>
      </c>
      <c r="B340" s="72" t="s">
        <v>29</v>
      </c>
      <c r="C340" s="72" t="s">
        <v>29</v>
      </c>
      <c r="D340" s="93" t="s">
        <v>230</v>
      </c>
      <c r="E340" s="96" t="s">
        <v>54</v>
      </c>
      <c r="F340" s="96" t="s">
        <v>200</v>
      </c>
      <c r="G340" s="93" t="s">
        <v>874</v>
      </c>
      <c r="H340" s="97">
        <v>2026</v>
      </c>
      <c r="I340" s="188"/>
      <c r="J340" s="185"/>
      <c r="K340" s="95"/>
    </row>
    <row r="341" spans="1:11" s="69" customFormat="1" ht="90" x14ac:dyDescent="0.2">
      <c r="A341" s="93" t="s">
        <v>875</v>
      </c>
      <c r="B341" s="72" t="s">
        <v>29</v>
      </c>
      <c r="C341" s="72" t="s">
        <v>29</v>
      </c>
      <c r="D341" s="93" t="s">
        <v>230</v>
      </c>
      <c r="E341" s="96" t="s">
        <v>54</v>
      </c>
      <c r="F341" s="93" t="s">
        <v>200</v>
      </c>
      <c r="G341" s="93" t="s">
        <v>876</v>
      </c>
      <c r="H341" s="97">
        <v>2026</v>
      </c>
      <c r="I341" s="188"/>
      <c r="J341" s="185"/>
      <c r="K341" s="95"/>
    </row>
    <row r="342" spans="1:11" s="69" customFormat="1" ht="150" x14ac:dyDescent="0.2">
      <c r="A342" s="93" t="s">
        <v>877</v>
      </c>
      <c r="B342" s="72" t="s">
        <v>29</v>
      </c>
      <c r="C342" s="72" t="s">
        <v>29</v>
      </c>
      <c r="D342" s="93" t="s">
        <v>230</v>
      </c>
      <c r="E342" s="96" t="s">
        <v>54</v>
      </c>
      <c r="F342" s="93" t="s">
        <v>200</v>
      </c>
      <c r="G342" s="93" t="s">
        <v>878</v>
      </c>
      <c r="H342" s="97">
        <v>2026</v>
      </c>
      <c r="I342" s="188"/>
      <c r="J342" s="185"/>
      <c r="K342" s="95"/>
    </row>
    <row r="343" spans="1:11" s="69" customFormat="1" ht="75" x14ac:dyDescent="0.2">
      <c r="A343" s="93" t="s">
        <v>879</v>
      </c>
      <c r="B343" s="72" t="s">
        <v>29</v>
      </c>
      <c r="C343" s="72" t="s">
        <v>29</v>
      </c>
      <c r="D343" s="93" t="s">
        <v>230</v>
      </c>
      <c r="E343" s="96" t="s">
        <v>54</v>
      </c>
      <c r="F343" s="93" t="s">
        <v>798</v>
      </c>
      <c r="G343" s="93" t="s">
        <v>880</v>
      </c>
      <c r="H343" s="97">
        <v>2026</v>
      </c>
      <c r="I343" s="188"/>
      <c r="J343" s="185"/>
      <c r="K343" s="95"/>
    </row>
    <row r="344" spans="1:11" s="69" customFormat="1" ht="45" x14ac:dyDescent="0.2">
      <c r="A344" s="93" t="s">
        <v>881</v>
      </c>
      <c r="B344" s="72" t="s">
        <v>29</v>
      </c>
      <c r="C344" s="72" t="s">
        <v>29</v>
      </c>
      <c r="D344" s="93" t="s">
        <v>230</v>
      </c>
      <c r="E344" s="96" t="s">
        <v>54</v>
      </c>
      <c r="F344" s="93" t="s">
        <v>744</v>
      </c>
      <c r="G344" s="93" t="s">
        <v>882</v>
      </c>
      <c r="H344" s="97">
        <v>2026</v>
      </c>
      <c r="I344" s="188"/>
      <c r="J344" s="185"/>
      <c r="K344" s="95"/>
    </row>
    <row r="345" spans="1:11" s="69" customFormat="1" ht="15" x14ac:dyDescent="0.2">
      <c r="A345" s="74" t="s">
        <v>218</v>
      </c>
      <c r="B345" s="75" t="s">
        <v>218</v>
      </c>
      <c r="C345" s="75" t="s">
        <v>218</v>
      </c>
      <c r="D345" s="75" t="s">
        <v>257</v>
      </c>
      <c r="E345" s="74" t="s">
        <v>220</v>
      </c>
      <c r="F345" s="74" t="s">
        <v>221</v>
      </c>
      <c r="G345" s="74" t="s">
        <v>883</v>
      </c>
      <c r="H345" s="97">
        <v>2026</v>
      </c>
      <c r="I345" s="188"/>
      <c r="J345" s="185"/>
      <c r="K345" s="95"/>
    </row>
    <row r="346" spans="1:11" s="69" customFormat="1" ht="30" x14ac:dyDescent="0.2">
      <c r="A346" s="96" t="s">
        <v>884</v>
      </c>
      <c r="B346" s="72" t="s">
        <v>29</v>
      </c>
      <c r="C346" s="72" t="s">
        <v>29</v>
      </c>
      <c r="D346" s="96" t="s">
        <v>270</v>
      </c>
      <c r="E346" s="96" t="s">
        <v>54</v>
      </c>
      <c r="F346" s="96" t="s">
        <v>81</v>
      </c>
      <c r="G346" s="93" t="s">
        <v>550</v>
      </c>
      <c r="H346" s="97">
        <v>2026</v>
      </c>
      <c r="I346" s="188"/>
      <c r="J346" s="185"/>
      <c r="K346" s="95"/>
    </row>
    <row r="347" spans="1:11" s="52" customFormat="1" ht="30" x14ac:dyDescent="0.2">
      <c r="A347" s="96" t="s">
        <v>885</v>
      </c>
      <c r="B347" s="72" t="s">
        <v>29</v>
      </c>
      <c r="C347" s="72" t="s">
        <v>29</v>
      </c>
      <c r="D347" s="96" t="s">
        <v>270</v>
      </c>
      <c r="E347" s="96" t="s">
        <v>37</v>
      </c>
      <c r="F347" s="96" t="s">
        <v>299</v>
      </c>
      <c r="G347" s="93" t="s">
        <v>550</v>
      </c>
      <c r="H347" s="97">
        <v>2026</v>
      </c>
      <c r="I347" s="188"/>
      <c r="J347" s="185"/>
    </row>
    <row r="348" spans="1:11" s="52" customFormat="1" ht="30" x14ac:dyDescent="0.2">
      <c r="A348" s="96" t="s">
        <v>886</v>
      </c>
      <c r="B348" s="72" t="s">
        <v>29</v>
      </c>
      <c r="C348" s="72" t="s">
        <v>29</v>
      </c>
      <c r="D348" s="96" t="s">
        <v>270</v>
      </c>
      <c r="E348" s="96" t="s">
        <v>51</v>
      </c>
      <c r="F348" s="96" t="s">
        <v>95</v>
      </c>
      <c r="G348" s="93" t="s">
        <v>764</v>
      </c>
      <c r="H348" s="97">
        <v>2026</v>
      </c>
      <c r="I348" s="188"/>
      <c r="J348" s="185"/>
    </row>
    <row r="349" spans="1:11" ht="30" x14ac:dyDescent="0.2">
      <c r="A349" s="96" t="s">
        <v>887</v>
      </c>
      <c r="B349" s="93" t="s">
        <v>29</v>
      </c>
      <c r="C349" s="71" t="s">
        <v>30</v>
      </c>
      <c r="D349" s="93" t="s">
        <v>50</v>
      </c>
      <c r="E349" s="96" t="s">
        <v>54</v>
      </c>
      <c r="F349" s="96" t="s">
        <v>67</v>
      </c>
      <c r="G349" s="93" t="s">
        <v>888</v>
      </c>
      <c r="H349" s="97">
        <v>2024</v>
      </c>
      <c r="I349" s="188"/>
      <c r="J349" s="185"/>
    </row>
    <row r="350" spans="1:11" ht="30" x14ac:dyDescent="0.2">
      <c r="A350" s="96" t="s">
        <v>889</v>
      </c>
      <c r="B350" s="93" t="s">
        <v>29</v>
      </c>
      <c r="C350" s="71" t="s">
        <v>30</v>
      </c>
      <c r="D350" s="93" t="s">
        <v>50</v>
      </c>
      <c r="E350" s="96" t="s">
        <v>54</v>
      </c>
      <c r="F350" s="96" t="s">
        <v>67</v>
      </c>
      <c r="G350" s="93" t="s">
        <v>890</v>
      </c>
      <c r="H350" s="97">
        <v>2024</v>
      </c>
      <c r="I350" s="188"/>
      <c r="J350" s="185"/>
    </row>
  </sheetData>
  <sheetProtection formatCells="0" formatColumns="0" formatRows="0" selectLockedCells="1" sort="0" autoFilter="0" pivotTables="0"/>
  <autoFilter ref="A6:J350" xr:uid="{F02BDE05-E794-4EBF-92D7-653151E86EB9}"/>
  <sortState xmlns:xlrd2="http://schemas.microsoft.com/office/spreadsheetml/2017/richdata2" ref="A7:J348">
    <sortCondition ref="H7:H348"/>
    <sortCondition ref="D7:D348"/>
  </sortState>
  <mergeCells count="2">
    <mergeCell ref="A1:J1"/>
    <mergeCell ref="A2:J2"/>
  </mergeCells>
  <conditionalFormatting sqref="F30:F36">
    <cfRule type="expression" dxfId="1" priority="3">
      <formula>LEN(#REF!)&gt;0</formula>
    </cfRule>
  </conditionalFormatting>
  <conditionalFormatting sqref="F132">
    <cfRule type="expression" dxfId="0" priority="1">
      <formula>LEN(#REF!)&gt;0</formula>
    </cfRule>
  </conditionalFormatting>
  <printOptions horizontalCentered="1"/>
  <pageMargins left="0.75" right="0.75" top="1" bottom="1" header="0.5" footer="0.5"/>
  <pageSetup scale="49" fitToHeight="0" orientation="landscape" r:id="rId1"/>
  <headerFooter scaleWithDoc="0">
    <oddHeader>&amp;RPetitioner's Exhibit No. 2
Attachment  &amp;A
CEI North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E9FD-1219-4BEE-8F39-3A9E738D725E}">
  <sheetPr codeName="Sheet6">
    <pageSetUpPr fitToPage="1"/>
  </sheetPr>
  <dimension ref="A1:J340"/>
  <sheetViews>
    <sheetView view="pageBreakPreview" zoomScale="90" zoomScaleNormal="10" zoomScaleSheetLayoutView="90" zoomScalePageLayoutView="90" workbookViewId="0">
      <pane ySplit="6" topLeftCell="A7" activePane="bottomLeft" state="frozen"/>
      <selection activeCell="A134" sqref="A134"/>
      <selection pane="bottomLeft" activeCell="A7" sqref="A7"/>
    </sheetView>
  </sheetViews>
  <sheetFormatPr defaultColWidth="9.140625" defaultRowHeight="12.75" x14ac:dyDescent="0.2"/>
  <cols>
    <col min="1" max="1" width="16.5703125" style="48" bestFit="1" customWidth="1"/>
    <col min="2" max="3" width="17.42578125" style="49" bestFit="1" customWidth="1"/>
    <col min="4" max="4" width="11.7109375" style="48" customWidth="1"/>
    <col min="5" max="5" width="13" style="24" customWidth="1"/>
    <col min="6" max="6" width="19" style="24" bestFit="1" customWidth="1"/>
    <col min="7" max="7" width="47" style="24" customWidth="1"/>
    <col min="8" max="8" width="14.140625" style="48" customWidth="1"/>
    <col min="9" max="9" width="15.85546875" style="48" customWidth="1"/>
    <col min="10" max="10" width="15.85546875" style="48" bestFit="1" customWidth="1"/>
    <col min="11" max="16384" width="9.140625" style="22"/>
  </cols>
  <sheetData>
    <row r="1" spans="1:10" s="1" customFormat="1" ht="18" x14ac:dyDescent="0.25">
      <c r="A1" s="235" t="s">
        <v>1</v>
      </c>
      <c r="B1" s="235"/>
      <c r="C1" s="235"/>
      <c r="D1" s="235"/>
      <c r="E1" s="235"/>
      <c r="F1" s="235"/>
      <c r="G1" s="235"/>
      <c r="H1" s="235"/>
      <c r="I1" s="235"/>
      <c r="J1" s="235"/>
    </row>
    <row r="2" spans="1:10" s="1" customFormat="1" ht="18" x14ac:dyDescent="0.25">
      <c r="A2" s="235" t="s">
        <v>891</v>
      </c>
      <c r="B2" s="235"/>
      <c r="C2" s="235"/>
      <c r="D2" s="235"/>
      <c r="E2" s="235"/>
      <c r="F2" s="235"/>
      <c r="G2" s="235"/>
      <c r="H2" s="235"/>
      <c r="I2" s="235"/>
      <c r="J2" s="235"/>
    </row>
    <row r="3" spans="1:10" s="1" customFormat="1" ht="18" x14ac:dyDescent="0.2">
      <c r="A3" s="2"/>
      <c r="B3" s="3"/>
      <c r="C3" s="43"/>
      <c r="D3" s="7"/>
      <c r="E3" s="3"/>
      <c r="F3" s="43"/>
      <c r="G3" s="7"/>
      <c r="H3" s="3"/>
      <c r="I3" s="43"/>
      <c r="J3" s="7"/>
    </row>
    <row r="4" spans="1:10" s="1" customFormat="1" ht="18" x14ac:dyDescent="0.25">
      <c r="A4" s="10"/>
      <c r="B4" s="45"/>
      <c r="C4" s="9"/>
      <c r="D4" s="228"/>
      <c r="E4" s="46"/>
      <c r="F4" s="8"/>
      <c r="G4" s="8"/>
      <c r="H4" s="228"/>
      <c r="I4" s="228"/>
      <c r="J4" s="228"/>
    </row>
    <row r="5" spans="1:10" s="1" customFormat="1" ht="14.25" x14ac:dyDescent="0.2">
      <c r="A5" s="16"/>
      <c r="B5" s="17"/>
      <c r="D5" s="20"/>
      <c r="E5" s="9"/>
      <c r="F5" s="9"/>
      <c r="G5" s="9"/>
      <c r="H5" s="20"/>
      <c r="I5" s="20"/>
      <c r="J5" s="20"/>
    </row>
    <row r="6" spans="1:10" s="47" customFormat="1" ht="38.25" x14ac:dyDescent="0.25">
      <c r="A6" s="60" t="s">
        <v>19</v>
      </c>
      <c r="B6" s="60" t="s">
        <v>20</v>
      </c>
      <c r="C6" s="60" t="s">
        <v>21</v>
      </c>
      <c r="D6" s="60" t="s">
        <v>22</v>
      </c>
      <c r="E6" s="60" t="s">
        <v>23</v>
      </c>
      <c r="F6" s="60" t="s">
        <v>24</v>
      </c>
      <c r="G6" s="60" t="s">
        <v>25</v>
      </c>
      <c r="H6" s="60" t="s">
        <v>26</v>
      </c>
      <c r="I6" s="60" t="s">
        <v>27</v>
      </c>
      <c r="J6" s="61" t="s">
        <v>28</v>
      </c>
    </row>
    <row r="7" spans="1:10" ht="30" x14ac:dyDescent="0.2">
      <c r="A7" s="96" t="s">
        <v>892</v>
      </c>
      <c r="B7" s="93" t="s">
        <v>893</v>
      </c>
      <c r="C7" s="93" t="s">
        <v>894</v>
      </c>
      <c r="D7" s="96" t="s">
        <v>895</v>
      </c>
      <c r="E7" s="96" t="s">
        <v>51</v>
      </c>
      <c r="F7" s="96" t="s">
        <v>103</v>
      </c>
      <c r="G7" s="93" t="s">
        <v>896</v>
      </c>
      <c r="H7" s="97">
        <v>2022</v>
      </c>
      <c r="I7" s="188"/>
      <c r="J7" s="185"/>
    </row>
    <row r="8" spans="1:10" ht="30" x14ac:dyDescent="0.2">
      <c r="A8" s="96" t="s">
        <v>897</v>
      </c>
      <c r="B8" s="93" t="s">
        <v>898</v>
      </c>
      <c r="C8" s="93" t="s">
        <v>899</v>
      </c>
      <c r="D8" s="96" t="s">
        <v>895</v>
      </c>
      <c r="E8" s="96" t="s">
        <v>51</v>
      </c>
      <c r="F8" s="96" t="s">
        <v>74</v>
      </c>
      <c r="G8" s="93" t="s">
        <v>900</v>
      </c>
      <c r="H8" s="97">
        <v>2022</v>
      </c>
      <c r="I8" s="188"/>
      <c r="J8" s="185"/>
    </row>
    <row r="9" spans="1:10" ht="30" x14ac:dyDescent="0.2">
      <c r="A9" s="96" t="s">
        <v>901</v>
      </c>
      <c r="B9" s="93" t="s">
        <v>902</v>
      </c>
      <c r="C9" s="93" t="s">
        <v>903</v>
      </c>
      <c r="D9" s="96" t="s">
        <v>895</v>
      </c>
      <c r="E9" s="96" t="s">
        <v>51</v>
      </c>
      <c r="F9" s="96" t="s">
        <v>95</v>
      </c>
      <c r="G9" s="93" t="s">
        <v>904</v>
      </c>
      <c r="H9" s="97">
        <v>2022</v>
      </c>
      <c r="I9" s="188"/>
      <c r="J9" s="185"/>
    </row>
    <row r="10" spans="1:10" ht="30" x14ac:dyDescent="0.2">
      <c r="A10" s="96" t="s">
        <v>905</v>
      </c>
      <c r="B10" s="93" t="s">
        <v>906</v>
      </c>
      <c r="C10" s="93" t="s">
        <v>907</v>
      </c>
      <c r="D10" s="96" t="s">
        <v>895</v>
      </c>
      <c r="E10" s="96" t="s">
        <v>51</v>
      </c>
      <c r="F10" s="96" t="s">
        <v>95</v>
      </c>
      <c r="G10" s="93" t="s">
        <v>908</v>
      </c>
      <c r="H10" s="97">
        <v>2022</v>
      </c>
      <c r="I10" s="188"/>
      <c r="J10" s="185"/>
    </row>
    <row r="11" spans="1:10" ht="30" x14ac:dyDescent="0.2">
      <c r="A11" s="96" t="s">
        <v>909</v>
      </c>
      <c r="B11" s="93" t="s">
        <v>910</v>
      </c>
      <c r="C11" s="93" t="s">
        <v>911</v>
      </c>
      <c r="D11" s="96" t="s">
        <v>895</v>
      </c>
      <c r="E11" s="96" t="s">
        <v>51</v>
      </c>
      <c r="F11" s="96" t="s">
        <v>912</v>
      </c>
      <c r="G11" s="93" t="s">
        <v>913</v>
      </c>
      <c r="H11" s="97">
        <v>2022</v>
      </c>
      <c r="I11" s="188"/>
      <c r="J11" s="185"/>
    </row>
    <row r="12" spans="1:10" ht="30" x14ac:dyDescent="0.2">
      <c r="A12" s="96" t="s">
        <v>914</v>
      </c>
      <c r="B12" s="93" t="s">
        <v>915</v>
      </c>
      <c r="C12" s="93" t="s">
        <v>916</v>
      </c>
      <c r="D12" s="96" t="s">
        <v>895</v>
      </c>
      <c r="E12" s="96" t="s">
        <v>51</v>
      </c>
      <c r="F12" s="96" t="s">
        <v>917</v>
      </c>
      <c r="G12" s="93" t="s">
        <v>918</v>
      </c>
      <c r="H12" s="97">
        <v>2022</v>
      </c>
      <c r="I12" s="188"/>
      <c r="J12" s="185"/>
    </row>
    <row r="13" spans="1:10" ht="30" x14ac:dyDescent="0.2">
      <c r="A13" s="96" t="s">
        <v>919</v>
      </c>
      <c r="B13" s="93" t="s">
        <v>920</v>
      </c>
      <c r="C13" s="93" t="s">
        <v>921</v>
      </c>
      <c r="D13" s="96" t="s">
        <v>895</v>
      </c>
      <c r="E13" s="96" t="s">
        <v>51</v>
      </c>
      <c r="F13" s="96" t="s">
        <v>922</v>
      </c>
      <c r="G13" s="93" t="s">
        <v>923</v>
      </c>
      <c r="H13" s="97">
        <v>2022</v>
      </c>
      <c r="I13" s="188"/>
      <c r="J13" s="185"/>
    </row>
    <row r="14" spans="1:10" ht="30" x14ac:dyDescent="0.2">
      <c r="A14" s="96" t="s">
        <v>924</v>
      </c>
      <c r="B14" s="93" t="s">
        <v>925</v>
      </c>
      <c r="C14" s="93" t="s">
        <v>926</v>
      </c>
      <c r="D14" s="96" t="s">
        <v>895</v>
      </c>
      <c r="E14" s="96" t="s">
        <v>51</v>
      </c>
      <c r="F14" s="96" t="s">
        <v>927</v>
      </c>
      <c r="G14" s="93" t="s">
        <v>928</v>
      </c>
      <c r="H14" s="97">
        <v>2022</v>
      </c>
      <c r="I14" s="188"/>
      <c r="J14" s="185"/>
    </row>
    <row r="15" spans="1:10" ht="30" x14ac:dyDescent="0.2">
      <c r="A15" s="96" t="s">
        <v>929</v>
      </c>
      <c r="B15" s="93" t="s">
        <v>930</v>
      </c>
      <c r="C15" s="93" t="s">
        <v>931</v>
      </c>
      <c r="D15" s="96" t="s">
        <v>895</v>
      </c>
      <c r="E15" s="96" t="s">
        <v>51</v>
      </c>
      <c r="F15" s="96" t="s">
        <v>917</v>
      </c>
      <c r="G15" s="93" t="s">
        <v>932</v>
      </c>
      <c r="H15" s="97">
        <v>2022</v>
      </c>
      <c r="I15" s="188"/>
      <c r="J15" s="185"/>
    </row>
    <row r="16" spans="1:10" ht="30" x14ac:dyDescent="0.2">
      <c r="A16" s="96" t="s">
        <v>933</v>
      </c>
      <c r="B16" s="93" t="s">
        <v>934</v>
      </c>
      <c r="C16" s="93" t="s">
        <v>935</v>
      </c>
      <c r="D16" s="96" t="s">
        <v>895</v>
      </c>
      <c r="E16" s="96" t="s">
        <v>51</v>
      </c>
      <c r="F16" s="96" t="s">
        <v>917</v>
      </c>
      <c r="G16" s="93" t="s">
        <v>936</v>
      </c>
      <c r="H16" s="97">
        <v>2022</v>
      </c>
      <c r="I16" s="188"/>
      <c r="J16" s="185"/>
    </row>
    <row r="17" spans="1:10" ht="30" x14ac:dyDescent="0.2">
      <c r="A17" s="96" t="s">
        <v>937</v>
      </c>
      <c r="B17" s="93" t="s">
        <v>938</v>
      </c>
      <c r="C17" s="93" t="s">
        <v>939</v>
      </c>
      <c r="D17" s="96" t="s">
        <v>895</v>
      </c>
      <c r="E17" s="96" t="s">
        <v>51</v>
      </c>
      <c r="F17" s="96" t="s">
        <v>917</v>
      </c>
      <c r="G17" s="93" t="s">
        <v>940</v>
      </c>
      <c r="H17" s="97">
        <v>2022</v>
      </c>
      <c r="I17" s="188"/>
      <c r="J17" s="185"/>
    </row>
    <row r="18" spans="1:10" ht="30" x14ac:dyDescent="0.2">
      <c r="A18" s="96" t="s">
        <v>941</v>
      </c>
      <c r="B18" s="93" t="s">
        <v>942</v>
      </c>
      <c r="C18" s="93" t="s">
        <v>943</v>
      </c>
      <c r="D18" s="96" t="s">
        <v>895</v>
      </c>
      <c r="E18" s="96" t="s">
        <v>51</v>
      </c>
      <c r="F18" s="96" t="s">
        <v>103</v>
      </c>
      <c r="G18" s="93" t="s">
        <v>944</v>
      </c>
      <c r="H18" s="97">
        <v>2022</v>
      </c>
      <c r="I18" s="188"/>
      <c r="J18" s="185"/>
    </row>
    <row r="19" spans="1:10" ht="30" x14ac:dyDescent="0.2">
      <c r="A19" s="96" t="s">
        <v>945</v>
      </c>
      <c r="B19" s="93" t="s">
        <v>946</v>
      </c>
      <c r="C19" s="93" t="s">
        <v>947</v>
      </c>
      <c r="D19" s="96" t="s">
        <v>895</v>
      </c>
      <c r="E19" s="96" t="s">
        <v>51</v>
      </c>
      <c r="F19" s="96" t="s">
        <v>95</v>
      </c>
      <c r="G19" s="93" t="s">
        <v>948</v>
      </c>
      <c r="H19" s="97">
        <v>2022</v>
      </c>
      <c r="I19" s="188"/>
      <c r="J19" s="185"/>
    </row>
    <row r="20" spans="1:10" ht="45" x14ac:dyDescent="0.2">
      <c r="A20" s="96" t="s">
        <v>949</v>
      </c>
      <c r="B20" s="93" t="s">
        <v>950</v>
      </c>
      <c r="C20" s="93" t="s">
        <v>951</v>
      </c>
      <c r="D20" s="96" t="s">
        <v>895</v>
      </c>
      <c r="E20" s="96" t="s">
        <v>51</v>
      </c>
      <c r="F20" s="96" t="s">
        <v>859</v>
      </c>
      <c r="G20" s="93" t="s">
        <v>952</v>
      </c>
      <c r="H20" s="97">
        <v>2022</v>
      </c>
      <c r="I20" s="188"/>
      <c r="J20" s="185"/>
    </row>
    <row r="21" spans="1:10" ht="45" x14ac:dyDescent="0.2">
      <c r="A21" s="96" t="s">
        <v>953</v>
      </c>
      <c r="B21" s="93" t="s">
        <v>954</v>
      </c>
      <c r="C21" s="93" t="s">
        <v>955</v>
      </c>
      <c r="D21" s="96" t="s">
        <v>895</v>
      </c>
      <c r="E21" s="96" t="s">
        <v>51</v>
      </c>
      <c r="F21" s="96" t="s">
        <v>859</v>
      </c>
      <c r="G21" s="93" t="s">
        <v>956</v>
      </c>
      <c r="H21" s="97">
        <v>2022</v>
      </c>
      <c r="I21" s="188"/>
      <c r="J21" s="185"/>
    </row>
    <row r="22" spans="1:10" ht="30" x14ac:dyDescent="0.2">
      <c r="A22" s="96" t="s">
        <v>957</v>
      </c>
      <c r="B22" s="93" t="s">
        <v>958</v>
      </c>
      <c r="C22" s="93" t="s">
        <v>959</v>
      </c>
      <c r="D22" s="96" t="s">
        <v>895</v>
      </c>
      <c r="E22" s="96" t="s">
        <v>51</v>
      </c>
      <c r="F22" s="96" t="s">
        <v>74</v>
      </c>
      <c r="G22" s="93" t="s">
        <v>960</v>
      </c>
      <c r="H22" s="97">
        <v>2022</v>
      </c>
      <c r="I22" s="188"/>
      <c r="J22" s="185"/>
    </row>
    <row r="23" spans="1:10" ht="30" x14ac:dyDescent="0.2">
      <c r="A23" s="96" t="s">
        <v>961</v>
      </c>
      <c r="B23" s="93" t="s">
        <v>962</v>
      </c>
      <c r="C23" s="93" t="s">
        <v>963</v>
      </c>
      <c r="D23" s="96" t="s">
        <v>895</v>
      </c>
      <c r="E23" s="96" t="s">
        <v>51</v>
      </c>
      <c r="F23" s="96" t="s">
        <v>964</v>
      </c>
      <c r="G23" s="93" t="s">
        <v>965</v>
      </c>
      <c r="H23" s="97">
        <v>2022</v>
      </c>
      <c r="I23" s="188"/>
      <c r="J23" s="185"/>
    </row>
    <row r="24" spans="1:10" ht="30" x14ac:dyDescent="0.2">
      <c r="A24" s="96" t="s">
        <v>966</v>
      </c>
      <c r="B24" s="93" t="s">
        <v>967</v>
      </c>
      <c r="C24" s="93" t="s">
        <v>968</v>
      </c>
      <c r="D24" s="96" t="s">
        <v>895</v>
      </c>
      <c r="E24" s="96" t="s">
        <v>51</v>
      </c>
      <c r="F24" s="96" t="s">
        <v>964</v>
      </c>
      <c r="G24" s="93" t="s">
        <v>969</v>
      </c>
      <c r="H24" s="97">
        <v>2022</v>
      </c>
      <c r="I24" s="188"/>
      <c r="J24" s="185"/>
    </row>
    <row r="25" spans="1:10" ht="30" x14ac:dyDescent="0.2">
      <c r="A25" s="96" t="s">
        <v>970</v>
      </c>
      <c r="B25" s="93" t="s">
        <v>971</v>
      </c>
      <c r="C25" s="93" t="s">
        <v>972</v>
      </c>
      <c r="D25" s="96" t="s">
        <v>895</v>
      </c>
      <c r="E25" s="96" t="s">
        <v>51</v>
      </c>
      <c r="F25" s="96" t="s">
        <v>52</v>
      </c>
      <c r="G25" s="93" t="s">
        <v>973</v>
      </c>
      <c r="H25" s="97">
        <v>2022</v>
      </c>
      <c r="I25" s="188"/>
      <c r="J25" s="185"/>
    </row>
    <row r="26" spans="1:10" ht="30" x14ac:dyDescent="0.2">
      <c r="A26" s="96" t="s">
        <v>974</v>
      </c>
      <c r="B26" s="93" t="s">
        <v>975</v>
      </c>
      <c r="C26" s="93" t="s">
        <v>976</v>
      </c>
      <c r="D26" s="96" t="s">
        <v>895</v>
      </c>
      <c r="E26" s="96" t="s">
        <v>51</v>
      </c>
      <c r="F26" s="96" t="s">
        <v>52</v>
      </c>
      <c r="G26" s="93" t="s">
        <v>977</v>
      </c>
      <c r="H26" s="97">
        <v>2022</v>
      </c>
      <c r="I26" s="188"/>
      <c r="J26" s="185"/>
    </row>
    <row r="27" spans="1:10" ht="30" x14ac:dyDescent="0.2">
      <c r="A27" s="96" t="s">
        <v>978</v>
      </c>
      <c r="B27" s="93" t="s">
        <v>979</v>
      </c>
      <c r="C27" s="93" t="s">
        <v>980</v>
      </c>
      <c r="D27" s="96" t="s">
        <v>895</v>
      </c>
      <c r="E27" s="96" t="s">
        <v>51</v>
      </c>
      <c r="F27" s="96" t="s">
        <v>52</v>
      </c>
      <c r="G27" s="93" t="s">
        <v>981</v>
      </c>
      <c r="H27" s="97">
        <v>2022</v>
      </c>
      <c r="I27" s="188"/>
      <c r="J27" s="185"/>
    </row>
    <row r="28" spans="1:10" ht="30" x14ac:dyDescent="0.2">
      <c r="A28" s="96" t="s">
        <v>982</v>
      </c>
      <c r="B28" s="93" t="s">
        <v>983</v>
      </c>
      <c r="C28" s="93" t="s">
        <v>984</v>
      </c>
      <c r="D28" s="96" t="s">
        <v>895</v>
      </c>
      <c r="E28" s="96" t="s">
        <v>37</v>
      </c>
      <c r="F28" s="96" t="s">
        <v>156</v>
      </c>
      <c r="G28" s="93" t="s">
        <v>985</v>
      </c>
      <c r="H28" s="97">
        <v>2022</v>
      </c>
      <c r="I28" s="188"/>
      <c r="J28" s="185"/>
    </row>
    <row r="29" spans="1:10" ht="30" x14ac:dyDescent="0.2">
      <c r="A29" s="96" t="s">
        <v>986</v>
      </c>
      <c r="B29" s="93" t="s">
        <v>987</v>
      </c>
      <c r="C29" s="93" t="s">
        <v>988</v>
      </c>
      <c r="D29" s="96" t="s">
        <v>895</v>
      </c>
      <c r="E29" s="96" t="s">
        <v>37</v>
      </c>
      <c r="F29" s="96" t="s">
        <v>156</v>
      </c>
      <c r="G29" s="93" t="s">
        <v>989</v>
      </c>
      <c r="H29" s="97">
        <v>2022</v>
      </c>
      <c r="I29" s="188"/>
      <c r="J29" s="185"/>
    </row>
    <row r="30" spans="1:10" ht="30" x14ac:dyDescent="0.2">
      <c r="A30" s="96" t="s">
        <v>990</v>
      </c>
      <c r="B30" s="93" t="s">
        <v>991</v>
      </c>
      <c r="C30" s="93" t="s">
        <v>992</v>
      </c>
      <c r="D30" s="96" t="s">
        <v>895</v>
      </c>
      <c r="E30" s="96" t="s">
        <v>51</v>
      </c>
      <c r="F30" s="96" t="s">
        <v>74</v>
      </c>
      <c r="G30" s="93" t="s">
        <v>993</v>
      </c>
      <c r="H30" s="97">
        <v>2022</v>
      </c>
      <c r="I30" s="188"/>
      <c r="J30" s="185"/>
    </row>
    <row r="31" spans="1:10" ht="30" x14ac:dyDescent="0.2">
      <c r="A31" s="96" t="s">
        <v>994</v>
      </c>
      <c r="B31" s="93" t="s">
        <v>995</v>
      </c>
      <c r="C31" s="93" t="s">
        <v>996</v>
      </c>
      <c r="D31" s="96" t="s">
        <v>895</v>
      </c>
      <c r="E31" s="96" t="s">
        <v>51</v>
      </c>
      <c r="F31" s="96" t="s">
        <v>74</v>
      </c>
      <c r="G31" s="93" t="s">
        <v>997</v>
      </c>
      <c r="H31" s="97">
        <v>2022</v>
      </c>
      <c r="I31" s="188"/>
      <c r="J31" s="185"/>
    </row>
    <row r="32" spans="1:10" ht="30" x14ac:dyDescent="0.2">
      <c r="A32" s="96" t="s">
        <v>998</v>
      </c>
      <c r="B32" s="93" t="s">
        <v>999</v>
      </c>
      <c r="C32" s="93" t="s">
        <v>1000</v>
      </c>
      <c r="D32" s="96" t="s">
        <v>895</v>
      </c>
      <c r="E32" s="96" t="s">
        <v>51</v>
      </c>
      <c r="F32" s="96" t="s">
        <v>74</v>
      </c>
      <c r="G32" s="93" t="s">
        <v>1001</v>
      </c>
      <c r="H32" s="97">
        <v>2022</v>
      </c>
      <c r="I32" s="188"/>
      <c r="J32" s="185"/>
    </row>
    <row r="33" spans="1:10" ht="30" x14ac:dyDescent="0.2">
      <c r="A33" s="96" t="s">
        <v>1002</v>
      </c>
      <c r="B33" s="93" t="s">
        <v>1003</v>
      </c>
      <c r="C33" s="93" t="s">
        <v>1004</v>
      </c>
      <c r="D33" s="96" t="s">
        <v>895</v>
      </c>
      <c r="E33" s="96" t="s">
        <v>51</v>
      </c>
      <c r="F33" s="96" t="s">
        <v>1005</v>
      </c>
      <c r="G33" s="93" t="s">
        <v>1006</v>
      </c>
      <c r="H33" s="97">
        <v>2022</v>
      </c>
      <c r="I33" s="188"/>
      <c r="J33" s="185"/>
    </row>
    <row r="34" spans="1:10" ht="45" x14ac:dyDescent="0.2">
      <c r="A34" s="96" t="s">
        <v>1007</v>
      </c>
      <c r="B34" s="93" t="s">
        <v>1008</v>
      </c>
      <c r="C34" s="93" t="s">
        <v>1009</v>
      </c>
      <c r="D34" s="96" t="s">
        <v>895</v>
      </c>
      <c r="E34" s="96" t="s">
        <v>51</v>
      </c>
      <c r="F34" s="96" t="s">
        <v>1010</v>
      </c>
      <c r="G34" s="93" t="s">
        <v>1011</v>
      </c>
      <c r="H34" s="97">
        <v>2022</v>
      </c>
      <c r="I34" s="188"/>
      <c r="J34" s="185"/>
    </row>
    <row r="35" spans="1:10" ht="30" x14ac:dyDescent="0.2">
      <c r="A35" s="96" t="s">
        <v>1012</v>
      </c>
      <c r="B35" s="93" t="s">
        <v>1013</v>
      </c>
      <c r="C35" s="93" t="s">
        <v>1014</v>
      </c>
      <c r="D35" s="96" t="s">
        <v>895</v>
      </c>
      <c r="E35" s="96" t="s">
        <v>51</v>
      </c>
      <c r="F35" s="96" t="s">
        <v>1015</v>
      </c>
      <c r="G35" s="93" t="s">
        <v>1016</v>
      </c>
      <c r="H35" s="97">
        <v>2022</v>
      </c>
      <c r="I35" s="188"/>
      <c r="J35" s="185"/>
    </row>
    <row r="36" spans="1:10" ht="30" x14ac:dyDescent="0.2">
      <c r="A36" s="96" t="s">
        <v>1017</v>
      </c>
      <c r="B36" s="93" t="s">
        <v>1018</v>
      </c>
      <c r="C36" s="93" t="s">
        <v>1019</v>
      </c>
      <c r="D36" s="96" t="s">
        <v>895</v>
      </c>
      <c r="E36" s="96" t="s">
        <v>51</v>
      </c>
      <c r="F36" s="96" t="s">
        <v>103</v>
      </c>
      <c r="G36" s="93" t="s">
        <v>1020</v>
      </c>
      <c r="H36" s="97">
        <v>2022</v>
      </c>
      <c r="I36" s="188"/>
      <c r="J36" s="185"/>
    </row>
    <row r="37" spans="1:10" ht="30" x14ac:dyDescent="0.2">
      <c r="A37" s="96" t="s">
        <v>1021</v>
      </c>
      <c r="B37" s="93" t="s">
        <v>1022</v>
      </c>
      <c r="C37" s="93" t="s">
        <v>1023</v>
      </c>
      <c r="D37" s="96" t="s">
        <v>895</v>
      </c>
      <c r="E37" s="96" t="s">
        <v>51</v>
      </c>
      <c r="F37" s="96" t="s">
        <v>103</v>
      </c>
      <c r="G37" s="93" t="s">
        <v>1024</v>
      </c>
      <c r="H37" s="97">
        <v>2022</v>
      </c>
      <c r="I37" s="188"/>
      <c r="J37" s="185"/>
    </row>
    <row r="38" spans="1:10" ht="30" x14ac:dyDescent="0.2">
      <c r="A38" s="96" t="s">
        <v>1025</v>
      </c>
      <c r="B38" s="93" t="s">
        <v>1026</v>
      </c>
      <c r="C38" s="93" t="s">
        <v>1027</v>
      </c>
      <c r="D38" s="96" t="s">
        <v>895</v>
      </c>
      <c r="E38" s="96" t="s">
        <v>51</v>
      </c>
      <c r="F38" s="96" t="s">
        <v>95</v>
      </c>
      <c r="G38" s="93" t="s">
        <v>1028</v>
      </c>
      <c r="H38" s="97">
        <v>2022</v>
      </c>
      <c r="I38" s="188"/>
      <c r="J38" s="185"/>
    </row>
    <row r="39" spans="1:10" ht="30" x14ac:dyDescent="0.2">
      <c r="A39" s="96" t="s">
        <v>1029</v>
      </c>
      <c r="B39" s="93" t="s">
        <v>1030</v>
      </c>
      <c r="C39" s="93" t="s">
        <v>1031</v>
      </c>
      <c r="D39" s="96" t="s">
        <v>895</v>
      </c>
      <c r="E39" s="96" t="s">
        <v>51</v>
      </c>
      <c r="F39" s="96" t="s">
        <v>95</v>
      </c>
      <c r="G39" s="93" t="s">
        <v>1032</v>
      </c>
      <c r="H39" s="97">
        <v>2022</v>
      </c>
      <c r="I39" s="188"/>
      <c r="J39" s="185"/>
    </row>
    <row r="40" spans="1:10" ht="30" x14ac:dyDescent="0.2">
      <c r="A40" s="96" t="s">
        <v>1033</v>
      </c>
      <c r="B40" s="93" t="s">
        <v>1034</v>
      </c>
      <c r="C40" s="93" t="s">
        <v>1035</v>
      </c>
      <c r="D40" s="96" t="s">
        <v>895</v>
      </c>
      <c r="E40" s="96" t="s">
        <v>51</v>
      </c>
      <c r="F40" s="96" t="s">
        <v>1036</v>
      </c>
      <c r="G40" s="93" t="s">
        <v>1037</v>
      </c>
      <c r="H40" s="97">
        <v>2022</v>
      </c>
      <c r="I40" s="188"/>
      <c r="J40" s="185"/>
    </row>
    <row r="41" spans="1:10" ht="45" x14ac:dyDescent="0.2">
      <c r="A41" s="96" t="s">
        <v>1038</v>
      </c>
      <c r="B41" s="93" t="s">
        <v>1039</v>
      </c>
      <c r="C41" s="93" t="s">
        <v>1040</v>
      </c>
      <c r="D41" s="96" t="s">
        <v>895</v>
      </c>
      <c r="E41" s="96" t="s">
        <v>51</v>
      </c>
      <c r="F41" s="96" t="s">
        <v>178</v>
      </c>
      <c r="G41" s="93" t="s">
        <v>1041</v>
      </c>
      <c r="H41" s="97">
        <v>2022</v>
      </c>
      <c r="I41" s="188"/>
      <c r="J41" s="185"/>
    </row>
    <row r="42" spans="1:10" ht="30" x14ac:dyDescent="0.2">
      <c r="A42" s="96" t="s">
        <v>1042</v>
      </c>
      <c r="B42" s="93" t="s">
        <v>1043</v>
      </c>
      <c r="C42" s="93" t="s">
        <v>1044</v>
      </c>
      <c r="D42" s="96" t="s">
        <v>895</v>
      </c>
      <c r="E42" s="96" t="s">
        <v>51</v>
      </c>
      <c r="F42" s="96" t="s">
        <v>52</v>
      </c>
      <c r="G42" s="93" t="s">
        <v>1045</v>
      </c>
      <c r="H42" s="97">
        <v>2022</v>
      </c>
      <c r="I42" s="188"/>
      <c r="J42" s="185"/>
    </row>
    <row r="43" spans="1:10" ht="30" x14ac:dyDescent="0.2">
      <c r="A43" s="96" t="s">
        <v>1046</v>
      </c>
      <c r="B43" s="93" t="s">
        <v>1047</v>
      </c>
      <c r="C43" s="93" t="s">
        <v>1048</v>
      </c>
      <c r="D43" s="96" t="s">
        <v>895</v>
      </c>
      <c r="E43" s="96" t="s">
        <v>51</v>
      </c>
      <c r="F43" s="96" t="s">
        <v>74</v>
      </c>
      <c r="G43" s="93" t="s">
        <v>1049</v>
      </c>
      <c r="H43" s="97">
        <v>2022</v>
      </c>
      <c r="I43" s="188"/>
      <c r="J43" s="185"/>
    </row>
    <row r="44" spans="1:10" ht="30" x14ac:dyDescent="0.2">
      <c r="A44" s="96" t="s">
        <v>1050</v>
      </c>
      <c r="B44" s="93" t="s">
        <v>1051</v>
      </c>
      <c r="C44" s="93" t="s">
        <v>1052</v>
      </c>
      <c r="D44" s="96" t="s">
        <v>895</v>
      </c>
      <c r="E44" s="96" t="s">
        <v>51</v>
      </c>
      <c r="F44" s="96" t="s">
        <v>74</v>
      </c>
      <c r="G44" s="93" t="s">
        <v>1053</v>
      </c>
      <c r="H44" s="97">
        <v>2022</v>
      </c>
      <c r="I44" s="188"/>
      <c r="J44" s="185"/>
    </row>
    <row r="45" spans="1:10" ht="30" x14ac:dyDescent="0.2">
      <c r="A45" s="96" t="s">
        <v>1054</v>
      </c>
      <c r="B45" s="93" t="s">
        <v>1055</v>
      </c>
      <c r="C45" s="93" t="s">
        <v>1056</v>
      </c>
      <c r="D45" s="96" t="s">
        <v>895</v>
      </c>
      <c r="E45" s="96" t="s">
        <v>51</v>
      </c>
      <c r="F45" s="96" t="s">
        <v>103</v>
      </c>
      <c r="G45" s="93" t="s">
        <v>1057</v>
      </c>
      <c r="H45" s="97">
        <v>2022</v>
      </c>
      <c r="I45" s="188"/>
      <c r="J45" s="185"/>
    </row>
    <row r="46" spans="1:10" ht="45" x14ac:dyDescent="0.2">
      <c r="A46" s="96" t="s">
        <v>1058</v>
      </c>
      <c r="B46" s="93" t="s">
        <v>1059</v>
      </c>
      <c r="C46" s="93" t="s">
        <v>1060</v>
      </c>
      <c r="D46" s="96" t="s">
        <v>895</v>
      </c>
      <c r="E46" s="96" t="s">
        <v>54</v>
      </c>
      <c r="F46" s="96" t="s">
        <v>200</v>
      </c>
      <c r="G46" s="93" t="s">
        <v>1061</v>
      </c>
      <c r="H46" s="97">
        <v>2022</v>
      </c>
      <c r="I46" s="188"/>
      <c r="J46" s="185"/>
    </row>
    <row r="47" spans="1:10" ht="45" x14ac:dyDescent="0.2">
      <c r="A47" s="96" t="s">
        <v>1062</v>
      </c>
      <c r="B47" s="93" t="s">
        <v>1063</v>
      </c>
      <c r="C47" s="93" t="s">
        <v>1064</v>
      </c>
      <c r="D47" s="96" t="s">
        <v>895</v>
      </c>
      <c r="E47" s="96" t="s">
        <v>54</v>
      </c>
      <c r="F47" s="96" t="s">
        <v>200</v>
      </c>
      <c r="G47" s="93" t="s">
        <v>1065</v>
      </c>
      <c r="H47" s="97">
        <v>2022</v>
      </c>
      <c r="I47" s="188"/>
      <c r="J47" s="185"/>
    </row>
    <row r="48" spans="1:10" ht="30" x14ac:dyDescent="0.2">
      <c r="A48" s="96" t="s">
        <v>1066</v>
      </c>
      <c r="B48" s="93" t="s">
        <v>1067</v>
      </c>
      <c r="C48" s="93" t="s">
        <v>1068</v>
      </c>
      <c r="D48" s="96" t="s">
        <v>895</v>
      </c>
      <c r="E48" s="96" t="s">
        <v>51</v>
      </c>
      <c r="F48" s="96" t="s">
        <v>103</v>
      </c>
      <c r="G48" s="93" t="s">
        <v>1069</v>
      </c>
      <c r="H48" s="97">
        <v>2022</v>
      </c>
      <c r="I48" s="188"/>
      <c r="J48" s="185"/>
    </row>
    <row r="49" spans="1:10" ht="30" x14ac:dyDescent="0.2">
      <c r="A49" s="96" t="s">
        <v>1070</v>
      </c>
      <c r="B49" s="93" t="s">
        <v>1071</v>
      </c>
      <c r="C49" s="93" t="s">
        <v>1072</v>
      </c>
      <c r="D49" s="96" t="s">
        <v>895</v>
      </c>
      <c r="E49" s="96" t="s">
        <v>51</v>
      </c>
      <c r="F49" s="96" t="s">
        <v>922</v>
      </c>
      <c r="G49" s="93" t="s">
        <v>1073</v>
      </c>
      <c r="H49" s="97">
        <v>2022</v>
      </c>
      <c r="I49" s="188"/>
      <c r="J49" s="185"/>
    </row>
    <row r="50" spans="1:10" ht="30" x14ac:dyDescent="0.2">
      <c r="A50" s="96" t="s">
        <v>1074</v>
      </c>
      <c r="B50" s="93" t="s">
        <v>1075</v>
      </c>
      <c r="C50" s="93" t="s">
        <v>1076</v>
      </c>
      <c r="D50" s="96" t="s">
        <v>895</v>
      </c>
      <c r="E50" s="96" t="s">
        <v>51</v>
      </c>
      <c r="F50" s="96" t="s">
        <v>393</v>
      </c>
      <c r="G50" s="93" t="s">
        <v>1077</v>
      </c>
      <c r="H50" s="97">
        <v>2022</v>
      </c>
      <c r="I50" s="188"/>
      <c r="J50" s="185"/>
    </row>
    <row r="51" spans="1:10" ht="30" x14ac:dyDescent="0.2">
      <c r="A51" s="96" t="s">
        <v>1078</v>
      </c>
      <c r="B51" s="93" t="s">
        <v>1079</v>
      </c>
      <c r="C51" s="93" t="s">
        <v>1080</v>
      </c>
      <c r="D51" s="96" t="s">
        <v>895</v>
      </c>
      <c r="E51" s="96" t="s">
        <v>51</v>
      </c>
      <c r="F51" s="96" t="s">
        <v>95</v>
      </c>
      <c r="G51" s="93" t="s">
        <v>1081</v>
      </c>
      <c r="H51" s="97">
        <v>2022</v>
      </c>
      <c r="I51" s="188"/>
      <c r="J51" s="185"/>
    </row>
    <row r="52" spans="1:10" ht="30" x14ac:dyDescent="0.2">
      <c r="A52" s="96" t="s">
        <v>1082</v>
      </c>
      <c r="B52" s="93" t="s">
        <v>1083</v>
      </c>
      <c r="C52" s="93" t="s">
        <v>1084</v>
      </c>
      <c r="D52" s="96" t="s">
        <v>895</v>
      </c>
      <c r="E52" s="96" t="s">
        <v>51</v>
      </c>
      <c r="F52" s="96" t="s">
        <v>95</v>
      </c>
      <c r="G52" s="93" t="s">
        <v>1085</v>
      </c>
      <c r="H52" s="97">
        <v>2022</v>
      </c>
      <c r="I52" s="188"/>
      <c r="J52" s="185"/>
    </row>
    <row r="53" spans="1:10" ht="30" x14ac:dyDescent="0.2">
      <c r="A53" s="96" t="s">
        <v>1086</v>
      </c>
      <c r="B53" s="93" t="s">
        <v>1087</v>
      </c>
      <c r="C53" s="93" t="s">
        <v>1088</v>
      </c>
      <c r="D53" s="96" t="s">
        <v>895</v>
      </c>
      <c r="E53" s="96" t="s">
        <v>51</v>
      </c>
      <c r="F53" s="96" t="s">
        <v>95</v>
      </c>
      <c r="G53" s="93" t="s">
        <v>1089</v>
      </c>
      <c r="H53" s="97">
        <v>2022</v>
      </c>
      <c r="I53" s="188"/>
      <c r="J53" s="185"/>
    </row>
    <row r="54" spans="1:10" ht="30" x14ac:dyDescent="0.2">
      <c r="A54" s="96" t="s">
        <v>1090</v>
      </c>
      <c r="B54" s="93" t="s">
        <v>1091</v>
      </c>
      <c r="C54" s="93" t="s">
        <v>1092</v>
      </c>
      <c r="D54" s="96" t="s">
        <v>895</v>
      </c>
      <c r="E54" s="96" t="s">
        <v>54</v>
      </c>
      <c r="F54" s="96" t="s">
        <v>59</v>
      </c>
      <c r="G54" s="93" t="s">
        <v>1093</v>
      </c>
      <c r="H54" s="97">
        <v>2022</v>
      </c>
      <c r="I54" s="188"/>
      <c r="J54" s="185"/>
    </row>
    <row r="55" spans="1:10" ht="30" x14ac:dyDescent="0.2">
      <c r="A55" s="96" t="s">
        <v>1094</v>
      </c>
      <c r="B55" s="93" t="s">
        <v>1095</v>
      </c>
      <c r="C55" s="93" t="s">
        <v>1096</v>
      </c>
      <c r="D55" s="96" t="s">
        <v>895</v>
      </c>
      <c r="E55" s="96" t="s">
        <v>54</v>
      </c>
      <c r="F55" s="96" t="s">
        <v>59</v>
      </c>
      <c r="G55" s="93" t="s">
        <v>1097</v>
      </c>
      <c r="H55" s="97">
        <v>2022</v>
      </c>
      <c r="I55" s="188"/>
      <c r="J55" s="185"/>
    </row>
    <row r="56" spans="1:10" ht="30" x14ac:dyDescent="0.2">
      <c r="A56" s="96" t="s">
        <v>1098</v>
      </c>
      <c r="B56" s="93" t="s">
        <v>1099</v>
      </c>
      <c r="C56" s="93" t="s">
        <v>1100</v>
      </c>
      <c r="D56" s="96" t="s">
        <v>895</v>
      </c>
      <c r="E56" s="96" t="s">
        <v>54</v>
      </c>
      <c r="F56" s="96" t="s">
        <v>1101</v>
      </c>
      <c r="G56" s="93" t="s">
        <v>1102</v>
      </c>
      <c r="H56" s="97">
        <v>2022</v>
      </c>
      <c r="I56" s="188"/>
      <c r="J56" s="185"/>
    </row>
    <row r="57" spans="1:10" ht="30" x14ac:dyDescent="0.2">
      <c r="A57" s="96" t="s">
        <v>1103</v>
      </c>
      <c r="B57" s="93" t="s">
        <v>1104</v>
      </c>
      <c r="C57" s="93" t="s">
        <v>1105</v>
      </c>
      <c r="D57" s="96" t="s">
        <v>895</v>
      </c>
      <c r="E57" s="96" t="s">
        <v>54</v>
      </c>
      <c r="F57" s="96" t="s">
        <v>67</v>
      </c>
      <c r="G57" s="93" t="s">
        <v>1106</v>
      </c>
      <c r="H57" s="97">
        <v>2022</v>
      </c>
      <c r="I57" s="188"/>
      <c r="J57" s="185"/>
    </row>
    <row r="58" spans="1:10" ht="30" x14ac:dyDescent="0.2">
      <c r="A58" s="96" t="s">
        <v>1107</v>
      </c>
      <c r="B58" s="93" t="s">
        <v>1108</v>
      </c>
      <c r="C58" s="93" t="s">
        <v>1109</v>
      </c>
      <c r="D58" s="96" t="s">
        <v>895</v>
      </c>
      <c r="E58" s="96" t="s">
        <v>54</v>
      </c>
      <c r="F58" s="96" t="s">
        <v>67</v>
      </c>
      <c r="G58" s="93" t="s">
        <v>1110</v>
      </c>
      <c r="H58" s="97">
        <v>2022</v>
      </c>
      <c r="I58" s="188"/>
      <c r="J58" s="185"/>
    </row>
    <row r="59" spans="1:10" ht="30" x14ac:dyDescent="0.2">
      <c r="A59" s="96" t="s">
        <v>1111</v>
      </c>
      <c r="B59" s="93" t="s">
        <v>1112</v>
      </c>
      <c r="C59" s="93" t="s">
        <v>1113</v>
      </c>
      <c r="D59" s="96" t="s">
        <v>895</v>
      </c>
      <c r="E59" s="96" t="s">
        <v>54</v>
      </c>
      <c r="F59" s="96" t="s">
        <v>67</v>
      </c>
      <c r="G59" s="93" t="s">
        <v>1114</v>
      </c>
      <c r="H59" s="97">
        <v>2022</v>
      </c>
      <c r="I59" s="188"/>
      <c r="J59" s="185"/>
    </row>
    <row r="60" spans="1:10" ht="30" x14ac:dyDescent="0.2">
      <c r="A60" s="96" t="s">
        <v>1115</v>
      </c>
      <c r="B60" s="93" t="s">
        <v>1116</v>
      </c>
      <c r="C60" s="93" t="s">
        <v>1117</v>
      </c>
      <c r="D60" s="96" t="s">
        <v>895</v>
      </c>
      <c r="E60" s="96" t="s">
        <v>37</v>
      </c>
      <c r="F60" s="96" t="s">
        <v>156</v>
      </c>
      <c r="G60" s="93" t="s">
        <v>1118</v>
      </c>
      <c r="H60" s="97">
        <v>2022</v>
      </c>
      <c r="I60" s="188"/>
      <c r="J60" s="185"/>
    </row>
    <row r="61" spans="1:10" ht="45" x14ac:dyDescent="0.2">
      <c r="A61" s="96" t="s">
        <v>1119</v>
      </c>
      <c r="B61" s="93" t="s">
        <v>1120</v>
      </c>
      <c r="C61" s="93" t="s">
        <v>1121</v>
      </c>
      <c r="D61" s="96" t="s">
        <v>895</v>
      </c>
      <c r="E61" s="96" t="s">
        <v>37</v>
      </c>
      <c r="F61" s="96" t="s">
        <v>721</v>
      </c>
      <c r="G61" s="93" t="s">
        <v>1122</v>
      </c>
      <c r="H61" s="97">
        <v>2022</v>
      </c>
      <c r="I61" s="188"/>
      <c r="J61" s="185"/>
    </row>
    <row r="62" spans="1:10" ht="30" x14ac:dyDescent="0.2">
      <c r="A62" s="96" t="s">
        <v>1123</v>
      </c>
      <c r="B62" s="93" t="s">
        <v>1124</v>
      </c>
      <c r="C62" s="93" t="s">
        <v>1125</v>
      </c>
      <c r="D62" s="96" t="s">
        <v>895</v>
      </c>
      <c r="E62" s="96" t="s">
        <v>37</v>
      </c>
      <c r="F62" s="96" t="s">
        <v>206</v>
      </c>
      <c r="G62" s="93" t="s">
        <v>1126</v>
      </c>
      <c r="H62" s="97">
        <v>2022</v>
      </c>
      <c r="I62" s="188"/>
      <c r="J62" s="185"/>
    </row>
    <row r="63" spans="1:10" ht="30" x14ac:dyDescent="0.2">
      <c r="A63" s="96" t="s">
        <v>1127</v>
      </c>
      <c r="B63" s="93" t="s">
        <v>1128</v>
      </c>
      <c r="C63" s="93" t="s">
        <v>1129</v>
      </c>
      <c r="D63" s="96" t="s">
        <v>895</v>
      </c>
      <c r="E63" s="96" t="s">
        <v>37</v>
      </c>
      <c r="F63" s="96" t="s">
        <v>206</v>
      </c>
      <c r="G63" s="93" t="s">
        <v>1130</v>
      </c>
      <c r="H63" s="97">
        <v>2022</v>
      </c>
      <c r="I63" s="188"/>
      <c r="J63" s="185"/>
    </row>
    <row r="64" spans="1:10" ht="30" x14ac:dyDescent="0.2">
      <c r="A64" s="96" t="s">
        <v>1131</v>
      </c>
      <c r="B64" s="93" t="s">
        <v>1132</v>
      </c>
      <c r="C64" s="93" t="s">
        <v>1133</v>
      </c>
      <c r="D64" s="96" t="s">
        <v>895</v>
      </c>
      <c r="E64" s="96" t="s">
        <v>37</v>
      </c>
      <c r="F64" s="96" t="s">
        <v>206</v>
      </c>
      <c r="G64" s="93" t="s">
        <v>1134</v>
      </c>
      <c r="H64" s="97">
        <v>2022</v>
      </c>
      <c r="I64" s="188"/>
      <c r="J64" s="185"/>
    </row>
    <row r="65" spans="1:10" ht="30" x14ac:dyDescent="0.2">
      <c r="A65" s="96" t="s">
        <v>1135</v>
      </c>
      <c r="B65" s="93" t="s">
        <v>1136</v>
      </c>
      <c r="C65" s="93" t="s">
        <v>1137</v>
      </c>
      <c r="D65" s="96" t="s">
        <v>895</v>
      </c>
      <c r="E65" s="96" t="s">
        <v>37</v>
      </c>
      <c r="F65" s="96" t="s">
        <v>216</v>
      </c>
      <c r="G65" s="93" t="s">
        <v>1138</v>
      </c>
      <c r="H65" s="97">
        <v>2022</v>
      </c>
      <c r="I65" s="188"/>
      <c r="J65" s="185"/>
    </row>
    <row r="66" spans="1:10" ht="30" x14ac:dyDescent="0.2">
      <c r="A66" s="96" t="s">
        <v>1139</v>
      </c>
      <c r="B66" s="93" t="s">
        <v>1140</v>
      </c>
      <c r="C66" s="93" t="s">
        <v>1141</v>
      </c>
      <c r="D66" s="96" t="s">
        <v>895</v>
      </c>
      <c r="E66" s="96" t="s">
        <v>37</v>
      </c>
      <c r="F66" s="96" t="s">
        <v>216</v>
      </c>
      <c r="G66" s="93" t="s">
        <v>1142</v>
      </c>
      <c r="H66" s="97">
        <v>2022</v>
      </c>
      <c r="I66" s="188"/>
      <c r="J66" s="185"/>
    </row>
    <row r="67" spans="1:10" ht="45" x14ac:dyDescent="0.2">
      <c r="A67" s="96" t="s">
        <v>1143</v>
      </c>
      <c r="B67" s="93" t="s">
        <v>1144</v>
      </c>
      <c r="C67" s="93" t="s">
        <v>1145</v>
      </c>
      <c r="D67" s="96" t="s">
        <v>895</v>
      </c>
      <c r="E67" s="96" t="s">
        <v>37</v>
      </c>
      <c r="F67" s="96" t="s">
        <v>255</v>
      </c>
      <c r="G67" s="93" t="s">
        <v>1146</v>
      </c>
      <c r="H67" s="97">
        <v>2022</v>
      </c>
      <c r="I67" s="188"/>
      <c r="J67" s="185"/>
    </row>
    <row r="68" spans="1:10" ht="30" x14ac:dyDescent="0.2">
      <c r="A68" s="96" t="s">
        <v>1147</v>
      </c>
      <c r="B68" s="93" t="s">
        <v>1148</v>
      </c>
      <c r="C68" s="93" t="s">
        <v>1149</v>
      </c>
      <c r="D68" s="96" t="s">
        <v>895</v>
      </c>
      <c r="E68" s="96" t="s">
        <v>37</v>
      </c>
      <c r="F68" s="96" t="s">
        <v>435</v>
      </c>
      <c r="G68" s="93" t="s">
        <v>1150</v>
      </c>
      <c r="H68" s="97">
        <v>2022</v>
      </c>
      <c r="I68" s="188"/>
      <c r="J68" s="185"/>
    </row>
    <row r="69" spans="1:10" ht="30" x14ac:dyDescent="0.2">
      <c r="A69" s="96" t="s">
        <v>1151</v>
      </c>
      <c r="B69" s="93" t="s">
        <v>1152</v>
      </c>
      <c r="C69" s="93" t="s">
        <v>1153</v>
      </c>
      <c r="D69" s="96" t="s">
        <v>895</v>
      </c>
      <c r="E69" s="96" t="s">
        <v>37</v>
      </c>
      <c r="F69" s="96" t="s">
        <v>435</v>
      </c>
      <c r="G69" s="93" t="s">
        <v>1154</v>
      </c>
      <c r="H69" s="97">
        <v>2022</v>
      </c>
      <c r="I69" s="188"/>
      <c r="J69" s="185"/>
    </row>
    <row r="70" spans="1:10" ht="30" x14ac:dyDescent="0.2">
      <c r="A70" s="96" t="s">
        <v>1155</v>
      </c>
      <c r="B70" s="93" t="s">
        <v>1156</v>
      </c>
      <c r="C70" s="93" t="s">
        <v>1157</v>
      </c>
      <c r="D70" s="96" t="s">
        <v>895</v>
      </c>
      <c r="E70" s="96" t="s">
        <v>37</v>
      </c>
      <c r="F70" s="96" t="s">
        <v>387</v>
      </c>
      <c r="G70" s="93" t="s">
        <v>1158</v>
      </c>
      <c r="H70" s="97">
        <v>2022</v>
      </c>
      <c r="I70" s="188"/>
      <c r="J70" s="185"/>
    </row>
    <row r="71" spans="1:10" ht="45" x14ac:dyDescent="0.2">
      <c r="A71" s="96" t="s">
        <v>1159</v>
      </c>
      <c r="B71" s="93" t="s">
        <v>1160</v>
      </c>
      <c r="C71" s="93" t="s">
        <v>1161</v>
      </c>
      <c r="D71" s="96" t="s">
        <v>895</v>
      </c>
      <c r="E71" s="96" t="s">
        <v>54</v>
      </c>
      <c r="F71" s="96" t="s">
        <v>351</v>
      </c>
      <c r="G71" s="93" t="s">
        <v>1162</v>
      </c>
      <c r="H71" s="97">
        <v>2022</v>
      </c>
      <c r="I71" s="188"/>
      <c r="J71" s="185"/>
    </row>
    <row r="72" spans="1:10" ht="30" x14ac:dyDescent="0.2">
      <c r="A72" s="96" t="s">
        <v>1163</v>
      </c>
      <c r="B72" s="93" t="s">
        <v>1164</v>
      </c>
      <c r="C72" s="93" t="s">
        <v>1165</v>
      </c>
      <c r="D72" s="96" t="s">
        <v>895</v>
      </c>
      <c r="E72" s="96" t="s">
        <v>54</v>
      </c>
      <c r="F72" s="96" t="s">
        <v>200</v>
      </c>
      <c r="G72" s="93" t="s">
        <v>1166</v>
      </c>
      <c r="H72" s="97">
        <v>2022</v>
      </c>
      <c r="I72" s="188"/>
      <c r="J72" s="185"/>
    </row>
    <row r="73" spans="1:10" ht="30" x14ac:dyDescent="0.2">
      <c r="A73" s="96" t="s">
        <v>1167</v>
      </c>
      <c r="B73" s="93" t="s">
        <v>1168</v>
      </c>
      <c r="C73" s="93" t="s">
        <v>1169</v>
      </c>
      <c r="D73" s="96" t="s">
        <v>895</v>
      </c>
      <c r="E73" s="96" t="s">
        <v>54</v>
      </c>
      <c r="F73" s="96" t="s">
        <v>200</v>
      </c>
      <c r="G73" s="93" t="s">
        <v>1170</v>
      </c>
      <c r="H73" s="97">
        <v>2022</v>
      </c>
      <c r="I73" s="188"/>
      <c r="J73" s="185"/>
    </row>
    <row r="74" spans="1:10" ht="30" x14ac:dyDescent="0.2">
      <c r="A74" s="96" t="s">
        <v>1171</v>
      </c>
      <c r="B74" s="93" t="s">
        <v>1172</v>
      </c>
      <c r="C74" s="93" t="s">
        <v>1173</v>
      </c>
      <c r="D74" s="96" t="s">
        <v>895</v>
      </c>
      <c r="E74" s="96" t="s">
        <v>54</v>
      </c>
      <c r="F74" s="96" t="s">
        <v>200</v>
      </c>
      <c r="G74" s="93" t="s">
        <v>1174</v>
      </c>
      <c r="H74" s="97">
        <v>2022</v>
      </c>
      <c r="I74" s="188"/>
      <c r="J74" s="185"/>
    </row>
    <row r="75" spans="1:10" ht="30" x14ac:dyDescent="0.2">
      <c r="A75" s="96" t="s">
        <v>1175</v>
      </c>
      <c r="B75" s="93" t="s">
        <v>1176</v>
      </c>
      <c r="C75" s="93" t="s">
        <v>1177</v>
      </c>
      <c r="D75" s="96" t="s">
        <v>895</v>
      </c>
      <c r="E75" s="96" t="s">
        <v>54</v>
      </c>
      <c r="F75" s="96" t="s">
        <v>200</v>
      </c>
      <c r="G75" s="93" t="s">
        <v>1178</v>
      </c>
      <c r="H75" s="97">
        <v>2022</v>
      </c>
      <c r="I75" s="188"/>
      <c r="J75" s="185"/>
    </row>
    <row r="76" spans="1:10" ht="30" x14ac:dyDescent="0.2">
      <c r="A76" s="96" t="s">
        <v>1179</v>
      </c>
      <c r="B76" s="93" t="s">
        <v>1180</v>
      </c>
      <c r="C76" s="93" t="s">
        <v>1181</v>
      </c>
      <c r="D76" s="96" t="s">
        <v>895</v>
      </c>
      <c r="E76" s="96" t="s">
        <v>51</v>
      </c>
      <c r="F76" s="96" t="s">
        <v>103</v>
      </c>
      <c r="G76" s="93" t="s">
        <v>1182</v>
      </c>
      <c r="H76" s="97">
        <v>2022</v>
      </c>
      <c r="I76" s="188"/>
      <c r="J76" s="185"/>
    </row>
    <row r="77" spans="1:10" ht="30" x14ac:dyDescent="0.2">
      <c r="A77" s="96" t="s">
        <v>1183</v>
      </c>
      <c r="B77" s="93" t="e">
        <v>#N/A</v>
      </c>
      <c r="C77" s="93" t="s">
        <v>1184</v>
      </c>
      <c r="D77" s="96" t="s">
        <v>895</v>
      </c>
      <c r="E77" s="96" t="s">
        <v>51</v>
      </c>
      <c r="F77" s="96" t="s">
        <v>103</v>
      </c>
      <c r="G77" s="93" t="s">
        <v>1185</v>
      </c>
      <c r="H77" s="97">
        <v>2023</v>
      </c>
      <c r="I77" s="188"/>
      <c r="J77" s="185"/>
    </row>
    <row r="78" spans="1:10" ht="30" x14ac:dyDescent="0.2">
      <c r="A78" s="96" t="s">
        <v>1186</v>
      </c>
      <c r="B78" s="93" t="e">
        <v>#N/A</v>
      </c>
      <c r="C78" s="93" t="s">
        <v>1187</v>
      </c>
      <c r="D78" s="96" t="s">
        <v>895</v>
      </c>
      <c r="E78" s="96" t="s">
        <v>51</v>
      </c>
      <c r="F78" s="96" t="s">
        <v>74</v>
      </c>
      <c r="G78" s="93" t="s">
        <v>1188</v>
      </c>
      <c r="H78" s="97">
        <v>2023</v>
      </c>
      <c r="I78" s="188"/>
      <c r="J78" s="185"/>
    </row>
    <row r="79" spans="1:10" ht="30" x14ac:dyDescent="0.2">
      <c r="A79" s="96" t="s">
        <v>1189</v>
      </c>
      <c r="B79" s="93" t="e">
        <v>#N/A</v>
      </c>
      <c r="C79" s="93" t="s">
        <v>1190</v>
      </c>
      <c r="D79" s="96" t="s">
        <v>895</v>
      </c>
      <c r="E79" s="96" t="s">
        <v>51</v>
      </c>
      <c r="F79" s="96" t="s">
        <v>1191</v>
      </c>
      <c r="G79" s="93" t="s">
        <v>1192</v>
      </c>
      <c r="H79" s="97">
        <v>2023</v>
      </c>
      <c r="I79" s="188"/>
      <c r="J79" s="185"/>
    </row>
    <row r="80" spans="1:10" ht="30" x14ac:dyDescent="0.2">
      <c r="A80" s="96" t="s">
        <v>1193</v>
      </c>
      <c r="B80" s="93" t="e">
        <v>#N/A</v>
      </c>
      <c r="C80" s="93" t="s">
        <v>1194</v>
      </c>
      <c r="D80" s="96" t="s">
        <v>895</v>
      </c>
      <c r="E80" s="96" t="s">
        <v>51</v>
      </c>
      <c r="F80" s="96" t="s">
        <v>1191</v>
      </c>
      <c r="G80" s="93" t="s">
        <v>1195</v>
      </c>
      <c r="H80" s="97">
        <v>2023</v>
      </c>
      <c r="I80" s="188"/>
      <c r="J80" s="185"/>
    </row>
    <row r="81" spans="1:10" ht="30" x14ac:dyDescent="0.2">
      <c r="A81" s="96" t="s">
        <v>1196</v>
      </c>
      <c r="B81" s="93" t="e">
        <v>#N/A</v>
      </c>
      <c r="C81" s="93" t="s">
        <v>1197</v>
      </c>
      <c r="D81" s="96" t="s">
        <v>895</v>
      </c>
      <c r="E81" s="96" t="s">
        <v>51</v>
      </c>
      <c r="F81" s="96" t="s">
        <v>1198</v>
      </c>
      <c r="G81" s="93" t="s">
        <v>1199</v>
      </c>
      <c r="H81" s="97">
        <v>2023</v>
      </c>
      <c r="I81" s="188"/>
      <c r="J81" s="185"/>
    </row>
    <row r="82" spans="1:10" ht="30" x14ac:dyDescent="0.2">
      <c r="A82" s="96" t="s">
        <v>1200</v>
      </c>
      <c r="B82" s="93" t="e">
        <v>#N/A</v>
      </c>
      <c r="C82" s="93" t="s">
        <v>1201</v>
      </c>
      <c r="D82" s="96" t="s">
        <v>895</v>
      </c>
      <c r="E82" s="96" t="s">
        <v>51</v>
      </c>
      <c r="F82" s="96" t="s">
        <v>1202</v>
      </c>
      <c r="G82" s="93" t="s">
        <v>1203</v>
      </c>
      <c r="H82" s="97">
        <v>2023</v>
      </c>
      <c r="I82" s="188"/>
      <c r="J82" s="185"/>
    </row>
    <row r="83" spans="1:10" ht="30" x14ac:dyDescent="0.2">
      <c r="A83" s="96" t="s">
        <v>1204</v>
      </c>
      <c r="B83" s="93" t="e">
        <v>#N/A</v>
      </c>
      <c r="C83" s="93" t="s">
        <v>1205</v>
      </c>
      <c r="D83" s="96" t="s">
        <v>895</v>
      </c>
      <c r="E83" s="96" t="s">
        <v>51</v>
      </c>
      <c r="F83" s="96" t="s">
        <v>95</v>
      </c>
      <c r="G83" s="93" t="s">
        <v>1206</v>
      </c>
      <c r="H83" s="97">
        <v>2023</v>
      </c>
      <c r="I83" s="188"/>
      <c r="J83" s="185"/>
    </row>
    <row r="84" spans="1:10" ht="30" x14ac:dyDescent="0.2">
      <c r="A84" s="96" t="s">
        <v>1207</v>
      </c>
      <c r="B84" s="93" t="e">
        <v>#N/A</v>
      </c>
      <c r="C84" s="93" t="s">
        <v>1208</v>
      </c>
      <c r="D84" s="96" t="s">
        <v>895</v>
      </c>
      <c r="E84" s="96" t="s">
        <v>51</v>
      </c>
      <c r="F84" s="96" t="s">
        <v>95</v>
      </c>
      <c r="G84" s="93" t="s">
        <v>1209</v>
      </c>
      <c r="H84" s="97">
        <v>2023</v>
      </c>
      <c r="I84" s="188"/>
      <c r="J84" s="185"/>
    </row>
    <row r="85" spans="1:10" ht="30" x14ac:dyDescent="0.2">
      <c r="A85" s="96" t="s">
        <v>1210</v>
      </c>
      <c r="B85" s="93" t="e">
        <v>#N/A</v>
      </c>
      <c r="C85" s="93" t="s">
        <v>1211</v>
      </c>
      <c r="D85" s="96" t="s">
        <v>895</v>
      </c>
      <c r="E85" s="96" t="s">
        <v>51</v>
      </c>
      <c r="F85" s="96" t="s">
        <v>95</v>
      </c>
      <c r="G85" s="93" t="s">
        <v>1212</v>
      </c>
      <c r="H85" s="97">
        <v>2023</v>
      </c>
      <c r="I85" s="188"/>
      <c r="J85" s="185"/>
    </row>
    <row r="86" spans="1:10" ht="30" x14ac:dyDescent="0.2">
      <c r="A86" s="96" t="s">
        <v>1213</v>
      </c>
      <c r="B86" s="93" t="e">
        <v>#N/A</v>
      </c>
      <c r="C86" s="93" t="s">
        <v>1214</v>
      </c>
      <c r="D86" s="96" t="s">
        <v>895</v>
      </c>
      <c r="E86" s="96" t="s">
        <v>51</v>
      </c>
      <c r="F86" s="96" t="s">
        <v>95</v>
      </c>
      <c r="G86" s="93" t="s">
        <v>1215</v>
      </c>
      <c r="H86" s="97">
        <v>2023</v>
      </c>
      <c r="I86" s="188"/>
      <c r="J86" s="185"/>
    </row>
    <row r="87" spans="1:10" ht="30" x14ac:dyDescent="0.2">
      <c r="A87" s="96" t="s">
        <v>1216</v>
      </c>
      <c r="B87" s="93" t="e">
        <v>#N/A</v>
      </c>
      <c r="C87" s="93" t="s">
        <v>1217</v>
      </c>
      <c r="D87" s="96" t="s">
        <v>895</v>
      </c>
      <c r="E87" s="96" t="s">
        <v>51</v>
      </c>
      <c r="F87" s="96" t="s">
        <v>95</v>
      </c>
      <c r="G87" s="93" t="s">
        <v>1218</v>
      </c>
      <c r="H87" s="97">
        <v>2023</v>
      </c>
      <c r="I87" s="188"/>
      <c r="J87" s="185"/>
    </row>
    <row r="88" spans="1:10" ht="30" x14ac:dyDescent="0.2">
      <c r="A88" s="96" t="s">
        <v>1219</v>
      </c>
      <c r="B88" s="93" t="e">
        <v>#N/A</v>
      </c>
      <c r="C88" s="93" t="s">
        <v>1220</v>
      </c>
      <c r="D88" s="96" t="s">
        <v>895</v>
      </c>
      <c r="E88" s="96" t="s">
        <v>51</v>
      </c>
      <c r="F88" s="96" t="s">
        <v>95</v>
      </c>
      <c r="G88" s="93" t="s">
        <v>1221</v>
      </c>
      <c r="H88" s="97">
        <v>2023</v>
      </c>
      <c r="I88" s="188"/>
      <c r="J88" s="185"/>
    </row>
    <row r="89" spans="1:10" ht="30" x14ac:dyDescent="0.2">
      <c r="A89" s="96" t="s">
        <v>1222</v>
      </c>
      <c r="B89" s="93" t="e">
        <v>#N/A</v>
      </c>
      <c r="C89" s="93" t="s">
        <v>1223</v>
      </c>
      <c r="D89" s="96" t="s">
        <v>895</v>
      </c>
      <c r="E89" s="96" t="s">
        <v>51</v>
      </c>
      <c r="F89" s="96" t="s">
        <v>95</v>
      </c>
      <c r="G89" s="93" t="s">
        <v>1224</v>
      </c>
      <c r="H89" s="97">
        <v>2023</v>
      </c>
      <c r="I89" s="188"/>
      <c r="J89" s="185"/>
    </row>
    <row r="90" spans="1:10" ht="30" x14ac:dyDescent="0.2">
      <c r="A90" s="96" t="s">
        <v>1225</v>
      </c>
      <c r="B90" s="93" t="e">
        <v>#N/A</v>
      </c>
      <c r="C90" s="93" t="s">
        <v>1226</v>
      </c>
      <c r="D90" s="96" t="s">
        <v>895</v>
      </c>
      <c r="E90" s="96" t="s">
        <v>51</v>
      </c>
      <c r="F90" s="96" t="s">
        <v>293</v>
      </c>
      <c r="G90" s="93" t="s">
        <v>1227</v>
      </c>
      <c r="H90" s="97">
        <v>2023</v>
      </c>
      <c r="I90" s="188"/>
      <c r="J90" s="185"/>
    </row>
    <row r="91" spans="1:10" ht="30" x14ac:dyDescent="0.2">
      <c r="A91" s="96" t="s">
        <v>1228</v>
      </c>
      <c r="B91" s="93" t="e">
        <v>#N/A</v>
      </c>
      <c r="C91" s="93" t="s">
        <v>1229</v>
      </c>
      <c r="D91" s="96" t="s">
        <v>895</v>
      </c>
      <c r="E91" s="96" t="s">
        <v>51</v>
      </c>
      <c r="F91" s="96" t="s">
        <v>1015</v>
      </c>
      <c r="G91" s="93" t="s">
        <v>1230</v>
      </c>
      <c r="H91" s="97">
        <v>2023</v>
      </c>
      <c r="I91" s="188"/>
      <c r="J91" s="185"/>
    </row>
    <row r="92" spans="1:10" ht="45" x14ac:dyDescent="0.2">
      <c r="A92" s="96" t="s">
        <v>1231</v>
      </c>
      <c r="B92" s="93" t="e">
        <v>#N/A</v>
      </c>
      <c r="C92" s="93" t="s">
        <v>1232</v>
      </c>
      <c r="D92" s="96" t="s">
        <v>895</v>
      </c>
      <c r="E92" s="96" t="s">
        <v>51</v>
      </c>
      <c r="F92" s="96" t="s">
        <v>1233</v>
      </c>
      <c r="G92" s="93" t="s">
        <v>1234</v>
      </c>
      <c r="H92" s="97">
        <v>2023</v>
      </c>
      <c r="I92" s="188"/>
      <c r="J92" s="185"/>
    </row>
    <row r="93" spans="1:10" ht="30" x14ac:dyDescent="0.2">
      <c r="A93" s="96" t="s">
        <v>1235</v>
      </c>
      <c r="B93" s="93" t="e">
        <v>#N/A</v>
      </c>
      <c r="C93" s="93" t="s">
        <v>1236</v>
      </c>
      <c r="D93" s="96" t="s">
        <v>895</v>
      </c>
      <c r="E93" s="96" t="s">
        <v>51</v>
      </c>
      <c r="F93" s="96" t="s">
        <v>52</v>
      </c>
      <c r="G93" s="93" t="s">
        <v>1237</v>
      </c>
      <c r="H93" s="97">
        <v>2023</v>
      </c>
      <c r="I93" s="188"/>
      <c r="J93" s="185"/>
    </row>
    <row r="94" spans="1:10" ht="30" x14ac:dyDescent="0.2">
      <c r="A94" s="96" t="s">
        <v>1238</v>
      </c>
      <c r="B94" s="93" t="e">
        <v>#N/A</v>
      </c>
      <c r="C94" s="93" t="s">
        <v>1239</v>
      </c>
      <c r="D94" s="96" t="s">
        <v>895</v>
      </c>
      <c r="E94" s="96" t="s">
        <v>51</v>
      </c>
      <c r="F94" s="96" t="s">
        <v>859</v>
      </c>
      <c r="G94" s="93" t="s">
        <v>1240</v>
      </c>
      <c r="H94" s="97">
        <v>2023</v>
      </c>
      <c r="I94" s="188"/>
      <c r="J94" s="185"/>
    </row>
    <row r="95" spans="1:10" ht="30" x14ac:dyDescent="0.2">
      <c r="A95" s="96" t="s">
        <v>1241</v>
      </c>
      <c r="B95" s="93" t="e">
        <v>#N/A</v>
      </c>
      <c r="C95" s="93" t="s">
        <v>1242</v>
      </c>
      <c r="D95" s="96" t="s">
        <v>895</v>
      </c>
      <c r="E95" s="96" t="s">
        <v>51</v>
      </c>
      <c r="F95" s="96" t="s">
        <v>74</v>
      </c>
      <c r="G95" s="93" t="s">
        <v>1243</v>
      </c>
      <c r="H95" s="97">
        <v>2023</v>
      </c>
      <c r="I95" s="188"/>
      <c r="J95" s="185"/>
    </row>
    <row r="96" spans="1:10" ht="30" x14ac:dyDescent="0.2">
      <c r="A96" s="96" t="s">
        <v>1244</v>
      </c>
      <c r="B96" s="93" t="e">
        <v>#N/A</v>
      </c>
      <c r="C96" s="93" t="s">
        <v>1245</v>
      </c>
      <c r="D96" s="96" t="s">
        <v>895</v>
      </c>
      <c r="E96" s="96" t="s">
        <v>51</v>
      </c>
      <c r="F96" s="96" t="s">
        <v>293</v>
      </c>
      <c r="G96" s="93" t="s">
        <v>1246</v>
      </c>
      <c r="H96" s="97">
        <v>2023</v>
      </c>
      <c r="I96" s="188"/>
      <c r="J96" s="185"/>
    </row>
    <row r="97" spans="1:10" ht="45" x14ac:dyDescent="0.2">
      <c r="A97" s="96" t="s">
        <v>1247</v>
      </c>
      <c r="B97" s="93" t="e">
        <v>#N/A</v>
      </c>
      <c r="C97" s="93" t="s">
        <v>1248</v>
      </c>
      <c r="D97" s="96" t="s">
        <v>895</v>
      </c>
      <c r="E97" s="96" t="s">
        <v>51</v>
      </c>
      <c r="F97" s="96" t="s">
        <v>612</v>
      </c>
      <c r="G97" s="93" t="s">
        <v>1249</v>
      </c>
      <c r="H97" s="97">
        <v>2023</v>
      </c>
      <c r="I97" s="188"/>
      <c r="J97" s="185"/>
    </row>
    <row r="98" spans="1:10" ht="45" x14ac:dyDescent="0.2">
      <c r="A98" s="96" t="s">
        <v>1250</v>
      </c>
      <c r="B98" s="93" t="e">
        <v>#N/A</v>
      </c>
      <c r="C98" s="93" t="s">
        <v>1251</v>
      </c>
      <c r="D98" s="96" t="s">
        <v>895</v>
      </c>
      <c r="E98" s="96" t="s">
        <v>51</v>
      </c>
      <c r="F98" s="96" t="s">
        <v>612</v>
      </c>
      <c r="G98" s="93" t="s">
        <v>1252</v>
      </c>
      <c r="H98" s="97">
        <v>2023</v>
      </c>
      <c r="I98" s="188"/>
      <c r="J98" s="185"/>
    </row>
    <row r="99" spans="1:10" ht="30" x14ac:dyDescent="0.2">
      <c r="A99" s="96" t="s">
        <v>1253</v>
      </c>
      <c r="B99" s="93" t="e">
        <v>#N/A</v>
      </c>
      <c r="C99" s="93" t="s">
        <v>1254</v>
      </c>
      <c r="D99" s="96" t="s">
        <v>895</v>
      </c>
      <c r="E99" s="96" t="s">
        <v>51</v>
      </c>
      <c r="F99" s="96" t="s">
        <v>1005</v>
      </c>
      <c r="G99" s="93" t="s">
        <v>1255</v>
      </c>
      <c r="H99" s="97">
        <v>2023</v>
      </c>
      <c r="I99" s="188"/>
      <c r="J99" s="185"/>
    </row>
    <row r="100" spans="1:10" ht="30" x14ac:dyDescent="0.2">
      <c r="A100" s="96" t="s">
        <v>1256</v>
      </c>
      <c r="B100" s="93" t="e">
        <v>#N/A</v>
      </c>
      <c r="C100" s="93" t="s">
        <v>1257</v>
      </c>
      <c r="D100" s="96" t="s">
        <v>895</v>
      </c>
      <c r="E100" s="96" t="s">
        <v>51</v>
      </c>
      <c r="F100" s="96" t="s">
        <v>52</v>
      </c>
      <c r="G100" s="93" t="s">
        <v>1258</v>
      </c>
      <c r="H100" s="97">
        <v>2023</v>
      </c>
      <c r="I100" s="188"/>
      <c r="J100" s="185"/>
    </row>
    <row r="101" spans="1:10" ht="30" x14ac:dyDescent="0.2">
      <c r="A101" s="96" t="s">
        <v>1259</v>
      </c>
      <c r="B101" s="93" t="e">
        <v>#N/A</v>
      </c>
      <c r="C101" s="93" t="s">
        <v>1260</v>
      </c>
      <c r="D101" s="96" t="s">
        <v>895</v>
      </c>
      <c r="E101" s="96" t="s">
        <v>51</v>
      </c>
      <c r="F101" s="96" t="s">
        <v>52</v>
      </c>
      <c r="G101" s="93" t="s">
        <v>1261</v>
      </c>
      <c r="H101" s="97">
        <v>2023</v>
      </c>
      <c r="I101" s="188"/>
      <c r="J101" s="185"/>
    </row>
    <row r="102" spans="1:10" ht="45" x14ac:dyDescent="0.2">
      <c r="A102" s="96" t="s">
        <v>1262</v>
      </c>
      <c r="B102" s="93" t="e">
        <v>#N/A</v>
      </c>
      <c r="C102" s="93" t="s">
        <v>1263</v>
      </c>
      <c r="D102" s="96" t="s">
        <v>895</v>
      </c>
      <c r="E102" s="96" t="s">
        <v>51</v>
      </c>
      <c r="F102" s="96" t="s">
        <v>1264</v>
      </c>
      <c r="G102" s="93" t="s">
        <v>1265</v>
      </c>
      <c r="H102" s="97">
        <v>2023</v>
      </c>
      <c r="I102" s="188"/>
      <c r="J102" s="185"/>
    </row>
    <row r="103" spans="1:10" ht="45" x14ac:dyDescent="0.2">
      <c r="A103" s="96" t="s">
        <v>1266</v>
      </c>
      <c r="B103" s="93" t="e">
        <v>#N/A</v>
      </c>
      <c r="C103" s="93" t="s">
        <v>1267</v>
      </c>
      <c r="D103" s="96" t="s">
        <v>895</v>
      </c>
      <c r="E103" s="96" t="s">
        <v>51</v>
      </c>
      <c r="F103" s="96" t="s">
        <v>1264</v>
      </c>
      <c r="G103" s="93" t="s">
        <v>1268</v>
      </c>
      <c r="H103" s="97">
        <v>2023</v>
      </c>
      <c r="I103" s="188"/>
      <c r="J103" s="185"/>
    </row>
    <row r="104" spans="1:10" ht="30" x14ac:dyDescent="0.2">
      <c r="A104" s="96" t="s">
        <v>1269</v>
      </c>
      <c r="B104" s="93" t="e">
        <v>#N/A</v>
      </c>
      <c r="C104" s="93" t="s">
        <v>1270</v>
      </c>
      <c r="D104" s="96" t="s">
        <v>895</v>
      </c>
      <c r="E104" s="96" t="s">
        <v>51</v>
      </c>
      <c r="F104" s="96" t="s">
        <v>321</v>
      </c>
      <c r="G104" s="93" t="s">
        <v>1271</v>
      </c>
      <c r="H104" s="97">
        <v>2023</v>
      </c>
      <c r="I104" s="188"/>
      <c r="J104" s="185"/>
    </row>
    <row r="105" spans="1:10" ht="30" x14ac:dyDescent="0.2">
      <c r="A105" s="96" t="s">
        <v>1272</v>
      </c>
      <c r="B105" s="93" t="e">
        <v>#N/A</v>
      </c>
      <c r="C105" s="93" t="s">
        <v>1273</v>
      </c>
      <c r="D105" s="96" t="s">
        <v>895</v>
      </c>
      <c r="E105" s="96" t="s">
        <v>51</v>
      </c>
      <c r="F105" s="96" t="s">
        <v>321</v>
      </c>
      <c r="G105" s="93" t="s">
        <v>1274</v>
      </c>
      <c r="H105" s="97">
        <v>2023</v>
      </c>
      <c r="I105" s="188"/>
      <c r="J105" s="185"/>
    </row>
    <row r="106" spans="1:10" ht="30" x14ac:dyDescent="0.2">
      <c r="A106" s="96" t="s">
        <v>1275</v>
      </c>
      <c r="B106" s="93" t="e">
        <v>#N/A</v>
      </c>
      <c r="C106" s="93" t="s">
        <v>1276</v>
      </c>
      <c r="D106" s="96" t="s">
        <v>895</v>
      </c>
      <c r="E106" s="96" t="s">
        <v>51</v>
      </c>
      <c r="F106" s="96" t="s">
        <v>321</v>
      </c>
      <c r="G106" s="93" t="s">
        <v>1277</v>
      </c>
      <c r="H106" s="97">
        <v>2023</v>
      </c>
      <c r="I106" s="188"/>
      <c r="J106" s="185"/>
    </row>
    <row r="107" spans="1:10" ht="45" x14ac:dyDescent="0.2">
      <c r="A107" s="96" t="s">
        <v>1278</v>
      </c>
      <c r="B107" s="93" t="e">
        <v>#N/A</v>
      </c>
      <c r="C107" s="93" t="s">
        <v>1279</v>
      </c>
      <c r="D107" s="96" t="s">
        <v>895</v>
      </c>
      <c r="E107" s="96" t="s">
        <v>51</v>
      </c>
      <c r="F107" s="96" t="s">
        <v>1280</v>
      </c>
      <c r="G107" s="93" t="s">
        <v>1281</v>
      </c>
      <c r="H107" s="97">
        <v>2023</v>
      </c>
      <c r="I107" s="188"/>
      <c r="J107" s="185"/>
    </row>
    <row r="108" spans="1:10" ht="30" x14ac:dyDescent="0.2">
      <c r="A108" s="96" t="s">
        <v>1282</v>
      </c>
      <c r="B108" s="93" t="e">
        <v>#N/A</v>
      </c>
      <c r="C108" s="93" t="s">
        <v>1283</v>
      </c>
      <c r="D108" s="96" t="s">
        <v>895</v>
      </c>
      <c r="E108" s="96" t="s">
        <v>51</v>
      </c>
      <c r="F108" s="96" t="s">
        <v>74</v>
      </c>
      <c r="G108" s="93" t="s">
        <v>1284</v>
      </c>
      <c r="H108" s="97">
        <v>2023</v>
      </c>
      <c r="I108" s="188"/>
      <c r="J108" s="185"/>
    </row>
    <row r="109" spans="1:10" ht="30" x14ac:dyDescent="0.2">
      <c r="A109" s="96" t="s">
        <v>1285</v>
      </c>
      <c r="B109" s="93" t="e">
        <v>#N/A</v>
      </c>
      <c r="C109" s="93" t="s">
        <v>1286</v>
      </c>
      <c r="D109" s="96" t="s">
        <v>895</v>
      </c>
      <c r="E109" s="96" t="s">
        <v>51</v>
      </c>
      <c r="F109" s="96" t="s">
        <v>74</v>
      </c>
      <c r="G109" s="93" t="s">
        <v>1287</v>
      </c>
      <c r="H109" s="97">
        <v>2023</v>
      </c>
      <c r="I109" s="188"/>
      <c r="J109" s="185"/>
    </row>
    <row r="110" spans="1:10" ht="45" x14ac:dyDescent="0.2">
      <c r="A110" s="96" t="s">
        <v>1288</v>
      </c>
      <c r="B110" s="93" t="e">
        <v>#N/A</v>
      </c>
      <c r="C110" s="93" t="s">
        <v>1289</v>
      </c>
      <c r="D110" s="96" t="s">
        <v>895</v>
      </c>
      <c r="E110" s="96" t="s">
        <v>37</v>
      </c>
      <c r="F110" s="96" t="s">
        <v>1290</v>
      </c>
      <c r="G110" s="93" t="s">
        <v>1291</v>
      </c>
      <c r="H110" s="97">
        <v>2023</v>
      </c>
      <c r="I110" s="188"/>
      <c r="J110" s="185"/>
    </row>
    <row r="111" spans="1:10" ht="30" x14ac:dyDescent="0.2">
      <c r="A111" s="96" t="s">
        <v>1292</v>
      </c>
      <c r="B111" s="93" t="e">
        <v>#N/A</v>
      </c>
      <c r="C111" s="93" t="s">
        <v>1293</v>
      </c>
      <c r="D111" s="96" t="s">
        <v>895</v>
      </c>
      <c r="E111" s="96" t="s">
        <v>51</v>
      </c>
      <c r="F111" s="96" t="s">
        <v>74</v>
      </c>
      <c r="G111" s="93" t="s">
        <v>1294</v>
      </c>
      <c r="H111" s="97">
        <v>2023</v>
      </c>
      <c r="I111" s="188"/>
      <c r="J111" s="185"/>
    </row>
    <row r="112" spans="1:10" ht="30" x14ac:dyDescent="0.2">
      <c r="A112" s="96" t="s">
        <v>1295</v>
      </c>
      <c r="B112" s="93" t="e">
        <v>#N/A</v>
      </c>
      <c r="C112" s="93" t="s">
        <v>1296</v>
      </c>
      <c r="D112" s="96" t="s">
        <v>895</v>
      </c>
      <c r="E112" s="96" t="s">
        <v>51</v>
      </c>
      <c r="F112" s="96" t="s">
        <v>74</v>
      </c>
      <c r="G112" s="93" t="s">
        <v>1297</v>
      </c>
      <c r="H112" s="97">
        <v>2023</v>
      </c>
      <c r="I112" s="188"/>
      <c r="J112" s="185"/>
    </row>
    <row r="113" spans="1:10" ht="30" x14ac:dyDescent="0.2">
      <c r="A113" s="96" t="s">
        <v>1298</v>
      </c>
      <c r="B113" s="93" t="e">
        <v>#N/A</v>
      </c>
      <c r="C113" s="93" t="s">
        <v>1299</v>
      </c>
      <c r="D113" s="96" t="s">
        <v>895</v>
      </c>
      <c r="E113" s="96" t="s">
        <v>51</v>
      </c>
      <c r="F113" s="96" t="s">
        <v>1300</v>
      </c>
      <c r="G113" s="93" t="s">
        <v>1301</v>
      </c>
      <c r="H113" s="97">
        <v>2023</v>
      </c>
      <c r="I113" s="188"/>
      <c r="J113" s="185"/>
    </row>
    <row r="114" spans="1:10" ht="30" x14ac:dyDescent="0.2">
      <c r="A114" s="96" t="s">
        <v>1302</v>
      </c>
      <c r="B114" s="93" t="e">
        <v>#N/A</v>
      </c>
      <c r="C114" s="93" t="s">
        <v>1303</v>
      </c>
      <c r="D114" s="96" t="s">
        <v>895</v>
      </c>
      <c r="E114" s="96" t="s">
        <v>51</v>
      </c>
      <c r="F114" s="96" t="s">
        <v>1300</v>
      </c>
      <c r="G114" s="93" t="s">
        <v>1304</v>
      </c>
      <c r="H114" s="97">
        <v>2023</v>
      </c>
      <c r="I114" s="188"/>
      <c r="J114" s="185"/>
    </row>
    <row r="115" spans="1:10" ht="30" x14ac:dyDescent="0.2">
      <c r="A115" s="96" t="s">
        <v>1305</v>
      </c>
      <c r="B115" s="93" t="e">
        <v>#N/A</v>
      </c>
      <c r="C115" s="93" t="s">
        <v>1306</v>
      </c>
      <c r="D115" s="96" t="s">
        <v>895</v>
      </c>
      <c r="E115" s="96" t="s">
        <v>51</v>
      </c>
      <c r="F115" s="96" t="s">
        <v>1300</v>
      </c>
      <c r="G115" s="93" t="s">
        <v>1307</v>
      </c>
      <c r="H115" s="97">
        <v>2023</v>
      </c>
      <c r="I115" s="188"/>
      <c r="J115" s="185"/>
    </row>
    <row r="116" spans="1:10" ht="30" x14ac:dyDescent="0.2">
      <c r="A116" s="96" t="s">
        <v>1308</v>
      </c>
      <c r="B116" s="93" t="e">
        <v>#N/A</v>
      </c>
      <c r="C116" s="93" t="s">
        <v>1309</v>
      </c>
      <c r="D116" s="96" t="s">
        <v>895</v>
      </c>
      <c r="E116" s="96" t="s">
        <v>51</v>
      </c>
      <c r="F116" s="96" t="s">
        <v>293</v>
      </c>
      <c r="G116" s="93" t="s">
        <v>1310</v>
      </c>
      <c r="H116" s="97">
        <v>2023</v>
      </c>
      <c r="I116" s="188"/>
      <c r="J116" s="185"/>
    </row>
    <row r="117" spans="1:10" ht="30" x14ac:dyDescent="0.2">
      <c r="A117" s="96" t="s">
        <v>1311</v>
      </c>
      <c r="B117" s="93" t="e">
        <v>#N/A</v>
      </c>
      <c r="C117" s="93" t="s">
        <v>1312</v>
      </c>
      <c r="D117" s="96" t="s">
        <v>895</v>
      </c>
      <c r="E117" s="96" t="s">
        <v>51</v>
      </c>
      <c r="F117" s="96" t="s">
        <v>293</v>
      </c>
      <c r="G117" s="93" t="s">
        <v>1313</v>
      </c>
      <c r="H117" s="97">
        <v>2023</v>
      </c>
      <c r="I117" s="188"/>
      <c r="J117" s="185"/>
    </row>
    <row r="118" spans="1:10" ht="30" x14ac:dyDescent="0.2">
      <c r="A118" s="96" t="s">
        <v>1314</v>
      </c>
      <c r="B118" s="93" t="e">
        <v>#N/A</v>
      </c>
      <c r="C118" s="93" t="s">
        <v>1315</v>
      </c>
      <c r="D118" s="96" t="s">
        <v>895</v>
      </c>
      <c r="E118" s="96" t="s">
        <v>51</v>
      </c>
      <c r="F118" s="96" t="s">
        <v>1005</v>
      </c>
      <c r="G118" s="93" t="s">
        <v>1316</v>
      </c>
      <c r="H118" s="97">
        <v>2023</v>
      </c>
      <c r="I118" s="188"/>
      <c r="J118" s="185"/>
    </row>
    <row r="119" spans="1:10" ht="45" x14ac:dyDescent="0.2">
      <c r="A119" s="96" t="s">
        <v>1317</v>
      </c>
      <c r="B119" s="93" t="e">
        <v>#N/A</v>
      </c>
      <c r="C119" s="93" t="s">
        <v>1318</v>
      </c>
      <c r="D119" s="96" t="s">
        <v>895</v>
      </c>
      <c r="E119" s="96" t="s">
        <v>51</v>
      </c>
      <c r="F119" s="96" t="s">
        <v>1233</v>
      </c>
      <c r="G119" s="93" t="s">
        <v>1319</v>
      </c>
      <c r="H119" s="97">
        <v>2023</v>
      </c>
      <c r="I119" s="188"/>
      <c r="J119" s="185"/>
    </row>
    <row r="120" spans="1:10" ht="45" x14ac:dyDescent="0.2">
      <c r="A120" s="96" t="s">
        <v>1320</v>
      </c>
      <c r="B120" s="93" t="e">
        <v>#N/A</v>
      </c>
      <c r="C120" s="93" t="s">
        <v>1321</v>
      </c>
      <c r="D120" s="96" t="s">
        <v>895</v>
      </c>
      <c r="E120" s="96" t="s">
        <v>51</v>
      </c>
      <c r="F120" s="96" t="s">
        <v>1233</v>
      </c>
      <c r="G120" s="93" t="s">
        <v>1322</v>
      </c>
      <c r="H120" s="97">
        <v>2023</v>
      </c>
      <c r="I120" s="188"/>
      <c r="J120" s="185"/>
    </row>
    <row r="121" spans="1:10" ht="45" x14ac:dyDescent="0.2">
      <c r="A121" s="96" t="s">
        <v>1323</v>
      </c>
      <c r="B121" s="93" t="e">
        <v>#N/A</v>
      </c>
      <c r="C121" s="93" t="s">
        <v>1324</v>
      </c>
      <c r="D121" s="96" t="s">
        <v>895</v>
      </c>
      <c r="E121" s="96" t="s">
        <v>51</v>
      </c>
      <c r="F121" s="96" t="s">
        <v>178</v>
      </c>
      <c r="G121" s="93" t="s">
        <v>1325</v>
      </c>
      <c r="H121" s="97">
        <v>2023</v>
      </c>
      <c r="I121" s="188"/>
      <c r="J121" s="185"/>
    </row>
    <row r="122" spans="1:10" ht="30" x14ac:dyDescent="0.2">
      <c r="A122" s="96" t="s">
        <v>1326</v>
      </c>
      <c r="B122" s="93" t="e">
        <v>#N/A</v>
      </c>
      <c r="C122" s="93" t="s">
        <v>1327</v>
      </c>
      <c r="D122" s="96" t="s">
        <v>895</v>
      </c>
      <c r="E122" s="96" t="s">
        <v>51</v>
      </c>
      <c r="F122" s="96" t="s">
        <v>1191</v>
      </c>
      <c r="G122" s="93" t="s">
        <v>1328</v>
      </c>
      <c r="H122" s="97">
        <v>2023</v>
      </c>
      <c r="I122" s="188"/>
      <c r="J122" s="185"/>
    </row>
    <row r="123" spans="1:10" ht="30" x14ac:dyDescent="0.2">
      <c r="A123" s="96" t="s">
        <v>1329</v>
      </c>
      <c r="B123" s="93" t="e">
        <v>#N/A</v>
      </c>
      <c r="C123" s="93" t="s">
        <v>1330</v>
      </c>
      <c r="D123" s="96" t="s">
        <v>895</v>
      </c>
      <c r="E123" s="96" t="s">
        <v>51</v>
      </c>
      <c r="F123" s="96" t="s">
        <v>1191</v>
      </c>
      <c r="G123" s="93" t="s">
        <v>1331</v>
      </c>
      <c r="H123" s="97">
        <v>2023</v>
      </c>
      <c r="I123" s="188"/>
      <c r="J123" s="185"/>
    </row>
    <row r="124" spans="1:10" ht="30" x14ac:dyDescent="0.2">
      <c r="A124" s="96" t="s">
        <v>1332</v>
      </c>
      <c r="B124" s="93" t="e">
        <v>#N/A</v>
      </c>
      <c r="C124" s="93" t="s">
        <v>1333</v>
      </c>
      <c r="D124" s="96" t="s">
        <v>895</v>
      </c>
      <c r="E124" s="96" t="s">
        <v>51</v>
      </c>
      <c r="F124" s="96" t="s">
        <v>406</v>
      </c>
      <c r="G124" s="93" t="s">
        <v>1334</v>
      </c>
      <c r="H124" s="97">
        <v>2023</v>
      </c>
      <c r="I124" s="188"/>
      <c r="J124" s="185"/>
    </row>
    <row r="125" spans="1:10" ht="30" x14ac:dyDescent="0.2">
      <c r="A125" s="96" t="s">
        <v>1335</v>
      </c>
      <c r="B125" s="93" t="e">
        <v>#N/A</v>
      </c>
      <c r="C125" s="93" t="s">
        <v>1336</v>
      </c>
      <c r="D125" s="96" t="s">
        <v>895</v>
      </c>
      <c r="E125" s="96" t="s">
        <v>51</v>
      </c>
      <c r="F125" s="96" t="s">
        <v>406</v>
      </c>
      <c r="G125" s="93" t="s">
        <v>1337</v>
      </c>
      <c r="H125" s="97">
        <v>2023</v>
      </c>
      <c r="I125" s="188"/>
      <c r="J125" s="185"/>
    </row>
    <row r="126" spans="1:10" ht="30" x14ac:dyDescent="0.2">
      <c r="A126" s="96" t="s">
        <v>1338</v>
      </c>
      <c r="B126" s="93" t="e">
        <v>#N/A</v>
      </c>
      <c r="C126" s="93" t="s">
        <v>1339</v>
      </c>
      <c r="D126" s="96" t="s">
        <v>895</v>
      </c>
      <c r="E126" s="96" t="s">
        <v>51</v>
      </c>
      <c r="F126" s="96" t="s">
        <v>95</v>
      </c>
      <c r="G126" s="93" t="s">
        <v>1340</v>
      </c>
      <c r="H126" s="97">
        <v>2023</v>
      </c>
      <c r="I126" s="188"/>
      <c r="J126" s="185"/>
    </row>
    <row r="127" spans="1:10" ht="30" x14ac:dyDescent="0.2">
      <c r="A127" s="96" t="s">
        <v>1341</v>
      </c>
      <c r="B127" s="93" t="e">
        <v>#N/A</v>
      </c>
      <c r="C127" s="93" t="s">
        <v>1342</v>
      </c>
      <c r="D127" s="96" t="s">
        <v>895</v>
      </c>
      <c r="E127" s="96" t="s">
        <v>51</v>
      </c>
      <c r="F127" s="96" t="s">
        <v>1202</v>
      </c>
      <c r="G127" s="93" t="s">
        <v>1343</v>
      </c>
      <c r="H127" s="97">
        <v>2023</v>
      </c>
      <c r="I127" s="188"/>
      <c r="J127" s="185"/>
    </row>
    <row r="128" spans="1:10" ht="30" x14ac:dyDescent="0.2">
      <c r="A128" s="96" t="s">
        <v>1344</v>
      </c>
      <c r="B128" s="93" t="e">
        <v>#N/A</v>
      </c>
      <c r="C128" s="93" t="s">
        <v>1345</v>
      </c>
      <c r="D128" s="96" t="s">
        <v>895</v>
      </c>
      <c r="E128" s="96" t="s">
        <v>51</v>
      </c>
      <c r="F128" s="96" t="s">
        <v>95</v>
      </c>
      <c r="G128" s="93" t="s">
        <v>1346</v>
      </c>
      <c r="H128" s="97">
        <v>2023</v>
      </c>
      <c r="I128" s="188"/>
      <c r="J128" s="185"/>
    </row>
    <row r="129" spans="1:10" ht="30" x14ac:dyDescent="0.2">
      <c r="A129" s="96" t="s">
        <v>1347</v>
      </c>
      <c r="B129" s="93" t="e">
        <v>#N/A</v>
      </c>
      <c r="C129" s="93" t="s">
        <v>1348</v>
      </c>
      <c r="D129" s="96" t="s">
        <v>895</v>
      </c>
      <c r="E129" s="96" t="s">
        <v>51</v>
      </c>
      <c r="F129" s="96" t="s">
        <v>95</v>
      </c>
      <c r="G129" s="93" t="s">
        <v>1349</v>
      </c>
      <c r="H129" s="97">
        <v>2023</v>
      </c>
      <c r="I129" s="188"/>
      <c r="J129" s="185"/>
    </row>
    <row r="130" spans="1:10" ht="30" x14ac:dyDescent="0.2">
      <c r="A130" s="96" t="s">
        <v>1350</v>
      </c>
      <c r="B130" s="93" t="e">
        <v>#N/A</v>
      </c>
      <c r="C130" s="93" t="s">
        <v>1351</v>
      </c>
      <c r="D130" s="96" t="s">
        <v>895</v>
      </c>
      <c r="E130" s="96" t="s">
        <v>51</v>
      </c>
      <c r="F130" s="96" t="s">
        <v>95</v>
      </c>
      <c r="G130" s="93" t="s">
        <v>1352</v>
      </c>
      <c r="H130" s="97">
        <v>2023</v>
      </c>
      <c r="I130" s="188"/>
      <c r="J130" s="185"/>
    </row>
    <row r="131" spans="1:10" ht="45" x14ac:dyDescent="0.2">
      <c r="A131" s="96" t="s">
        <v>1353</v>
      </c>
      <c r="B131" s="93" t="e">
        <v>#N/A</v>
      </c>
      <c r="C131" s="93" t="s">
        <v>1354</v>
      </c>
      <c r="D131" s="96" t="s">
        <v>895</v>
      </c>
      <c r="E131" s="96" t="s">
        <v>51</v>
      </c>
      <c r="F131" s="96" t="s">
        <v>173</v>
      </c>
      <c r="G131" s="93" t="s">
        <v>1355</v>
      </c>
      <c r="H131" s="97">
        <v>2023</v>
      </c>
      <c r="I131" s="188"/>
      <c r="J131" s="185"/>
    </row>
    <row r="132" spans="1:10" ht="45" x14ac:dyDescent="0.2">
      <c r="A132" s="96" t="s">
        <v>1356</v>
      </c>
      <c r="B132" s="93" t="e">
        <v>#N/A</v>
      </c>
      <c r="C132" s="93" t="s">
        <v>1357</v>
      </c>
      <c r="D132" s="96" t="s">
        <v>895</v>
      </c>
      <c r="E132" s="96" t="s">
        <v>51</v>
      </c>
      <c r="F132" s="96" t="s">
        <v>173</v>
      </c>
      <c r="G132" s="93" t="s">
        <v>1358</v>
      </c>
      <c r="H132" s="97">
        <v>2023</v>
      </c>
      <c r="I132" s="188"/>
      <c r="J132" s="185"/>
    </row>
    <row r="133" spans="1:10" ht="45" x14ac:dyDescent="0.2">
      <c r="A133" s="96" t="s">
        <v>1359</v>
      </c>
      <c r="B133" s="93" t="e">
        <v>#N/A</v>
      </c>
      <c r="C133" s="93" t="s">
        <v>1360</v>
      </c>
      <c r="D133" s="96" t="s">
        <v>895</v>
      </c>
      <c r="E133" s="96" t="s">
        <v>51</v>
      </c>
      <c r="F133" s="96" t="s">
        <v>173</v>
      </c>
      <c r="G133" s="93" t="s">
        <v>1361</v>
      </c>
      <c r="H133" s="97">
        <v>2023</v>
      </c>
      <c r="I133" s="188"/>
      <c r="J133" s="185"/>
    </row>
    <row r="134" spans="1:10" ht="30" x14ac:dyDescent="0.2">
      <c r="A134" s="96" t="s">
        <v>1362</v>
      </c>
      <c r="B134" s="93" t="e">
        <v>#N/A</v>
      </c>
      <c r="C134" s="93" t="s">
        <v>1363</v>
      </c>
      <c r="D134" s="96" t="s">
        <v>895</v>
      </c>
      <c r="E134" s="96" t="s">
        <v>51</v>
      </c>
      <c r="F134" s="96" t="s">
        <v>95</v>
      </c>
      <c r="G134" s="93" t="s">
        <v>1364</v>
      </c>
      <c r="H134" s="97">
        <v>2023</v>
      </c>
      <c r="I134" s="188"/>
      <c r="J134" s="185"/>
    </row>
    <row r="135" spans="1:10" ht="30" x14ac:dyDescent="0.2">
      <c r="A135" s="96" t="s">
        <v>1365</v>
      </c>
      <c r="B135" s="93" t="e">
        <v>#N/A</v>
      </c>
      <c r="C135" s="93" t="s">
        <v>1366</v>
      </c>
      <c r="D135" s="96" t="s">
        <v>895</v>
      </c>
      <c r="E135" s="96" t="s">
        <v>51</v>
      </c>
      <c r="F135" s="96" t="s">
        <v>95</v>
      </c>
      <c r="G135" s="93" t="s">
        <v>1367</v>
      </c>
      <c r="H135" s="97">
        <v>2023</v>
      </c>
      <c r="I135" s="188"/>
      <c r="J135" s="185"/>
    </row>
    <row r="136" spans="1:10" ht="45" x14ac:dyDescent="0.2">
      <c r="A136" s="96" t="s">
        <v>1368</v>
      </c>
      <c r="B136" s="93" t="e">
        <v>#N/A</v>
      </c>
      <c r="C136" s="93" t="s">
        <v>1369</v>
      </c>
      <c r="D136" s="96" t="s">
        <v>895</v>
      </c>
      <c r="E136" s="96" t="s">
        <v>51</v>
      </c>
      <c r="F136" s="96" t="s">
        <v>173</v>
      </c>
      <c r="G136" s="93" t="s">
        <v>1370</v>
      </c>
      <c r="H136" s="97">
        <v>2023</v>
      </c>
      <c r="I136" s="188"/>
      <c r="J136" s="185"/>
    </row>
    <row r="137" spans="1:10" ht="30" x14ac:dyDescent="0.2">
      <c r="A137" s="96" t="s">
        <v>1371</v>
      </c>
      <c r="B137" s="93" t="e">
        <v>#N/A</v>
      </c>
      <c r="C137" s="93" t="s">
        <v>1372</v>
      </c>
      <c r="D137" s="96" t="s">
        <v>895</v>
      </c>
      <c r="E137" s="96" t="s">
        <v>51</v>
      </c>
      <c r="F137" s="96" t="s">
        <v>52</v>
      </c>
      <c r="G137" s="93" t="s">
        <v>1373</v>
      </c>
      <c r="H137" s="97">
        <v>2023</v>
      </c>
      <c r="I137" s="188"/>
      <c r="J137" s="185"/>
    </row>
    <row r="138" spans="1:10" ht="30" x14ac:dyDescent="0.2">
      <c r="A138" s="96" t="s">
        <v>1374</v>
      </c>
      <c r="B138" s="93" t="e">
        <v>#N/A</v>
      </c>
      <c r="C138" s="93" t="s">
        <v>1375</v>
      </c>
      <c r="D138" s="96" t="s">
        <v>895</v>
      </c>
      <c r="E138" s="96" t="s">
        <v>51</v>
      </c>
      <c r="F138" s="96" t="s">
        <v>74</v>
      </c>
      <c r="G138" s="93" t="s">
        <v>1376</v>
      </c>
      <c r="H138" s="97">
        <v>2023</v>
      </c>
      <c r="I138" s="188"/>
      <c r="J138" s="185"/>
    </row>
    <row r="139" spans="1:10" ht="30" x14ac:dyDescent="0.2">
      <c r="A139" s="96" t="s">
        <v>1377</v>
      </c>
      <c r="B139" s="93" t="e">
        <v>#N/A</v>
      </c>
      <c r="C139" s="93" t="s">
        <v>1378</v>
      </c>
      <c r="D139" s="96" t="s">
        <v>895</v>
      </c>
      <c r="E139" s="96" t="s">
        <v>51</v>
      </c>
      <c r="F139" s="96" t="s">
        <v>103</v>
      </c>
      <c r="G139" s="93" t="s">
        <v>1379</v>
      </c>
      <c r="H139" s="97">
        <v>2023</v>
      </c>
      <c r="I139" s="188"/>
      <c r="J139" s="185"/>
    </row>
    <row r="140" spans="1:10" ht="30" x14ac:dyDescent="0.2">
      <c r="A140" s="96" t="s">
        <v>1380</v>
      </c>
      <c r="B140" s="93" t="e">
        <v>#N/A</v>
      </c>
      <c r="C140" s="93" t="s">
        <v>1381</v>
      </c>
      <c r="D140" s="96" t="s">
        <v>895</v>
      </c>
      <c r="E140" s="96" t="s">
        <v>51</v>
      </c>
      <c r="F140" s="96" t="s">
        <v>922</v>
      </c>
      <c r="G140" s="93" t="s">
        <v>1382</v>
      </c>
      <c r="H140" s="97">
        <v>2023</v>
      </c>
      <c r="I140" s="188"/>
      <c r="J140" s="185"/>
    </row>
    <row r="141" spans="1:10" ht="30" x14ac:dyDescent="0.2">
      <c r="A141" s="96" t="s">
        <v>1383</v>
      </c>
      <c r="B141" s="93" t="e">
        <v>#N/A</v>
      </c>
      <c r="C141" s="93" t="s">
        <v>1384</v>
      </c>
      <c r="D141" s="96" t="s">
        <v>895</v>
      </c>
      <c r="E141" s="96" t="s">
        <v>51</v>
      </c>
      <c r="F141" s="96" t="s">
        <v>74</v>
      </c>
      <c r="G141" s="93" t="s">
        <v>1385</v>
      </c>
      <c r="H141" s="97">
        <v>2023</v>
      </c>
      <c r="I141" s="188"/>
      <c r="J141" s="185"/>
    </row>
    <row r="142" spans="1:10" ht="30" x14ac:dyDescent="0.2">
      <c r="A142" s="96" t="s">
        <v>1386</v>
      </c>
      <c r="B142" s="93" t="e">
        <v>#N/A</v>
      </c>
      <c r="C142" s="93" t="s">
        <v>1387</v>
      </c>
      <c r="D142" s="96" t="s">
        <v>895</v>
      </c>
      <c r="E142" s="96" t="s">
        <v>51</v>
      </c>
      <c r="F142" s="96" t="s">
        <v>74</v>
      </c>
      <c r="G142" s="93" t="s">
        <v>1388</v>
      </c>
      <c r="H142" s="97">
        <v>2023</v>
      </c>
      <c r="I142" s="188"/>
      <c r="J142" s="185"/>
    </row>
    <row r="143" spans="1:10" ht="30" x14ac:dyDescent="0.2">
      <c r="A143" s="96" t="s">
        <v>1389</v>
      </c>
      <c r="B143" s="93" t="e">
        <v>#N/A</v>
      </c>
      <c r="C143" s="93" t="s">
        <v>1390</v>
      </c>
      <c r="D143" s="96" t="s">
        <v>895</v>
      </c>
      <c r="E143" s="96" t="s">
        <v>51</v>
      </c>
      <c r="F143" s="96" t="s">
        <v>103</v>
      </c>
      <c r="G143" s="93" t="s">
        <v>1391</v>
      </c>
      <c r="H143" s="97">
        <v>2023</v>
      </c>
      <c r="I143" s="188"/>
      <c r="J143" s="185"/>
    </row>
    <row r="144" spans="1:10" ht="30" x14ac:dyDescent="0.2">
      <c r="A144" s="96" t="s">
        <v>1392</v>
      </c>
      <c r="B144" s="93" t="e">
        <v>#N/A</v>
      </c>
      <c r="C144" s="93" t="s">
        <v>1393</v>
      </c>
      <c r="D144" s="96" t="s">
        <v>895</v>
      </c>
      <c r="E144" s="96" t="s">
        <v>51</v>
      </c>
      <c r="F144" s="96" t="s">
        <v>1015</v>
      </c>
      <c r="G144" s="93" t="s">
        <v>1394</v>
      </c>
      <c r="H144" s="97">
        <v>2023</v>
      </c>
      <c r="I144" s="188"/>
      <c r="J144" s="185"/>
    </row>
    <row r="145" spans="1:10" ht="30" x14ac:dyDescent="0.2">
      <c r="A145" s="96" t="s">
        <v>1395</v>
      </c>
      <c r="B145" s="93" t="e">
        <v>#N/A</v>
      </c>
      <c r="C145" s="93" t="s">
        <v>1396</v>
      </c>
      <c r="D145" s="96" t="s">
        <v>895</v>
      </c>
      <c r="E145" s="96" t="s">
        <v>51</v>
      </c>
      <c r="F145" s="96" t="s">
        <v>1015</v>
      </c>
      <c r="G145" s="93" t="s">
        <v>1397</v>
      </c>
      <c r="H145" s="97">
        <v>2023</v>
      </c>
      <c r="I145" s="188"/>
      <c r="J145" s="185"/>
    </row>
    <row r="146" spans="1:10" ht="30" x14ac:dyDescent="0.2">
      <c r="A146" s="96" t="s">
        <v>1398</v>
      </c>
      <c r="B146" s="93" t="e">
        <v>#N/A</v>
      </c>
      <c r="C146" s="93" t="s">
        <v>1399</v>
      </c>
      <c r="D146" s="96" t="s">
        <v>895</v>
      </c>
      <c r="E146" s="96" t="s">
        <v>51</v>
      </c>
      <c r="F146" s="96" t="s">
        <v>1005</v>
      </c>
      <c r="G146" s="93" t="s">
        <v>1400</v>
      </c>
      <c r="H146" s="97">
        <v>2023</v>
      </c>
      <c r="I146" s="188"/>
      <c r="J146" s="185"/>
    </row>
    <row r="147" spans="1:10" ht="45" x14ac:dyDescent="0.2">
      <c r="A147" s="96" t="s">
        <v>1401</v>
      </c>
      <c r="B147" s="93" t="e">
        <v>#N/A</v>
      </c>
      <c r="C147" s="93" t="s">
        <v>1402</v>
      </c>
      <c r="D147" s="96" t="s">
        <v>895</v>
      </c>
      <c r="E147" s="96" t="s">
        <v>51</v>
      </c>
      <c r="F147" s="96" t="s">
        <v>178</v>
      </c>
      <c r="G147" s="93" t="s">
        <v>1403</v>
      </c>
      <c r="H147" s="97">
        <v>2023</v>
      </c>
      <c r="I147" s="188"/>
      <c r="J147" s="185"/>
    </row>
    <row r="148" spans="1:10" ht="30" x14ac:dyDescent="0.2">
      <c r="A148" s="96" t="s">
        <v>1404</v>
      </c>
      <c r="B148" s="93" t="e">
        <v>#N/A</v>
      </c>
      <c r="C148" s="93" t="s">
        <v>1405</v>
      </c>
      <c r="D148" s="96" t="s">
        <v>895</v>
      </c>
      <c r="E148" s="96" t="s">
        <v>51</v>
      </c>
      <c r="F148" s="96" t="s">
        <v>406</v>
      </c>
      <c r="G148" s="93" t="s">
        <v>1406</v>
      </c>
      <c r="H148" s="97">
        <v>2023</v>
      </c>
      <c r="I148" s="188"/>
      <c r="J148" s="185"/>
    </row>
    <row r="149" spans="1:10" ht="30" x14ac:dyDescent="0.2">
      <c r="A149" s="96" t="s">
        <v>1407</v>
      </c>
      <c r="B149" s="93" t="e">
        <v>#N/A</v>
      </c>
      <c r="C149" s="93" t="s">
        <v>1408</v>
      </c>
      <c r="D149" s="96" t="s">
        <v>895</v>
      </c>
      <c r="E149" s="96" t="s">
        <v>37</v>
      </c>
      <c r="F149" s="96" t="s">
        <v>156</v>
      </c>
      <c r="G149" s="93" t="s">
        <v>1409</v>
      </c>
      <c r="H149" s="97">
        <v>2023</v>
      </c>
      <c r="I149" s="188"/>
      <c r="J149" s="185"/>
    </row>
    <row r="150" spans="1:10" ht="30" x14ac:dyDescent="0.2">
      <c r="A150" s="96" t="s">
        <v>1410</v>
      </c>
      <c r="B150" s="93" t="e">
        <v>#N/A</v>
      </c>
      <c r="C150" s="93" t="s">
        <v>1411</v>
      </c>
      <c r="D150" s="96" t="s">
        <v>895</v>
      </c>
      <c r="E150" s="96" t="s">
        <v>54</v>
      </c>
      <c r="F150" s="96" t="s">
        <v>474</v>
      </c>
      <c r="G150" s="93" t="s">
        <v>1412</v>
      </c>
      <c r="H150" s="97">
        <v>2023</v>
      </c>
      <c r="I150" s="188"/>
      <c r="J150" s="185"/>
    </row>
    <row r="151" spans="1:10" ht="45" x14ac:dyDescent="0.2">
      <c r="A151" s="96" t="s">
        <v>1413</v>
      </c>
      <c r="B151" s="93" t="e">
        <v>#N/A</v>
      </c>
      <c r="C151" s="93" t="s">
        <v>1414</v>
      </c>
      <c r="D151" s="96" t="s">
        <v>895</v>
      </c>
      <c r="E151" s="96" t="s">
        <v>54</v>
      </c>
      <c r="F151" s="96" t="s">
        <v>200</v>
      </c>
      <c r="G151" s="93" t="s">
        <v>1415</v>
      </c>
      <c r="H151" s="97">
        <v>2023</v>
      </c>
      <c r="I151" s="188"/>
      <c r="J151" s="185"/>
    </row>
    <row r="152" spans="1:10" ht="30" x14ac:dyDescent="0.2">
      <c r="A152" s="96" t="s">
        <v>1416</v>
      </c>
      <c r="B152" s="93" t="e">
        <v>#N/A</v>
      </c>
      <c r="C152" s="93" t="s">
        <v>1417</v>
      </c>
      <c r="D152" s="96" t="s">
        <v>895</v>
      </c>
      <c r="E152" s="96" t="s">
        <v>51</v>
      </c>
      <c r="F152" s="96" t="s">
        <v>912</v>
      </c>
      <c r="G152" s="93" t="s">
        <v>1418</v>
      </c>
      <c r="H152" s="97">
        <v>2023</v>
      </c>
      <c r="I152" s="188"/>
      <c r="J152" s="185"/>
    </row>
    <row r="153" spans="1:10" ht="30" x14ac:dyDescent="0.2">
      <c r="A153" s="96" t="s">
        <v>1419</v>
      </c>
      <c r="B153" s="93" t="e">
        <v>#N/A</v>
      </c>
      <c r="C153" s="93" t="s">
        <v>1420</v>
      </c>
      <c r="D153" s="96" t="s">
        <v>895</v>
      </c>
      <c r="E153" s="96" t="s">
        <v>54</v>
      </c>
      <c r="F153" s="96" t="s">
        <v>67</v>
      </c>
      <c r="G153" s="93" t="s">
        <v>1421</v>
      </c>
      <c r="H153" s="97">
        <v>2023</v>
      </c>
      <c r="I153" s="188"/>
      <c r="J153" s="185"/>
    </row>
    <row r="154" spans="1:10" ht="30" x14ac:dyDescent="0.2">
      <c r="A154" s="96" t="s">
        <v>1422</v>
      </c>
      <c r="B154" s="93" t="e">
        <v>#N/A</v>
      </c>
      <c r="C154" s="93" t="s">
        <v>1423</v>
      </c>
      <c r="D154" s="96" t="s">
        <v>895</v>
      </c>
      <c r="E154" s="96" t="s">
        <v>37</v>
      </c>
      <c r="F154" s="96" t="s">
        <v>156</v>
      </c>
      <c r="G154" s="93" t="s">
        <v>1424</v>
      </c>
      <c r="H154" s="97">
        <v>2023</v>
      </c>
      <c r="I154" s="188"/>
      <c r="J154" s="185"/>
    </row>
    <row r="155" spans="1:10" ht="30" x14ac:dyDescent="0.2">
      <c r="A155" s="96" t="s">
        <v>1425</v>
      </c>
      <c r="B155" s="93" t="e">
        <v>#N/A</v>
      </c>
      <c r="C155" s="93" t="s">
        <v>1426</v>
      </c>
      <c r="D155" s="96" t="s">
        <v>895</v>
      </c>
      <c r="E155" s="96" t="s">
        <v>37</v>
      </c>
      <c r="F155" s="96" t="s">
        <v>156</v>
      </c>
      <c r="G155" s="93" t="s">
        <v>1427</v>
      </c>
      <c r="H155" s="97">
        <v>2023</v>
      </c>
      <c r="I155" s="188"/>
      <c r="J155" s="185"/>
    </row>
    <row r="156" spans="1:10" ht="30" x14ac:dyDescent="0.2">
      <c r="A156" s="96" t="s">
        <v>1428</v>
      </c>
      <c r="B156" s="93" t="e">
        <v>#N/A</v>
      </c>
      <c r="C156" s="93" t="s">
        <v>1429</v>
      </c>
      <c r="D156" s="96" t="s">
        <v>895</v>
      </c>
      <c r="E156" s="96" t="s">
        <v>37</v>
      </c>
      <c r="F156" s="96" t="s">
        <v>156</v>
      </c>
      <c r="G156" s="93" t="s">
        <v>1430</v>
      </c>
      <c r="H156" s="97">
        <v>2023</v>
      </c>
      <c r="I156" s="188"/>
      <c r="J156" s="185"/>
    </row>
    <row r="157" spans="1:10" ht="30" x14ac:dyDescent="0.2">
      <c r="A157" s="96" t="s">
        <v>1431</v>
      </c>
      <c r="B157" s="93" t="e">
        <v>#N/A</v>
      </c>
      <c r="C157" s="93" t="s">
        <v>1432</v>
      </c>
      <c r="D157" s="96" t="s">
        <v>895</v>
      </c>
      <c r="E157" s="96" t="s">
        <v>37</v>
      </c>
      <c r="F157" s="96" t="s">
        <v>156</v>
      </c>
      <c r="G157" s="93" t="s">
        <v>1433</v>
      </c>
      <c r="H157" s="97">
        <v>2023</v>
      </c>
      <c r="I157" s="188"/>
      <c r="J157" s="185"/>
    </row>
    <row r="158" spans="1:10" ht="30" x14ac:dyDescent="0.2">
      <c r="A158" s="96" t="s">
        <v>1434</v>
      </c>
      <c r="B158" s="93" t="e">
        <v>#N/A</v>
      </c>
      <c r="C158" s="93" t="s">
        <v>1435</v>
      </c>
      <c r="D158" s="96" t="s">
        <v>895</v>
      </c>
      <c r="E158" s="96" t="s">
        <v>37</v>
      </c>
      <c r="F158" s="96" t="s">
        <v>156</v>
      </c>
      <c r="G158" s="93" t="s">
        <v>1436</v>
      </c>
      <c r="H158" s="97">
        <v>2023</v>
      </c>
      <c r="I158" s="188"/>
      <c r="J158" s="185"/>
    </row>
    <row r="159" spans="1:10" ht="30" x14ac:dyDescent="0.2">
      <c r="A159" s="96" t="s">
        <v>1437</v>
      </c>
      <c r="B159" s="93" t="e">
        <v>#N/A</v>
      </c>
      <c r="C159" s="93" t="s">
        <v>1438</v>
      </c>
      <c r="D159" s="96" t="s">
        <v>895</v>
      </c>
      <c r="E159" s="96" t="s">
        <v>37</v>
      </c>
      <c r="F159" s="96" t="s">
        <v>206</v>
      </c>
      <c r="G159" s="93" t="s">
        <v>1439</v>
      </c>
      <c r="H159" s="97">
        <v>2023</v>
      </c>
      <c r="I159" s="188"/>
      <c r="J159" s="185"/>
    </row>
    <row r="160" spans="1:10" ht="30" x14ac:dyDescent="0.2">
      <c r="A160" s="96" t="s">
        <v>1440</v>
      </c>
      <c r="B160" s="93" t="e">
        <v>#N/A</v>
      </c>
      <c r="C160" s="93" t="s">
        <v>1441</v>
      </c>
      <c r="D160" s="96" t="s">
        <v>895</v>
      </c>
      <c r="E160" s="96" t="s">
        <v>37</v>
      </c>
      <c r="F160" s="96" t="s">
        <v>206</v>
      </c>
      <c r="G160" s="93" t="s">
        <v>1442</v>
      </c>
      <c r="H160" s="97">
        <v>2023</v>
      </c>
      <c r="I160" s="188"/>
      <c r="J160" s="185"/>
    </row>
    <row r="161" spans="1:10" ht="30" x14ac:dyDescent="0.2">
      <c r="A161" s="96" t="s">
        <v>1443</v>
      </c>
      <c r="B161" s="93" t="e">
        <v>#N/A</v>
      </c>
      <c r="C161" s="93" t="s">
        <v>1444</v>
      </c>
      <c r="D161" s="96" t="s">
        <v>895</v>
      </c>
      <c r="E161" s="96" t="s">
        <v>51</v>
      </c>
      <c r="F161" s="96" t="s">
        <v>1445</v>
      </c>
      <c r="G161" s="93" t="s">
        <v>1446</v>
      </c>
      <c r="H161" s="97">
        <v>2023</v>
      </c>
      <c r="I161" s="188"/>
      <c r="J161" s="185"/>
    </row>
    <row r="162" spans="1:10" ht="30" x14ac:dyDescent="0.2">
      <c r="A162" s="96" t="s">
        <v>1447</v>
      </c>
      <c r="B162" s="93" t="e">
        <v>#N/A</v>
      </c>
      <c r="C162" s="93" t="s">
        <v>1448</v>
      </c>
      <c r="D162" s="96" t="s">
        <v>895</v>
      </c>
      <c r="E162" s="96" t="s">
        <v>54</v>
      </c>
      <c r="F162" s="96" t="s">
        <v>67</v>
      </c>
      <c r="G162" s="93" t="s">
        <v>1449</v>
      </c>
      <c r="H162" s="97">
        <v>2023</v>
      </c>
      <c r="I162" s="188"/>
      <c r="J162" s="185"/>
    </row>
    <row r="163" spans="1:10" ht="30" x14ac:dyDescent="0.2">
      <c r="A163" s="96" t="s">
        <v>1450</v>
      </c>
      <c r="B163" s="93" t="e">
        <v>#N/A</v>
      </c>
      <c r="C163" s="93" t="s">
        <v>1451</v>
      </c>
      <c r="D163" s="96" t="s">
        <v>895</v>
      </c>
      <c r="E163" s="96" t="s">
        <v>54</v>
      </c>
      <c r="F163" s="96" t="s">
        <v>67</v>
      </c>
      <c r="G163" s="93" t="s">
        <v>1452</v>
      </c>
      <c r="H163" s="97">
        <v>2023</v>
      </c>
      <c r="I163" s="188"/>
      <c r="J163" s="185"/>
    </row>
    <row r="164" spans="1:10" ht="30" x14ac:dyDescent="0.2">
      <c r="A164" s="96" t="s">
        <v>1453</v>
      </c>
      <c r="B164" s="93" t="e">
        <v>#N/A</v>
      </c>
      <c r="C164" s="93" t="s">
        <v>1454</v>
      </c>
      <c r="D164" s="96" t="s">
        <v>895</v>
      </c>
      <c r="E164" s="96" t="s">
        <v>37</v>
      </c>
      <c r="F164" s="96" t="s">
        <v>1290</v>
      </c>
      <c r="G164" s="93" t="s">
        <v>1455</v>
      </c>
      <c r="H164" s="97">
        <v>2023</v>
      </c>
      <c r="I164" s="188"/>
      <c r="J164" s="185"/>
    </row>
    <row r="165" spans="1:10" ht="45" x14ac:dyDescent="0.2">
      <c r="A165" s="96" t="s">
        <v>1456</v>
      </c>
      <c r="B165" s="93" t="e">
        <v>#N/A</v>
      </c>
      <c r="C165" s="93" t="s">
        <v>1457</v>
      </c>
      <c r="D165" s="96" t="s">
        <v>895</v>
      </c>
      <c r="E165" s="96" t="s">
        <v>37</v>
      </c>
      <c r="F165" s="96" t="s">
        <v>1290</v>
      </c>
      <c r="G165" s="93" t="s">
        <v>1458</v>
      </c>
      <c r="H165" s="97">
        <v>2023</v>
      </c>
      <c r="I165" s="188"/>
      <c r="J165" s="185"/>
    </row>
    <row r="166" spans="1:10" ht="30" x14ac:dyDescent="0.2">
      <c r="A166" s="96" t="s">
        <v>1459</v>
      </c>
      <c r="B166" s="93" t="e">
        <v>#N/A</v>
      </c>
      <c r="C166" s="93" t="s">
        <v>1460</v>
      </c>
      <c r="D166" s="96" t="s">
        <v>895</v>
      </c>
      <c r="E166" s="96" t="s">
        <v>37</v>
      </c>
      <c r="F166" s="96" t="s">
        <v>38</v>
      </c>
      <c r="G166" s="93" t="s">
        <v>1461</v>
      </c>
      <c r="H166" s="97">
        <v>2023</v>
      </c>
      <c r="I166" s="188"/>
      <c r="J166" s="185"/>
    </row>
    <row r="167" spans="1:10" ht="30" x14ac:dyDescent="0.2">
      <c r="A167" s="96" t="s">
        <v>1462</v>
      </c>
      <c r="B167" s="93" t="e">
        <v>#N/A</v>
      </c>
      <c r="C167" s="93" t="s">
        <v>1463</v>
      </c>
      <c r="D167" s="96" t="s">
        <v>895</v>
      </c>
      <c r="E167" s="96" t="s">
        <v>51</v>
      </c>
      <c r="F167" s="96" t="s">
        <v>922</v>
      </c>
      <c r="G167" s="93" t="s">
        <v>1464</v>
      </c>
      <c r="H167" s="97">
        <v>2023</v>
      </c>
      <c r="I167" s="188"/>
      <c r="J167" s="185"/>
    </row>
    <row r="168" spans="1:10" ht="30" x14ac:dyDescent="0.2">
      <c r="A168" s="96" t="s">
        <v>1465</v>
      </c>
      <c r="B168" s="93" t="e">
        <v>#N/A</v>
      </c>
      <c r="C168" s="93" t="s">
        <v>1466</v>
      </c>
      <c r="D168" s="96" t="s">
        <v>895</v>
      </c>
      <c r="E168" s="96" t="s">
        <v>51</v>
      </c>
      <c r="F168" s="96" t="s">
        <v>103</v>
      </c>
      <c r="G168" s="93" t="s">
        <v>1467</v>
      </c>
      <c r="H168" s="97">
        <v>2023</v>
      </c>
      <c r="I168" s="188"/>
      <c r="J168" s="185"/>
    </row>
    <row r="169" spans="1:10" ht="30" x14ac:dyDescent="0.2">
      <c r="A169" s="96" t="s">
        <v>1468</v>
      </c>
      <c r="B169" s="93" t="e">
        <v>#N/A</v>
      </c>
      <c r="C169" s="93" t="s">
        <v>1469</v>
      </c>
      <c r="D169" s="96" t="s">
        <v>895</v>
      </c>
      <c r="E169" s="96" t="s">
        <v>51</v>
      </c>
      <c r="F169" s="96" t="s">
        <v>103</v>
      </c>
      <c r="G169" s="93" t="s">
        <v>1470</v>
      </c>
      <c r="H169" s="97">
        <v>2023</v>
      </c>
      <c r="I169" s="188"/>
      <c r="J169" s="185"/>
    </row>
    <row r="170" spans="1:10" ht="30" x14ac:dyDescent="0.2">
      <c r="A170" s="96" t="s">
        <v>1471</v>
      </c>
      <c r="B170" s="93" t="e">
        <v>#N/A</v>
      </c>
      <c r="C170" s="93" t="s">
        <v>1472</v>
      </c>
      <c r="D170" s="96" t="s">
        <v>895</v>
      </c>
      <c r="E170" s="96" t="s">
        <v>51</v>
      </c>
      <c r="F170" s="96" t="s">
        <v>103</v>
      </c>
      <c r="G170" s="93" t="s">
        <v>1473</v>
      </c>
      <c r="H170" s="97">
        <v>2023</v>
      </c>
      <c r="I170" s="188"/>
      <c r="J170" s="185"/>
    </row>
    <row r="171" spans="1:10" ht="30" x14ac:dyDescent="0.2">
      <c r="A171" s="96" t="s">
        <v>1474</v>
      </c>
      <c r="B171" s="93" t="e">
        <v>#N/A</v>
      </c>
      <c r="C171" s="93" t="s">
        <v>1475</v>
      </c>
      <c r="D171" s="96" t="s">
        <v>895</v>
      </c>
      <c r="E171" s="96" t="s">
        <v>51</v>
      </c>
      <c r="F171" s="96" t="s">
        <v>103</v>
      </c>
      <c r="G171" s="93" t="s">
        <v>1476</v>
      </c>
      <c r="H171" s="97">
        <v>2023</v>
      </c>
      <c r="I171" s="188"/>
      <c r="J171" s="185"/>
    </row>
    <row r="172" spans="1:10" ht="30" x14ac:dyDescent="0.2">
      <c r="A172" s="96" t="s">
        <v>1477</v>
      </c>
      <c r="B172" s="93" t="e">
        <v>#N/A</v>
      </c>
      <c r="C172" s="93" t="s">
        <v>1478</v>
      </c>
      <c r="D172" s="96" t="s">
        <v>895</v>
      </c>
      <c r="E172" s="96" t="s">
        <v>51</v>
      </c>
      <c r="F172" s="96" t="s">
        <v>103</v>
      </c>
      <c r="G172" s="93" t="s">
        <v>1479</v>
      </c>
      <c r="H172" s="97">
        <v>2023</v>
      </c>
      <c r="I172" s="188"/>
      <c r="J172" s="185"/>
    </row>
    <row r="173" spans="1:10" ht="30" x14ac:dyDescent="0.2">
      <c r="A173" s="96" t="s">
        <v>1480</v>
      </c>
      <c r="B173" s="93" t="e">
        <v>#N/A</v>
      </c>
      <c r="C173" s="71" t="s">
        <v>30</v>
      </c>
      <c r="D173" s="96" t="s">
        <v>895</v>
      </c>
      <c r="E173" s="96" t="s">
        <v>51</v>
      </c>
      <c r="F173" s="96" t="s">
        <v>406</v>
      </c>
      <c r="G173" s="93" t="s">
        <v>1481</v>
      </c>
      <c r="H173" s="97">
        <v>2024</v>
      </c>
      <c r="I173" s="188"/>
      <c r="J173" s="185"/>
    </row>
    <row r="174" spans="1:10" ht="30" x14ac:dyDescent="0.2">
      <c r="A174" s="96" t="s">
        <v>1482</v>
      </c>
      <c r="B174" s="93">
        <v>18440435</v>
      </c>
      <c r="C174" s="71" t="s">
        <v>1483</v>
      </c>
      <c r="D174" s="96" t="s">
        <v>895</v>
      </c>
      <c r="E174" s="96" t="s">
        <v>51</v>
      </c>
      <c r="F174" s="96" t="s">
        <v>393</v>
      </c>
      <c r="G174" s="93" t="s">
        <v>1484</v>
      </c>
      <c r="H174" s="97">
        <v>2024</v>
      </c>
      <c r="I174" s="188"/>
      <c r="J174" s="185"/>
    </row>
    <row r="175" spans="1:10" ht="30" x14ac:dyDescent="0.2">
      <c r="A175" s="96" t="s">
        <v>1485</v>
      </c>
      <c r="B175" s="93" t="e">
        <v>#N/A</v>
      </c>
      <c r="C175" s="71" t="s">
        <v>30</v>
      </c>
      <c r="D175" s="96" t="s">
        <v>895</v>
      </c>
      <c r="E175" s="96" t="s">
        <v>51</v>
      </c>
      <c r="F175" s="96" t="s">
        <v>95</v>
      </c>
      <c r="G175" s="93" t="s">
        <v>1486</v>
      </c>
      <c r="H175" s="97">
        <v>2024</v>
      </c>
      <c r="I175" s="188"/>
      <c r="J175" s="185"/>
    </row>
    <row r="176" spans="1:10" ht="30" x14ac:dyDescent="0.2">
      <c r="A176" s="96" t="s">
        <v>1487</v>
      </c>
      <c r="B176" s="93" t="e">
        <v>#N/A</v>
      </c>
      <c r="C176" s="71" t="s">
        <v>30</v>
      </c>
      <c r="D176" s="96" t="s">
        <v>895</v>
      </c>
      <c r="E176" s="96" t="s">
        <v>51</v>
      </c>
      <c r="F176" s="96" t="s">
        <v>95</v>
      </c>
      <c r="G176" s="93" t="s">
        <v>1488</v>
      </c>
      <c r="H176" s="97">
        <v>2024</v>
      </c>
      <c r="I176" s="188"/>
      <c r="J176" s="185"/>
    </row>
    <row r="177" spans="1:10" ht="30" x14ac:dyDescent="0.2">
      <c r="A177" s="96" t="s">
        <v>1489</v>
      </c>
      <c r="B177" s="93" t="e">
        <v>#N/A</v>
      </c>
      <c r="C177" s="71" t="s">
        <v>30</v>
      </c>
      <c r="D177" s="96" t="s">
        <v>895</v>
      </c>
      <c r="E177" s="96" t="s">
        <v>51</v>
      </c>
      <c r="F177" s="96" t="s">
        <v>95</v>
      </c>
      <c r="G177" s="93" t="s">
        <v>1490</v>
      </c>
      <c r="H177" s="97">
        <v>2024</v>
      </c>
      <c r="I177" s="188"/>
      <c r="J177" s="185"/>
    </row>
    <row r="178" spans="1:10" ht="30" x14ac:dyDescent="0.2">
      <c r="A178" s="96" t="s">
        <v>1491</v>
      </c>
      <c r="B178" s="93" t="e">
        <v>#N/A</v>
      </c>
      <c r="C178" s="71" t="s">
        <v>30</v>
      </c>
      <c r="D178" s="96" t="s">
        <v>895</v>
      </c>
      <c r="E178" s="96" t="s">
        <v>51</v>
      </c>
      <c r="F178" s="96" t="s">
        <v>95</v>
      </c>
      <c r="G178" s="93" t="s">
        <v>1492</v>
      </c>
      <c r="H178" s="97">
        <v>2024</v>
      </c>
      <c r="I178" s="188"/>
      <c r="J178" s="185"/>
    </row>
    <row r="179" spans="1:10" ht="30" x14ac:dyDescent="0.2">
      <c r="A179" s="96" t="s">
        <v>1493</v>
      </c>
      <c r="B179" s="93" t="e">
        <v>#N/A</v>
      </c>
      <c r="C179" s="71" t="s">
        <v>30</v>
      </c>
      <c r="D179" s="96" t="s">
        <v>895</v>
      </c>
      <c r="E179" s="96" t="s">
        <v>51</v>
      </c>
      <c r="F179" s="96" t="s">
        <v>95</v>
      </c>
      <c r="G179" s="93" t="s">
        <v>1494</v>
      </c>
      <c r="H179" s="97">
        <v>2024</v>
      </c>
      <c r="I179" s="188"/>
      <c r="J179" s="185"/>
    </row>
    <row r="180" spans="1:10" ht="30" x14ac:dyDescent="0.2">
      <c r="A180" s="96" t="s">
        <v>1495</v>
      </c>
      <c r="B180" s="93" t="e">
        <v>#N/A</v>
      </c>
      <c r="C180" s="71" t="s">
        <v>30</v>
      </c>
      <c r="D180" s="96" t="s">
        <v>895</v>
      </c>
      <c r="E180" s="96" t="s">
        <v>51</v>
      </c>
      <c r="F180" s="96" t="s">
        <v>95</v>
      </c>
      <c r="G180" s="93" t="s">
        <v>1496</v>
      </c>
      <c r="H180" s="97">
        <v>2024</v>
      </c>
      <c r="I180" s="188"/>
      <c r="J180" s="185"/>
    </row>
    <row r="181" spans="1:10" ht="30" x14ac:dyDescent="0.2">
      <c r="A181" s="96" t="s">
        <v>1497</v>
      </c>
      <c r="B181" s="93" t="e">
        <v>#N/A</v>
      </c>
      <c r="C181" s="71" t="s">
        <v>30</v>
      </c>
      <c r="D181" s="96" t="s">
        <v>895</v>
      </c>
      <c r="E181" s="96" t="s">
        <v>51</v>
      </c>
      <c r="F181" s="96" t="s">
        <v>95</v>
      </c>
      <c r="G181" s="93" t="s">
        <v>1498</v>
      </c>
      <c r="H181" s="97">
        <v>2024</v>
      </c>
      <c r="I181" s="188"/>
      <c r="J181" s="185"/>
    </row>
    <row r="182" spans="1:10" ht="30" x14ac:dyDescent="0.2">
      <c r="A182" s="96" t="s">
        <v>1499</v>
      </c>
      <c r="B182" s="93" t="e">
        <v>#N/A</v>
      </c>
      <c r="C182" s="71" t="s">
        <v>30</v>
      </c>
      <c r="D182" s="96" t="s">
        <v>895</v>
      </c>
      <c r="E182" s="96" t="s">
        <v>51</v>
      </c>
      <c r="F182" s="96" t="s">
        <v>95</v>
      </c>
      <c r="G182" s="93" t="s">
        <v>1500</v>
      </c>
      <c r="H182" s="97">
        <v>2024</v>
      </c>
      <c r="I182" s="188"/>
      <c r="J182" s="185"/>
    </row>
    <row r="183" spans="1:10" ht="30" x14ac:dyDescent="0.2">
      <c r="A183" s="96" t="s">
        <v>1501</v>
      </c>
      <c r="B183" s="93" t="e">
        <v>#N/A</v>
      </c>
      <c r="C183" s="71" t="s">
        <v>30</v>
      </c>
      <c r="D183" s="96" t="s">
        <v>895</v>
      </c>
      <c r="E183" s="96" t="s">
        <v>51</v>
      </c>
      <c r="F183" s="96" t="s">
        <v>95</v>
      </c>
      <c r="G183" s="93" t="s">
        <v>1502</v>
      </c>
      <c r="H183" s="97">
        <v>2024</v>
      </c>
      <c r="I183" s="188"/>
      <c r="J183" s="185"/>
    </row>
    <row r="184" spans="1:10" ht="30" x14ac:dyDescent="0.2">
      <c r="A184" s="96" t="s">
        <v>1503</v>
      </c>
      <c r="B184" s="93" t="e">
        <v>#N/A</v>
      </c>
      <c r="C184" s="71" t="s">
        <v>30</v>
      </c>
      <c r="D184" s="96" t="s">
        <v>895</v>
      </c>
      <c r="E184" s="96" t="s">
        <v>51</v>
      </c>
      <c r="F184" s="96" t="s">
        <v>95</v>
      </c>
      <c r="G184" s="93" t="s">
        <v>1504</v>
      </c>
      <c r="H184" s="97">
        <v>2024</v>
      </c>
      <c r="I184" s="188"/>
      <c r="J184" s="185"/>
    </row>
    <row r="185" spans="1:10" ht="30" x14ac:dyDescent="0.2">
      <c r="A185" s="96" t="s">
        <v>1505</v>
      </c>
      <c r="B185" s="93" t="e">
        <v>#N/A</v>
      </c>
      <c r="C185" s="71" t="s">
        <v>30</v>
      </c>
      <c r="D185" s="96" t="s">
        <v>895</v>
      </c>
      <c r="E185" s="96" t="s">
        <v>51</v>
      </c>
      <c r="F185" s="96" t="s">
        <v>95</v>
      </c>
      <c r="G185" s="93" t="s">
        <v>1506</v>
      </c>
      <c r="H185" s="97">
        <v>2024</v>
      </c>
      <c r="I185" s="188"/>
      <c r="J185" s="185"/>
    </row>
    <row r="186" spans="1:10" ht="30" x14ac:dyDescent="0.2">
      <c r="A186" s="96" t="s">
        <v>1507</v>
      </c>
      <c r="B186" s="93" t="e">
        <v>#N/A</v>
      </c>
      <c r="C186" s="71" t="s">
        <v>30</v>
      </c>
      <c r="D186" s="96" t="s">
        <v>895</v>
      </c>
      <c r="E186" s="96" t="s">
        <v>51</v>
      </c>
      <c r="F186" s="96" t="s">
        <v>95</v>
      </c>
      <c r="G186" s="93" t="s">
        <v>1508</v>
      </c>
      <c r="H186" s="97">
        <v>2024</v>
      </c>
      <c r="I186" s="188"/>
      <c r="J186" s="185"/>
    </row>
    <row r="187" spans="1:10" ht="30" x14ac:dyDescent="0.2">
      <c r="A187" s="96" t="s">
        <v>1509</v>
      </c>
      <c r="B187" s="93" t="e">
        <v>#N/A</v>
      </c>
      <c r="C187" s="71" t="s">
        <v>30</v>
      </c>
      <c r="D187" s="96" t="s">
        <v>895</v>
      </c>
      <c r="E187" s="96" t="s">
        <v>51</v>
      </c>
      <c r="F187" s="96" t="s">
        <v>95</v>
      </c>
      <c r="G187" s="93" t="s">
        <v>1510</v>
      </c>
      <c r="H187" s="97">
        <v>2024</v>
      </c>
      <c r="I187" s="188"/>
      <c r="J187" s="185"/>
    </row>
    <row r="188" spans="1:10" ht="30" x14ac:dyDescent="0.2">
      <c r="A188" s="96" t="s">
        <v>1511</v>
      </c>
      <c r="B188" s="93" t="e">
        <v>#N/A</v>
      </c>
      <c r="C188" s="71" t="s">
        <v>30</v>
      </c>
      <c r="D188" s="96" t="s">
        <v>895</v>
      </c>
      <c r="E188" s="96" t="s">
        <v>51</v>
      </c>
      <c r="F188" s="96" t="s">
        <v>95</v>
      </c>
      <c r="G188" s="93" t="s">
        <v>1512</v>
      </c>
      <c r="H188" s="97">
        <v>2024</v>
      </c>
      <c r="I188" s="188"/>
      <c r="J188" s="185"/>
    </row>
    <row r="189" spans="1:10" ht="30" x14ac:dyDescent="0.2">
      <c r="A189" s="96" t="s">
        <v>1513</v>
      </c>
      <c r="B189" s="93" t="e">
        <v>#N/A</v>
      </c>
      <c r="C189" s="71" t="s">
        <v>30</v>
      </c>
      <c r="D189" s="96" t="s">
        <v>895</v>
      </c>
      <c r="E189" s="96" t="s">
        <v>51</v>
      </c>
      <c r="F189" s="96" t="s">
        <v>95</v>
      </c>
      <c r="G189" s="93" t="s">
        <v>1514</v>
      </c>
      <c r="H189" s="97">
        <v>2024</v>
      </c>
      <c r="I189" s="188"/>
      <c r="J189" s="185"/>
    </row>
    <row r="190" spans="1:10" ht="30" x14ac:dyDescent="0.2">
      <c r="A190" s="96" t="s">
        <v>1515</v>
      </c>
      <c r="B190" s="93" t="e">
        <v>#N/A</v>
      </c>
      <c r="C190" s="71" t="s">
        <v>30</v>
      </c>
      <c r="D190" s="96" t="s">
        <v>895</v>
      </c>
      <c r="E190" s="96" t="s">
        <v>51</v>
      </c>
      <c r="F190" s="96" t="s">
        <v>95</v>
      </c>
      <c r="G190" s="93" t="s">
        <v>1516</v>
      </c>
      <c r="H190" s="97">
        <v>2024</v>
      </c>
      <c r="I190" s="188"/>
      <c r="J190" s="185"/>
    </row>
    <row r="191" spans="1:10" ht="30" x14ac:dyDescent="0.2">
      <c r="A191" s="96" t="s">
        <v>1517</v>
      </c>
      <c r="B191" s="93" t="e">
        <v>#N/A</v>
      </c>
      <c r="C191" s="71" t="s">
        <v>30</v>
      </c>
      <c r="D191" s="96" t="s">
        <v>895</v>
      </c>
      <c r="E191" s="96" t="s">
        <v>51</v>
      </c>
      <c r="F191" s="96" t="s">
        <v>95</v>
      </c>
      <c r="G191" s="93" t="s">
        <v>1518</v>
      </c>
      <c r="H191" s="97">
        <v>2024</v>
      </c>
      <c r="I191" s="188"/>
      <c r="J191" s="185"/>
    </row>
    <row r="192" spans="1:10" ht="30" x14ac:dyDescent="0.2">
      <c r="A192" s="96" t="s">
        <v>1519</v>
      </c>
      <c r="B192" s="93" t="e">
        <v>#N/A</v>
      </c>
      <c r="C192" s="71" t="s">
        <v>30</v>
      </c>
      <c r="D192" s="96" t="s">
        <v>895</v>
      </c>
      <c r="E192" s="96" t="s">
        <v>51</v>
      </c>
      <c r="F192" s="96" t="s">
        <v>95</v>
      </c>
      <c r="G192" s="93" t="s">
        <v>1520</v>
      </c>
      <c r="H192" s="97">
        <v>2024</v>
      </c>
      <c r="I192" s="188"/>
      <c r="J192" s="185"/>
    </row>
    <row r="193" spans="1:10" ht="30" x14ac:dyDescent="0.2">
      <c r="A193" s="96" t="s">
        <v>1521</v>
      </c>
      <c r="B193" s="93" t="e">
        <v>#N/A</v>
      </c>
      <c r="C193" s="71" t="s">
        <v>30</v>
      </c>
      <c r="D193" s="96" t="s">
        <v>895</v>
      </c>
      <c r="E193" s="96" t="s">
        <v>51</v>
      </c>
      <c r="F193" s="96" t="s">
        <v>95</v>
      </c>
      <c r="G193" s="93" t="s">
        <v>1522</v>
      </c>
      <c r="H193" s="97">
        <v>2024</v>
      </c>
      <c r="I193" s="188"/>
      <c r="J193" s="185"/>
    </row>
    <row r="194" spans="1:10" ht="30" x14ac:dyDescent="0.2">
      <c r="A194" s="96" t="s">
        <v>1523</v>
      </c>
      <c r="B194" s="93" t="e">
        <v>#N/A</v>
      </c>
      <c r="C194" s="71" t="s">
        <v>30</v>
      </c>
      <c r="D194" s="96" t="s">
        <v>895</v>
      </c>
      <c r="E194" s="96" t="s">
        <v>51</v>
      </c>
      <c r="F194" s="96" t="s">
        <v>95</v>
      </c>
      <c r="G194" s="93" t="s">
        <v>1524</v>
      </c>
      <c r="H194" s="97">
        <v>2024</v>
      </c>
      <c r="I194" s="188"/>
      <c r="J194" s="185"/>
    </row>
    <row r="195" spans="1:10" ht="30" x14ac:dyDescent="0.2">
      <c r="A195" s="96" t="s">
        <v>1525</v>
      </c>
      <c r="B195" s="93" t="e">
        <v>#N/A</v>
      </c>
      <c r="C195" s="71" t="s">
        <v>30</v>
      </c>
      <c r="D195" s="96" t="s">
        <v>895</v>
      </c>
      <c r="E195" s="96" t="s">
        <v>51</v>
      </c>
      <c r="F195" s="96" t="s">
        <v>95</v>
      </c>
      <c r="G195" s="93" t="s">
        <v>1526</v>
      </c>
      <c r="H195" s="97">
        <v>2024</v>
      </c>
      <c r="I195" s="188"/>
      <c r="J195" s="185"/>
    </row>
    <row r="196" spans="1:10" ht="30" x14ac:dyDescent="0.2">
      <c r="A196" s="96" t="s">
        <v>1527</v>
      </c>
      <c r="B196" s="93" t="e">
        <v>#N/A</v>
      </c>
      <c r="C196" s="71" t="s">
        <v>30</v>
      </c>
      <c r="D196" s="96" t="s">
        <v>895</v>
      </c>
      <c r="E196" s="96" t="s">
        <v>51</v>
      </c>
      <c r="F196" s="96" t="s">
        <v>95</v>
      </c>
      <c r="G196" s="93" t="s">
        <v>1528</v>
      </c>
      <c r="H196" s="97">
        <v>2024</v>
      </c>
      <c r="I196" s="188"/>
      <c r="J196" s="185"/>
    </row>
    <row r="197" spans="1:10" ht="30" x14ac:dyDescent="0.2">
      <c r="A197" s="96" t="s">
        <v>1529</v>
      </c>
      <c r="B197" s="93" t="e">
        <v>#N/A</v>
      </c>
      <c r="C197" s="71" t="s">
        <v>30</v>
      </c>
      <c r="D197" s="96" t="s">
        <v>895</v>
      </c>
      <c r="E197" s="96" t="s">
        <v>51</v>
      </c>
      <c r="F197" s="96" t="s">
        <v>95</v>
      </c>
      <c r="G197" s="93" t="s">
        <v>1530</v>
      </c>
      <c r="H197" s="97">
        <v>2024</v>
      </c>
      <c r="I197" s="188"/>
      <c r="J197" s="185"/>
    </row>
    <row r="198" spans="1:10" ht="30" x14ac:dyDescent="0.2">
      <c r="A198" s="96" t="s">
        <v>1531</v>
      </c>
      <c r="B198" s="93" t="e">
        <v>#N/A</v>
      </c>
      <c r="C198" s="71" t="s">
        <v>30</v>
      </c>
      <c r="D198" s="96" t="s">
        <v>895</v>
      </c>
      <c r="E198" s="96" t="s">
        <v>51</v>
      </c>
      <c r="F198" s="96" t="s">
        <v>95</v>
      </c>
      <c r="G198" s="93" t="s">
        <v>1532</v>
      </c>
      <c r="H198" s="97">
        <v>2024</v>
      </c>
      <c r="I198" s="188"/>
      <c r="J198" s="185"/>
    </row>
    <row r="199" spans="1:10" ht="30" x14ac:dyDescent="0.2">
      <c r="A199" s="96" t="s">
        <v>1533</v>
      </c>
      <c r="B199" s="93" t="e">
        <v>#N/A</v>
      </c>
      <c r="C199" s="71" t="s">
        <v>30</v>
      </c>
      <c r="D199" s="96" t="s">
        <v>895</v>
      </c>
      <c r="E199" s="96" t="s">
        <v>51</v>
      </c>
      <c r="F199" s="96" t="s">
        <v>95</v>
      </c>
      <c r="G199" s="93" t="s">
        <v>1534</v>
      </c>
      <c r="H199" s="97">
        <v>2024</v>
      </c>
      <c r="I199" s="188"/>
      <c r="J199" s="185"/>
    </row>
    <row r="200" spans="1:10" ht="30" x14ac:dyDescent="0.2">
      <c r="A200" s="96" t="s">
        <v>1535</v>
      </c>
      <c r="B200" s="93" t="e">
        <v>#N/A</v>
      </c>
      <c r="C200" s="71" t="s">
        <v>30</v>
      </c>
      <c r="D200" s="96" t="s">
        <v>895</v>
      </c>
      <c r="E200" s="96" t="s">
        <v>51</v>
      </c>
      <c r="F200" s="96" t="s">
        <v>95</v>
      </c>
      <c r="G200" s="93" t="s">
        <v>1536</v>
      </c>
      <c r="H200" s="97">
        <v>2024</v>
      </c>
      <c r="I200" s="188"/>
      <c r="J200" s="185"/>
    </row>
    <row r="201" spans="1:10" ht="30" x14ac:dyDescent="0.2">
      <c r="A201" s="96" t="s">
        <v>1537</v>
      </c>
      <c r="B201" s="93" t="e">
        <v>#N/A</v>
      </c>
      <c r="C201" s="71" t="s">
        <v>1538</v>
      </c>
      <c r="D201" s="96" t="s">
        <v>895</v>
      </c>
      <c r="E201" s="96" t="s">
        <v>51</v>
      </c>
      <c r="F201" s="96" t="s">
        <v>401</v>
      </c>
      <c r="G201" s="93" t="s">
        <v>1539</v>
      </c>
      <c r="H201" s="97">
        <v>2024</v>
      </c>
      <c r="I201" s="188"/>
      <c r="J201" s="185"/>
    </row>
    <row r="202" spans="1:10" ht="30" x14ac:dyDescent="0.2">
      <c r="A202" s="96" t="s">
        <v>1540</v>
      </c>
      <c r="B202" s="93" t="e">
        <v>#N/A</v>
      </c>
      <c r="C202" s="71" t="s">
        <v>1541</v>
      </c>
      <c r="D202" s="96" t="s">
        <v>895</v>
      </c>
      <c r="E202" s="96" t="s">
        <v>51</v>
      </c>
      <c r="F202" s="96" t="s">
        <v>401</v>
      </c>
      <c r="G202" s="93" t="s">
        <v>1542</v>
      </c>
      <c r="H202" s="97">
        <v>2024</v>
      </c>
      <c r="I202" s="188"/>
      <c r="J202" s="185"/>
    </row>
    <row r="203" spans="1:10" ht="30" x14ac:dyDescent="0.2">
      <c r="A203" s="96" t="s">
        <v>1543</v>
      </c>
      <c r="B203" s="93" t="e">
        <v>#N/A</v>
      </c>
      <c r="C203" s="71" t="s">
        <v>1544</v>
      </c>
      <c r="D203" s="96" t="s">
        <v>895</v>
      </c>
      <c r="E203" s="96" t="s">
        <v>51</v>
      </c>
      <c r="F203" s="96" t="s">
        <v>401</v>
      </c>
      <c r="G203" s="93" t="s">
        <v>1545</v>
      </c>
      <c r="H203" s="97">
        <v>2024</v>
      </c>
      <c r="I203" s="188"/>
      <c r="J203" s="185"/>
    </row>
    <row r="204" spans="1:10" ht="30" x14ac:dyDescent="0.2">
      <c r="A204" s="96" t="s">
        <v>1546</v>
      </c>
      <c r="B204" s="93" t="e">
        <v>#N/A</v>
      </c>
      <c r="C204" s="71" t="s">
        <v>1547</v>
      </c>
      <c r="D204" s="96" t="s">
        <v>895</v>
      </c>
      <c r="E204" s="96" t="s">
        <v>51</v>
      </c>
      <c r="F204" s="96" t="s">
        <v>1548</v>
      </c>
      <c r="G204" s="93" t="s">
        <v>1549</v>
      </c>
      <c r="H204" s="97">
        <v>2024</v>
      </c>
      <c r="I204" s="188"/>
      <c r="J204" s="185"/>
    </row>
    <row r="205" spans="1:10" ht="45" x14ac:dyDescent="0.2">
      <c r="A205" s="96" t="s">
        <v>1550</v>
      </c>
      <c r="B205" s="93" t="e">
        <v>#N/A</v>
      </c>
      <c r="C205" s="71" t="s">
        <v>30</v>
      </c>
      <c r="D205" s="96" t="s">
        <v>895</v>
      </c>
      <c r="E205" s="96" t="s">
        <v>51</v>
      </c>
      <c r="F205" s="96" t="s">
        <v>1010</v>
      </c>
      <c r="G205" s="93" t="s">
        <v>1551</v>
      </c>
      <c r="H205" s="97">
        <v>2024</v>
      </c>
      <c r="I205" s="188"/>
      <c r="J205" s="185"/>
    </row>
    <row r="206" spans="1:10" ht="30" x14ac:dyDescent="0.2">
      <c r="A206" s="96" t="s">
        <v>1552</v>
      </c>
      <c r="B206" s="93" t="e">
        <v>#N/A</v>
      </c>
      <c r="C206" s="71" t="s">
        <v>30</v>
      </c>
      <c r="D206" s="96" t="s">
        <v>895</v>
      </c>
      <c r="E206" s="96" t="s">
        <v>51</v>
      </c>
      <c r="F206" s="96" t="s">
        <v>738</v>
      </c>
      <c r="G206" s="93" t="s">
        <v>1553</v>
      </c>
      <c r="H206" s="97">
        <v>2024</v>
      </c>
      <c r="I206" s="188"/>
      <c r="J206" s="185"/>
    </row>
    <row r="207" spans="1:10" ht="30" x14ac:dyDescent="0.2">
      <c r="A207" s="96" t="s">
        <v>1554</v>
      </c>
      <c r="B207" s="93" t="e">
        <v>#N/A</v>
      </c>
      <c r="C207" s="71" t="s">
        <v>1555</v>
      </c>
      <c r="D207" s="96" t="s">
        <v>895</v>
      </c>
      <c r="E207" s="96" t="s">
        <v>51</v>
      </c>
      <c r="F207" s="96" t="s">
        <v>964</v>
      </c>
      <c r="G207" s="93" t="s">
        <v>1556</v>
      </c>
      <c r="H207" s="97">
        <v>2024</v>
      </c>
      <c r="I207" s="188"/>
      <c r="J207" s="185"/>
    </row>
    <row r="208" spans="1:10" ht="30" x14ac:dyDescent="0.2">
      <c r="A208" s="96" t="s">
        <v>1557</v>
      </c>
      <c r="B208" s="93" t="e">
        <v>#N/A</v>
      </c>
      <c r="C208" s="71" t="s">
        <v>1558</v>
      </c>
      <c r="D208" s="96" t="s">
        <v>895</v>
      </c>
      <c r="E208" s="96" t="s">
        <v>51</v>
      </c>
      <c r="F208" s="96" t="s">
        <v>964</v>
      </c>
      <c r="G208" s="93" t="s">
        <v>1559</v>
      </c>
      <c r="H208" s="97">
        <v>2024</v>
      </c>
      <c r="I208" s="188"/>
      <c r="J208" s="185"/>
    </row>
    <row r="209" spans="1:10" ht="30" x14ac:dyDescent="0.2">
      <c r="A209" s="96" t="s">
        <v>1560</v>
      </c>
      <c r="B209" s="93" t="e">
        <v>#N/A</v>
      </c>
      <c r="C209" s="71" t="s">
        <v>30</v>
      </c>
      <c r="D209" s="96" t="s">
        <v>895</v>
      </c>
      <c r="E209" s="96" t="s">
        <v>51</v>
      </c>
      <c r="F209" s="96" t="s">
        <v>95</v>
      </c>
      <c r="G209" s="93" t="s">
        <v>1561</v>
      </c>
      <c r="H209" s="97">
        <v>2024</v>
      </c>
      <c r="I209" s="188"/>
      <c r="J209" s="185"/>
    </row>
    <row r="210" spans="1:10" ht="30" x14ac:dyDescent="0.2">
      <c r="A210" s="96" t="s">
        <v>1562</v>
      </c>
      <c r="B210" s="93" t="e">
        <v>#N/A</v>
      </c>
      <c r="C210" s="71" t="s">
        <v>30</v>
      </c>
      <c r="D210" s="96" t="s">
        <v>895</v>
      </c>
      <c r="E210" s="96" t="s">
        <v>51</v>
      </c>
      <c r="F210" s="96" t="s">
        <v>74</v>
      </c>
      <c r="G210" s="93" t="s">
        <v>1563</v>
      </c>
      <c r="H210" s="97">
        <v>2024</v>
      </c>
      <c r="I210" s="188"/>
      <c r="J210" s="185"/>
    </row>
    <row r="211" spans="1:10" ht="30" x14ac:dyDescent="0.2">
      <c r="A211" s="96" t="s">
        <v>1564</v>
      </c>
      <c r="B211" s="93" t="e">
        <v>#N/A</v>
      </c>
      <c r="C211" s="71" t="s">
        <v>1565</v>
      </c>
      <c r="D211" s="96" t="s">
        <v>895</v>
      </c>
      <c r="E211" s="96" t="s">
        <v>51</v>
      </c>
      <c r="F211" s="96" t="s">
        <v>1566</v>
      </c>
      <c r="G211" s="93" t="s">
        <v>1567</v>
      </c>
      <c r="H211" s="97">
        <v>2024</v>
      </c>
      <c r="I211" s="188"/>
      <c r="J211" s="185"/>
    </row>
    <row r="212" spans="1:10" ht="30" x14ac:dyDescent="0.2">
      <c r="A212" s="96" t="s">
        <v>1568</v>
      </c>
      <c r="B212" s="93" t="e">
        <v>#N/A</v>
      </c>
      <c r="C212" s="71" t="s">
        <v>30</v>
      </c>
      <c r="D212" s="96" t="s">
        <v>895</v>
      </c>
      <c r="E212" s="96" t="s">
        <v>51</v>
      </c>
      <c r="F212" s="96" t="s">
        <v>95</v>
      </c>
      <c r="G212" s="93" t="s">
        <v>1569</v>
      </c>
      <c r="H212" s="97">
        <v>2024</v>
      </c>
      <c r="I212" s="188"/>
      <c r="J212" s="185"/>
    </row>
    <row r="213" spans="1:10" ht="30" x14ac:dyDescent="0.2">
      <c r="A213" s="96" t="s">
        <v>1570</v>
      </c>
      <c r="B213" s="93" t="e">
        <v>#N/A</v>
      </c>
      <c r="C213" s="71" t="s">
        <v>30</v>
      </c>
      <c r="D213" s="96" t="s">
        <v>895</v>
      </c>
      <c r="E213" s="96" t="s">
        <v>51</v>
      </c>
      <c r="F213" s="96" t="s">
        <v>95</v>
      </c>
      <c r="G213" s="93" t="s">
        <v>1571</v>
      </c>
      <c r="H213" s="97">
        <v>2024</v>
      </c>
      <c r="I213" s="188"/>
      <c r="J213" s="185"/>
    </row>
    <row r="214" spans="1:10" ht="30" x14ac:dyDescent="0.2">
      <c r="A214" s="96" t="s">
        <v>1572</v>
      </c>
      <c r="B214" s="93" t="e">
        <v>#N/A</v>
      </c>
      <c r="C214" s="71" t="s">
        <v>30</v>
      </c>
      <c r="D214" s="96" t="s">
        <v>895</v>
      </c>
      <c r="E214" s="96" t="s">
        <v>51</v>
      </c>
      <c r="F214" s="96" t="s">
        <v>95</v>
      </c>
      <c r="G214" s="93" t="s">
        <v>1573</v>
      </c>
      <c r="H214" s="97">
        <v>2024</v>
      </c>
      <c r="I214" s="188"/>
      <c r="J214" s="185"/>
    </row>
    <row r="215" spans="1:10" ht="30" x14ac:dyDescent="0.2">
      <c r="A215" s="96" t="s">
        <v>1574</v>
      </c>
      <c r="B215" s="93" t="e">
        <v>#N/A</v>
      </c>
      <c r="C215" s="71" t="s">
        <v>30</v>
      </c>
      <c r="D215" s="96" t="s">
        <v>895</v>
      </c>
      <c r="E215" s="96" t="s">
        <v>51</v>
      </c>
      <c r="F215" s="96" t="s">
        <v>95</v>
      </c>
      <c r="G215" s="93" t="s">
        <v>1575</v>
      </c>
      <c r="H215" s="97">
        <v>2024</v>
      </c>
      <c r="I215" s="188"/>
      <c r="J215" s="185"/>
    </row>
    <row r="216" spans="1:10" ht="30" x14ac:dyDescent="0.2">
      <c r="A216" s="96" t="s">
        <v>1576</v>
      </c>
      <c r="B216" s="93" t="e">
        <v>#N/A</v>
      </c>
      <c r="C216" s="71" t="s">
        <v>30</v>
      </c>
      <c r="D216" s="96" t="s">
        <v>895</v>
      </c>
      <c r="E216" s="96" t="s">
        <v>51</v>
      </c>
      <c r="F216" s="96" t="s">
        <v>95</v>
      </c>
      <c r="G216" s="93" t="s">
        <v>1577</v>
      </c>
      <c r="H216" s="97">
        <v>2024</v>
      </c>
      <c r="I216" s="188"/>
      <c r="J216" s="185"/>
    </row>
    <row r="217" spans="1:10" ht="30" x14ac:dyDescent="0.2">
      <c r="A217" s="96" t="s">
        <v>1578</v>
      </c>
      <c r="B217" s="93" t="e">
        <v>#N/A</v>
      </c>
      <c r="C217" s="71" t="s">
        <v>30</v>
      </c>
      <c r="D217" s="96" t="s">
        <v>895</v>
      </c>
      <c r="E217" s="96" t="s">
        <v>51</v>
      </c>
      <c r="F217" s="96" t="s">
        <v>74</v>
      </c>
      <c r="G217" s="93" t="s">
        <v>1579</v>
      </c>
      <c r="H217" s="97">
        <v>2024</v>
      </c>
      <c r="I217" s="188"/>
      <c r="J217" s="185"/>
    </row>
    <row r="218" spans="1:10" ht="30" x14ac:dyDescent="0.2">
      <c r="A218" s="96" t="s">
        <v>1580</v>
      </c>
      <c r="B218" s="93" t="e">
        <v>#N/A</v>
      </c>
      <c r="C218" s="71" t="s">
        <v>30</v>
      </c>
      <c r="D218" s="96" t="s">
        <v>895</v>
      </c>
      <c r="E218" s="96" t="s">
        <v>51</v>
      </c>
      <c r="F218" s="96" t="s">
        <v>321</v>
      </c>
      <c r="G218" s="93" t="s">
        <v>1581</v>
      </c>
      <c r="H218" s="97">
        <v>2024</v>
      </c>
      <c r="I218" s="188"/>
      <c r="J218" s="185"/>
    </row>
    <row r="219" spans="1:10" ht="30" x14ac:dyDescent="0.2">
      <c r="A219" s="96" t="s">
        <v>1582</v>
      </c>
      <c r="B219" s="93" t="e">
        <v>#N/A</v>
      </c>
      <c r="C219" s="71" t="s">
        <v>1583</v>
      </c>
      <c r="D219" s="96" t="s">
        <v>895</v>
      </c>
      <c r="E219" s="96" t="s">
        <v>51</v>
      </c>
      <c r="F219" s="96" t="s">
        <v>393</v>
      </c>
      <c r="G219" s="93" t="s">
        <v>1584</v>
      </c>
      <c r="H219" s="97">
        <v>2024</v>
      </c>
      <c r="I219" s="188"/>
      <c r="J219" s="185"/>
    </row>
    <row r="220" spans="1:10" ht="30" x14ac:dyDescent="0.2">
      <c r="A220" s="96" t="s">
        <v>1585</v>
      </c>
      <c r="B220" s="93" t="e">
        <v>#N/A</v>
      </c>
      <c r="C220" s="71" t="s">
        <v>30</v>
      </c>
      <c r="D220" s="96" t="s">
        <v>895</v>
      </c>
      <c r="E220" s="96" t="s">
        <v>51</v>
      </c>
      <c r="F220" s="96" t="s">
        <v>406</v>
      </c>
      <c r="G220" s="93" t="s">
        <v>1586</v>
      </c>
      <c r="H220" s="97">
        <v>2024</v>
      </c>
      <c r="I220" s="188"/>
      <c r="J220" s="185"/>
    </row>
    <row r="221" spans="1:10" ht="30" x14ac:dyDescent="0.2">
      <c r="A221" s="96" t="s">
        <v>1587</v>
      </c>
      <c r="B221" s="93" t="e">
        <v>#N/A</v>
      </c>
      <c r="C221" s="71" t="s">
        <v>30</v>
      </c>
      <c r="D221" s="96" t="s">
        <v>895</v>
      </c>
      <c r="E221" s="96" t="s">
        <v>51</v>
      </c>
      <c r="F221" s="96" t="s">
        <v>95</v>
      </c>
      <c r="G221" s="93" t="s">
        <v>1588</v>
      </c>
      <c r="H221" s="97">
        <v>2024</v>
      </c>
      <c r="I221" s="188"/>
      <c r="J221" s="185"/>
    </row>
    <row r="222" spans="1:10" ht="30" x14ac:dyDescent="0.2">
      <c r="A222" s="96" t="s">
        <v>1589</v>
      </c>
      <c r="B222" s="93" t="e">
        <v>#N/A</v>
      </c>
      <c r="C222" s="71" t="s">
        <v>30</v>
      </c>
      <c r="D222" s="96" t="s">
        <v>895</v>
      </c>
      <c r="E222" s="96" t="s">
        <v>51</v>
      </c>
      <c r="F222" s="96" t="s">
        <v>95</v>
      </c>
      <c r="G222" s="93" t="s">
        <v>1590</v>
      </c>
      <c r="H222" s="97">
        <v>2024</v>
      </c>
      <c r="I222" s="188"/>
      <c r="J222" s="185"/>
    </row>
    <row r="223" spans="1:10" ht="30" x14ac:dyDescent="0.2">
      <c r="A223" s="96" t="s">
        <v>1591</v>
      </c>
      <c r="B223" s="93" t="e">
        <v>#N/A</v>
      </c>
      <c r="C223" s="71" t="s">
        <v>30</v>
      </c>
      <c r="D223" s="96" t="s">
        <v>895</v>
      </c>
      <c r="E223" s="96" t="s">
        <v>51</v>
      </c>
      <c r="F223" s="96" t="s">
        <v>95</v>
      </c>
      <c r="G223" s="93" t="s">
        <v>1592</v>
      </c>
      <c r="H223" s="97">
        <v>2024</v>
      </c>
      <c r="I223" s="188"/>
      <c r="J223" s="185"/>
    </row>
    <row r="224" spans="1:10" ht="30" x14ac:dyDescent="0.2">
      <c r="A224" s="96" t="s">
        <v>1593</v>
      </c>
      <c r="B224" s="93" t="e">
        <v>#N/A</v>
      </c>
      <c r="C224" s="71" t="s">
        <v>30</v>
      </c>
      <c r="D224" s="96" t="s">
        <v>895</v>
      </c>
      <c r="E224" s="96" t="s">
        <v>51</v>
      </c>
      <c r="F224" s="96" t="s">
        <v>95</v>
      </c>
      <c r="G224" s="93" t="s">
        <v>1594</v>
      </c>
      <c r="H224" s="97">
        <v>2024</v>
      </c>
      <c r="I224" s="188"/>
      <c r="J224" s="185"/>
    </row>
    <row r="225" spans="1:10" ht="30" x14ac:dyDescent="0.2">
      <c r="A225" s="96" t="s">
        <v>1595</v>
      </c>
      <c r="B225" s="93" t="e">
        <v>#N/A</v>
      </c>
      <c r="C225" s="71" t="s">
        <v>30</v>
      </c>
      <c r="D225" s="96" t="s">
        <v>895</v>
      </c>
      <c r="E225" s="96" t="s">
        <v>51</v>
      </c>
      <c r="F225" s="96" t="s">
        <v>95</v>
      </c>
      <c r="G225" s="93" t="s">
        <v>1596</v>
      </c>
      <c r="H225" s="97">
        <v>2024</v>
      </c>
      <c r="I225" s="188"/>
      <c r="J225" s="185"/>
    </row>
    <row r="226" spans="1:10" ht="30" x14ac:dyDescent="0.2">
      <c r="A226" s="96" t="s">
        <v>1597</v>
      </c>
      <c r="B226" s="93" t="e">
        <v>#N/A</v>
      </c>
      <c r="C226" s="71" t="s">
        <v>30</v>
      </c>
      <c r="D226" s="96" t="s">
        <v>895</v>
      </c>
      <c r="E226" s="96" t="s">
        <v>51</v>
      </c>
      <c r="F226" s="96" t="s">
        <v>95</v>
      </c>
      <c r="G226" s="93" t="s">
        <v>1598</v>
      </c>
      <c r="H226" s="97">
        <v>2024</v>
      </c>
      <c r="I226" s="188"/>
      <c r="J226" s="185"/>
    </row>
    <row r="227" spans="1:10" ht="30" x14ac:dyDescent="0.2">
      <c r="A227" s="96" t="s">
        <v>1599</v>
      </c>
      <c r="B227" s="93" t="e">
        <v>#N/A</v>
      </c>
      <c r="C227" s="71" t="s">
        <v>30</v>
      </c>
      <c r="D227" s="96" t="s">
        <v>895</v>
      </c>
      <c r="E227" s="96" t="s">
        <v>51</v>
      </c>
      <c r="F227" s="96" t="s">
        <v>95</v>
      </c>
      <c r="G227" s="93" t="s">
        <v>1600</v>
      </c>
      <c r="H227" s="97">
        <v>2024</v>
      </c>
      <c r="I227" s="188"/>
      <c r="J227" s="185"/>
    </row>
    <row r="228" spans="1:10" ht="30" x14ac:dyDescent="0.2">
      <c r="A228" s="96" t="s">
        <v>1601</v>
      </c>
      <c r="B228" s="93" t="e">
        <v>#N/A</v>
      </c>
      <c r="C228" s="71" t="s">
        <v>30</v>
      </c>
      <c r="D228" s="96" t="s">
        <v>895</v>
      </c>
      <c r="E228" s="96" t="s">
        <v>51</v>
      </c>
      <c r="F228" s="96" t="s">
        <v>95</v>
      </c>
      <c r="G228" s="93" t="s">
        <v>1602</v>
      </c>
      <c r="H228" s="97">
        <v>2024</v>
      </c>
      <c r="I228" s="188"/>
      <c r="J228" s="185"/>
    </row>
    <row r="229" spans="1:10" ht="30" x14ac:dyDescent="0.2">
      <c r="A229" s="96" t="s">
        <v>1603</v>
      </c>
      <c r="B229" s="93" t="e">
        <v>#N/A</v>
      </c>
      <c r="C229" s="71" t="s">
        <v>30</v>
      </c>
      <c r="D229" s="96" t="s">
        <v>895</v>
      </c>
      <c r="E229" s="96" t="s">
        <v>51</v>
      </c>
      <c r="F229" s="96" t="s">
        <v>917</v>
      </c>
      <c r="G229" s="93" t="s">
        <v>1604</v>
      </c>
      <c r="H229" s="97">
        <v>2024</v>
      </c>
      <c r="I229" s="188"/>
      <c r="J229" s="185"/>
    </row>
    <row r="230" spans="1:10" ht="30" x14ac:dyDescent="0.2">
      <c r="A230" s="96" t="s">
        <v>1605</v>
      </c>
      <c r="B230" s="93" t="e">
        <v>#N/A</v>
      </c>
      <c r="C230" s="71" t="s">
        <v>30</v>
      </c>
      <c r="D230" s="96" t="s">
        <v>895</v>
      </c>
      <c r="E230" s="96" t="s">
        <v>51</v>
      </c>
      <c r="F230" s="96" t="s">
        <v>321</v>
      </c>
      <c r="G230" s="93" t="s">
        <v>1606</v>
      </c>
      <c r="H230" s="97">
        <v>2024</v>
      </c>
      <c r="I230" s="188"/>
      <c r="J230" s="185"/>
    </row>
    <row r="231" spans="1:10" ht="30" x14ac:dyDescent="0.2">
      <c r="A231" s="96" t="s">
        <v>1607</v>
      </c>
      <c r="B231" s="93" t="e">
        <v>#N/A</v>
      </c>
      <c r="C231" s="71" t="s">
        <v>30</v>
      </c>
      <c r="D231" s="96" t="s">
        <v>895</v>
      </c>
      <c r="E231" s="96" t="s">
        <v>51</v>
      </c>
      <c r="F231" s="96" t="s">
        <v>74</v>
      </c>
      <c r="G231" s="93" t="s">
        <v>1608</v>
      </c>
      <c r="H231" s="97">
        <v>2024</v>
      </c>
      <c r="I231" s="188"/>
      <c r="J231" s="185"/>
    </row>
    <row r="232" spans="1:10" ht="30" x14ac:dyDescent="0.2">
      <c r="A232" s="96" t="s">
        <v>1609</v>
      </c>
      <c r="B232" s="93" t="e">
        <v>#N/A</v>
      </c>
      <c r="C232" s="71" t="s">
        <v>30</v>
      </c>
      <c r="D232" s="96" t="s">
        <v>895</v>
      </c>
      <c r="E232" s="96" t="s">
        <v>51</v>
      </c>
      <c r="F232" s="96" t="s">
        <v>95</v>
      </c>
      <c r="G232" s="93" t="s">
        <v>1610</v>
      </c>
      <c r="H232" s="97">
        <v>2024</v>
      </c>
      <c r="I232" s="188"/>
      <c r="J232" s="185"/>
    </row>
    <row r="233" spans="1:10" ht="30" x14ac:dyDescent="0.2">
      <c r="A233" s="96" t="s">
        <v>1611</v>
      </c>
      <c r="B233" s="93" t="e">
        <v>#N/A</v>
      </c>
      <c r="C233" s="71" t="s">
        <v>30</v>
      </c>
      <c r="D233" s="96" t="s">
        <v>895</v>
      </c>
      <c r="E233" s="96" t="s">
        <v>51</v>
      </c>
      <c r="F233" s="96" t="s">
        <v>95</v>
      </c>
      <c r="G233" s="93" t="s">
        <v>1612</v>
      </c>
      <c r="H233" s="97">
        <v>2024</v>
      </c>
      <c r="I233" s="188"/>
      <c r="J233" s="185"/>
    </row>
    <row r="234" spans="1:10" ht="30" x14ac:dyDescent="0.2">
      <c r="A234" s="96" t="s">
        <v>1613</v>
      </c>
      <c r="B234" s="93" t="e">
        <v>#N/A</v>
      </c>
      <c r="C234" s="71" t="s">
        <v>30</v>
      </c>
      <c r="D234" s="96" t="s">
        <v>895</v>
      </c>
      <c r="E234" s="96" t="s">
        <v>51</v>
      </c>
      <c r="F234" s="96" t="s">
        <v>95</v>
      </c>
      <c r="G234" s="93" t="s">
        <v>1614</v>
      </c>
      <c r="H234" s="97">
        <v>2024</v>
      </c>
      <c r="I234" s="188"/>
      <c r="J234" s="185"/>
    </row>
    <row r="235" spans="1:10" ht="30" x14ac:dyDescent="0.2">
      <c r="A235" s="96" t="s">
        <v>1615</v>
      </c>
      <c r="B235" s="93" t="e">
        <v>#N/A</v>
      </c>
      <c r="C235" s="71" t="s">
        <v>30</v>
      </c>
      <c r="D235" s="96" t="s">
        <v>895</v>
      </c>
      <c r="E235" s="96" t="s">
        <v>51</v>
      </c>
      <c r="F235" s="96" t="s">
        <v>95</v>
      </c>
      <c r="G235" s="93" t="s">
        <v>1616</v>
      </c>
      <c r="H235" s="97">
        <v>2024</v>
      </c>
      <c r="I235" s="188"/>
      <c r="J235" s="185"/>
    </row>
    <row r="236" spans="1:10" ht="30" x14ac:dyDescent="0.2">
      <c r="A236" s="96" t="s">
        <v>1617</v>
      </c>
      <c r="B236" s="93" t="e">
        <v>#N/A</v>
      </c>
      <c r="C236" s="71" t="s">
        <v>30</v>
      </c>
      <c r="D236" s="96" t="s">
        <v>895</v>
      </c>
      <c r="E236" s="96" t="s">
        <v>51</v>
      </c>
      <c r="F236" s="96" t="s">
        <v>95</v>
      </c>
      <c r="G236" s="93" t="s">
        <v>1618</v>
      </c>
      <c r="H236" s="97">
        <v>2024</v>
      </c>
      <c r="I236" s="188"/>
      <c r="J236" s="185"/>
    </row>
    <row r="237" spans="1:10" ht="30" x14ac:dyDescent="0.2">
      <c r="A237" s="96" t="s">
        <v>1619</v>
      </c>
      <c r="B237" s="93" t="e">
        <v>#N/A</v>
      </c>
      <c r="C237" s="71" t="s">
        <v>30</v>
      </c>
      <c r="D237" s="96" t="s">
        <v>895</v>
      </c>
      <c r="E237" s="96" t="s">
        <v>51</v>
      </c>
      <c r="F237" s="96" t="s">
        <v>95</v>
      </c>
      <c r="G237" s="93" t="s">
        <v>1620</v>
      </c>
      <c r="H237" s="97">
        <v>2024</v>
      </c>
      <c r="I237" s="188"/>
      <c r="J237" s="185"/>
    </row>
    <row r="238" spans="1:10" ht="30" x14ac:dyDescent="0.2">
      <c r="A238" s="96" t="s">
        <v>1621</v>
      </c>
      <c r="B238" s="93" t="e">
        <v>#N/A</v>
      </c>
      <c r="C238" s="71" t="s">
        <v>30</v>
      </c>
      <c r="D238" s="96" t="s">
        <v>895</v>
      </c>
      <c r="E238" s="96" t="s">
        <v>51</v>
      </c>
      <c r="F238" s="96" t="s">
        <v>74</v>
      </c>
      <c r="G238" s="93" t="s">
        <v>1622</v>
      </c>
      <c r="H238" s="97">
        <v>2024</v>
      </c>
      <c r="I238" s="188"/>
      <c r="J238" s="185"/>
    </row>
    <row r="239" spans="1:10" ht="30" x14ac:dyDescent="0.2">
      <c r="A239" s="96" t="s">
        <v>1623</v>
      </c>
      <c r="B239" s="93" t="e">
        <v>#N/A</v>
      </c>
      <c r="C239" s="71" t="s">
        <v>30</v>
      </c>
      <c r="D239" s="96" t="s">
        <v>895</v>
      </c>
      <c r="E239" s="96" t="s">
        <v>51</v>
      </c>
      <c r="F239" s="96" t="s">
        <v>321</v>
      </c>
      <c r="G239" s="93" t="s">
        <v>1624</v>
      </c>
      <c r="H239" s="97">
        <v>2024</v>
      </c>
      <c r="I239" s="188"/>
      <c r="J239" s="185"/>
    </row>
    <row r="240" spans="1:10" ht="30" x14ac:dyDescent="0.2">
      <c r="A240" s="96" t="s">
        <v>1625</v>
      </c>
      <c r="B240" s="93" t="e">
        <v>#N/A</v>
      </c>
      <c r="C240" s="71" t="s">
        <v>30</v>
      </c>
      <c r="D240" s="96" t="s">
        <v>895</v>
      </c>
      <c r="E240" s="96" t="s">
        <v>51</v>
      </c>
      <c r="F240" s="96" t="s">
        <v>321</v>
      </c>
      <c r="G240" s="93" t="s">
        <v>1626</v>
      </c>
      <c r="H240" s="97">
        <v>2024</v>
      </c>
      <c r="I240" s="188"/>
      <c r="J240" s="185"/>
    </row>
    <row r="241" spans="1:10" ht="30" x14ac:dyDescent="0.2">
      <c r="A241" s="96" t="s">
        <v>1627</v>
      </c>
      <c r="B241" s="93" t="e">
        <v>#N/A</v>
      </c>
      <c r="C241" s="71" t="s">
        <v>30</v>
      </c>
      <c r="D241" s="96" t="s">
        <v>895</v>
      </c>
      <c r="E241" s="96" t="s">
        <v>51</v>
      </c>
      <c r="F241" s="96" t="s">
        <v>321</v>
      </c>
      <c r="G241" s="93" t="s">
        <v>1628</v>
      </c>
      <c r="H241" s="97">
        <v>2024</v>
      </c>
      <c r="I241" s="188"/>
      <c r="J241" s="185"/>
    </row>
    <row r="242" spans="1:10" ht="30" x14ac:dyDescent="0.2">
      <c r="A242" s="96" t="s">
        <v>1629</v>
      </c>
      <c r="B242" s="93" t="e">
        <v>#N/A</v>
      </c>
      <c r="C242" s="71" t="s">
        <v>30</v>
      </c>
      <c r="D242" s="96" t="s">
        <v>895</v>
      </c>
      <c r="E242" s="96" t="s">
        <v>51</v>
      </c>
      <c r="F242" s="96" t="s">
        <v>738</v>
      </c>
      <c r="G242" s="93" t="s">
        <v>1630</v>
      </c>
      <c r="H242" s="97">
        <v>2024</v>
      </c>
      <c r="I242" s="188"/>
      <c r="J242" s="185"/>
    </row>
    <row r="243" spans="1:10" ht="30" x14ac:dyDescent="0.2">
      <c r="A243" s="96" t="s">
        <v>1631</v>
      </c>
      <c r="B243" s="93" t="e">
        <v>#N/A</v>
      </c>
      <c r="C243" s="71" t="s">
        <v>30</v>
      </c>
      <c r="D243" s="96" t="s">
        <v>895</v>
      </c>
      <c r="E243" s="96" t="s">
        <v>51</v>
      </c>
      <c r="F243" s="96" t="s">
        <v>406</v>
      </c>
      <c r="G243" s="93" t="s">
        <v>1632</v>
      </c>
      <c r="H243" s="97">
        <v>2024</v>
      </c>
      <c r="I243" s="188"/>
      <c r="J243" s="185"/>
    </row>
    <row r="244" spans="1:10" ht="30" x14ac:dyDescent="0.2">
      <c r="A244" s="96" t="s">
        <v>1633</v>
      </c>
      <c r="B244" s="93" t="e">
        <v>#N/A</v>
      </c>
      <c r="C244" s="71" t="s">
        <v>1634</v>
      </c>
      <c r="D244" s="96" t="s">
        <v>895</v>
      </c>
      <c r="E244" s="96" t="s">
        <v>51</v>
      </c>
      <c r="F244" s="96" t="s">
        <v>1548</v>
      </c>
      <c r="G244" s="93" t="s">
        <v>1635</v>
      </c>
      <c r="H244" s="97">
        <v>2024</v>
      </c>
      <c r="I244" s="188"/>
      <c r="J244" s="185"/>
    </row>
    <row r="245" spans="1:10" ht="30" x14ac:dyDescent="0.2">
      <c r="A245" s="96" t="s">
        <v>1636</v>
      </c>
      <c r="B245" s="93" t="e">
        <v>#N/A</v>
      </c>
      <c r="C245" s="71" t="s">
        <v>30</v>
      </c>
      <c r="D245" s="96" t="s">
        <v>895</v>
      </c>
      <c r="E245" s="96" t="s">
        <v>51</v>
      </c>
      <c r="F245" s="96" t="s">
        <v>1191</v>
      </c>
      <c r="G245" s="93" t="s">
        <v>1637</v>
      </c>
      <c r="H245" s="97">
        <v>2024</v>
      </c>
      <c r="I245" s="188"/>
      <c r="J245" s="185"/>
    </row>
    <row r="246" spans="1:10" ht="30" x14ac:dyDescent="0.2">
      <c r="A246" s="96" t="s">
        <v>1638</v>
      </c>
      <c r="B246" s="93" t="e">
        <v>#N/A</v>
      </c>
      <c r="C246" s="71" t="s">
        <v>30</v>
      </c>
      <c r="D246" s="96" t="s">
        <v>895</v>
      </c>
      <c r="E246" s="96" t="s">
        <v>51</v>
      </c>
      <c r="F246" s="96" t="s">
        <v>1191</v>
      </c>
      <c r="G246" s="93" t="s">
        <v>1639</v>
      </c>
      <c r="H246" s="97">
        <v>2024</v>
      </c>
      <c r="I246" s="188"/>
      <c r="J246" s="185"/>
    </row>
    <row r="247" spans="1:10" ht="30" x14ac:dyDescent="0.2">
      <c r="A247" s="96" t="s">
        <v>1640</v>
      </c>
      <c r="B247" s="93" t="e">
        <v>#N/A</v>
      </c>
      <c r="C247" s="71" t="s">
        <v>30</v>
      </c>
      <c r="D247" s="96" t="s">
        <v>895</v>
      </c>
      <c r="E247" s="96" t="s">
        <v>51</v>
      </c>
      <c r="F247" s="96" t="s">
        <v>1191</v>
      </c>
      <c r="G247" s="93" t="s">
        <v>1641</v>
      </c>
      <c r="H247" s="97">
        <v>2024</v>
      </c>
      <c r="I247" s="188"/>
      <c r="J247" s="185"/>
    </row>
    <row r="248" spans="1:10" ht="30" x14ac:dyDescent="0.2">
      <c r="A248" s="96" t="s">
        <v>1642</v>
      </c>
      <c r="B248" s="93" t="e">
        <v>#N/A</v>
      </c>
      <c r="C248" s="71" t="s">
        <v>1643</v>
      </c>
      <c r="D248" s="96" t="s">
        <v>895</v>
      </c>
      <c r="E248" s="96" t="s">
        <v>51</v>
      </c>
      <c r="F248" s="96" t="s">
        <v>917</v>
      </c>
      <c r="G248" s="93" t="s">
        <v>1644</v>
      </c>
      <c r="H248" s="97">
        <v>2024</v>
      </c>
      <c r="I248" s="188"/>
      <c r="J248" s="185"/>
    </row>
    <row r="249" spans="1:10" ht="30" x14ac:dyDescent="0.2">
      <c r="A249" s="96" t="s">
        <v>1645</v>
      </c>
      <c r="B249" s="93" t="e">
        <v>#N/A</v>
      </c>
      <c r="C249" s="71" t="s">
        <v>1646</v>
      </c>
      <c r="D249" s="96" t="s">
        <v>895</v>
      </c>
      <c r="E249" s="96" t="s">
        <v>51</v>
      </c>
      <c r="F249" s="96" t="s">
        <v>917</v>
      </c>
      <c r="G249" s="93" t="s">
        <v>1647</v>
      </c>
      <c r="H249" s="97">
        <v>2024</v>
      </c>
      <c r="I249" s="188"/>
      <c r="J249" s="185"/>
    </row>
    <row r="250" spans="1:10" ht="30" x14ac:dyDescent="0.2">
      <c r="A250" s="96" t="s">
        <v>1648</v>
      </c>
      <c r="B250" s="93" t="e">
        <v>#N/A</v>
      </c>
      <c r="C250" s="71" t="s">
        <v>30</v>
      </c>
      <c r="D250" s="96" t="s">
        <v>895</v>
      </c>
      <c r="E250" s="96" t="s">
        <v>51</v>
      </c>
      <c r="F250" s="96" t="s">
        <v>95</v>
      </c>
      <c r="G250" s="93" t="s">
        <v>1649</v>
      </c>
      <c r="H250" s="97">
        <v>2024</v>
      </c>
      <c r="I250" s="188"/>
      <c r="J250" s="185"/>
    </row>
    <row r="251" spans="1:10" ht="30" x14ac:dyDescent="0.2">
      <c r="A251" s="96" t="s">
        <v>1650</v>
      </c>
      <c r="B251" s="93" t="e">
        <v>#N/A</v>
      </c>
      <c r="C251" s="71" t="s">
        <v>30</v>
      </c>
      <c r="D251" s="96" t="s">
        <v>895</v>
      </c>
      <c r="E251" s="96" t="s">
        <v>51</v>
      </c>
      <c r="F251" s="96" t="s">
        <v>95</v>
      </c>
      <c r="G251" s="93" t="s">
        <v>1651</v>
      </c>
      <c r="H251" s="97">
        <v>2024</v>
      </c>
      <c r="I251" s="188"/>
      <c r="J251" s="185"/>
    </row>
    <row r="252" spans="1:10" ht="30" x14ac:dyDescent="0.2">
      <c r="A252" s="96" t="s">
        <v>1652</v>
      </c>
      <c r="B252" s="93" t="e">
        <v>#N/A</v>
      </c>
      <c r="C252" s="71" t="s">
        <v>30</v>
      </c>
      <c r="D252" s="96" t="s">
        <v>895</v>
      </c>
      <c r="E252" s="96" t="s">
        <v>51</v>
      </c>
      <c r="F252" s="96" t="s">
        <v>95</v>
      </c>
      <c r="G252" s="93" t="s">
        <v>1653</v>
      </c>
      <c r="H252" s="97">
        <v>2024</v>
      </c>
      <c r="I252" s="188"/>
      <c r="J252" s="185"/>
    </row>
    <row r="253" spans="1:10" ht="30" x14ac:dyDescent="0.2">
      <c r="A253" s="96" t="s">
        <v>1654</v>
      </c>
      <c r="B253" s="93" t="e">
        <v>#N/A</v>
      </c>
      <c r="C253" s="71" t="s">
        <v>30</v>
      </c>
      <c r="D253" s="96" t="s">
        <v>895</v>
      </c>
      <c r="E253" s="96" t="s">
        <v>51</v>
      </c>
      <c r="F253" s="96" t="s">
        <v>95</v>
      </c>
      <c r="G253" s="93" t="s">
        <v>1655</v>
      </c>
      <c r="H253" s="97">
        <v>2024</v>
      </c>
      <c r="I253" s="188"/>
      <c r="J253" s="185"/>
    </row>
    <row r="254" spans="1:10" ht="30" x14ac:dyDescent="0.2">
      <c r="A254" s="96" t="s">
        <v>1656</v>
      </c>
      <c r="B254" s="93" t="e">
        <v>#N/A</v>
      </c>
      <c r="C254" s="71" t="s">
        <v>30</v>
      </c>
      <c r="D254" s="96" t="s">
        <v>895</v>
      </c>
      <c r="E254" s="96" t="s">
        <v>51</v>
      </c>
      <c r="F254" s="96" t="s">
        <v>95</v>
      </c>
      <c r="G254" s="93" t="s">
        <v>1657</v>
      </c>
      <c r="H254" s="97">
        <v>2024</v>
      </c>
      <c r="I254" s="188"/>
      <c r="J254" s="185"/>
    </row>
    <row r="255" spans="1:10" ht="30" x14ac:dyDescent="0.2">
      <c r="A255" s="96" t="s">
        <v>1658</v>
      </c>
      <c r="B255" s="93" t="e">
        <v>#N/A</v>
      </c>
      <c r="C255" s="71" t="s">
        <v>30</v>
      </c>
      <c r="D255" s="96" t="s">
        <v>895</v>
      </c>
      <c r="E255" s="96" t="s">
        <v>51</v>
      </c>
      <c r="F255" s="96" t="s">
        <v>95</v>
      </c>
      <c r="G255" s="93" t="s">
        <v>1659</v>
      </c>
      <c r="H255" s="97">
        <v>2024</v>
      </c>
      <c r="I255" s="188"/>
      <c r="J255" s="185"/>
    </row>
    <row r="256" spans="1:10" ht="30" x14ac:dyDescent="0.2">
      <c r="A256" s="96" t="s">
        <v>1660</v>
      </c>
      <c r="B256" s="93" t="e">
        <v>#N/A</v>
      </c>
      <c r="C256" s="71" t="s">
        <v>1661</v>
      </c>
      <c r="D256" s="96" t="s">
        <v>895</v>
      </c>
      <c r="E256" s="96" t="s">
        <v>51</v>
      </c>
      <c r="F256" s="96" t="s">
        <v>917</v>
      </c>
      <c r="G256" s="93" t="s">
        <v>1662</v>
      </c>
      <c r="H256" s="97">
        <v>2024</v>
      </c>
      <c r="I256" s="188"/>
      <c r="J256" s="185"/>
    </row>
    <row r="257" spans="1:10" ht="30" x14ac:dyDescent="0.2">
      <c r="A257" s="96" t="s">
        <v>1663</v>
      </c>
      <c r="B257" s="93" t="e">
        <v>#N/A</v>
      </c>
      <c r="C257" s="71" t="s">
        <v>30</v>
      </c>
      <c r="D257" s="96" t="s">
        <v>895</v>
      </c>
      <c r="E257" s="96" t="s">
        <v>51</v>
      </c>
      <c r="F257" s="96" t="s">
        <v>1664</v>
      </c>
      <c r="G257" s="93" t="s">
        <v>1665</v>
      </c>
      <c r="H257" s="97">
        <v>2024</v>
      </c>
      <c r="I257" s="188"/>
      <c r="J257" s="185"/>
    </row>
    <row r="258" spans="1:10" ht="30" x14ac:dyDescent="0.2">
      <c r="A258" s="96" t="s">
        <v>1666</v>
      </c>
      <c r="B258" s="93" t="e">
        <v>#N/A</v>
      </c>
      <c r="C258" s="71" t="s">
        <v>30</v>
      </c>
      <c r="D258" s="96" t="s">
        <v>895</v>
      </c>
      <c r="E258" s="96" t="s">
        <v>51</v>
      </c>
      <c r="F258" s="96" t="s">
        <v>95</v>
      </c>
      <c r="G258" s="93" t="s">
        <v>1667</v>
      </c>
      <c r="H258" s="97">
        <v>2024</v>
      </c>
      <c r="I258" s="188"/>
      <c r="J258" s="185"/>
    </row>
    <row r="259" spans="1:10" ht="30" x14ac:dyDescent="0.2">
      <c r="A259" s="96" t="s">
        <v>1668</v>
      </c>
      <c r="B259" s="93" t="e">
        <v>#N/A</v>
      </c>
      <c r="C259" s="71" t="s">
        <v>30</v>
      </c>
      <c r="D259" s="96" t="s">
        <v>895</v>
      </c>
      <c r="E259" s="96" t="s">
        <v>51</v>
      </c>
      <c r="F259" s="96" t="s">
        <v>74</v>
      </c>
      <c r="G259" s="93" t="s">
        <v>1669</v>
      </c>
      <c r="H259" s="97">
        <v>2024</v>
      </c>
      <c r="I259" s="188"/>
      <c r="J259" s="185"/>
    </row>
    <row r="260" spans="1:10" ht="30" x14ac:dyDescent="0.2">
      <c r="A260" s="96" t="s">
        <v>1670</v>
      </c>
      <c r="B260" s="93" t="e">
        <v>#N/A</v>
      </c>
      <c r="C260" s="71" t="s">
        <v>30</v>
      </c>
      <c r="D260" s="96" t="s">
        <v>895</v>
      </c>
      <c r="E260" s="96" t="s">
        <v>51</v>
      </c>
      <c r="F260" s="96" t="s">
        <v>321</v>
      </c>
      <c r="G260" s="93" t="s">
        <v>1671</v>
      </c>
      <c r="H260" s="97">
        <v>2024</v>
      </c>
      <c r="I260" s="188"/>
      <c r="J260" s="185"/>
    </row>
    <row r="261" spans="1:10" ht="30" x14ac:dyDescent="0.2">
      <c r="A261" s="96" t="s">
        <v>1672</v>
      </c>
      <c r="B261" s="93" t="e">
        <v>#N/A</v>
      </c>
      <c r="C261" s="71" t="s">
        <v>30</v>
      </c>
      <c r="D261" s="96" t="s">
        <v>895</v>
      </c>
      <c r="E261" s="96" t="s">
        <v>51</v>
      </c>
      <c r="F261" s="96" t="s">
        <v>964</v>
      </c>
      <c r="G261" s="93" t="s">
        <v>1673</v>
      </c>
      <c r="H261" s="97">
        <v>2024</v>
      </c>
      <c r="I261" s="188"/>
      <c r="J261" s="185"/>
    </row>
    <row r="262" spans="1:10" ht="30" x14ac:dyDescent="0.2">
      <c r="A262" s="96" t="s">
        <v>1674</v>
      </c>
      <c r="B262" s="93" t="e">
        <v>#N/A</v>
      </c>
      <c r="C262" s="71" t="s">
        <v>1675</v>
      </c>
      <c r="D262" s="96" t="s">
        <v>895</v>
      </c>
      <c r="E262" s="96" t="s">
        <v>51</v>
      </c>
      <c r="F262" s="96" t="s">
        <v>1566</v>
      </c>
      <c r="G262" s="93" t="s">
        <v>1676</v>
      </c>
      <c r="H262" s="97">
        <v>2024</v>
      </c>
      <c r="I262" s="188"/>
      <c r="J262" s="185"/>
    </row>
    <row r="263" spans="1:10" ht="30" x14ac:dyDescent="0.2">
      <c r="A263" s="96" t="s">
        <v>1677</v>
      </c>
      <c r="B263" s="93" t="e">
        <v>#N/A</v>
      </c>
      <c r="C263" s="71" t="s">
        <v>30</v>
      </c>
      <c r="D263" s="96" t="s">
        <v>895</v>
      </c>
      <c r="E263" s="96" t="s">
        <v>51</v>
      </c>
      <c r="F263" s="96" t="s">
        <v>120</v>
      </c>
      <c r="G263" s="93" t="s">
        <v>1678</v>
      </c>
      <c r="H263" s="97">
        <v>2024</v>
      </c>
      <c r="I263" s="188"/>
      <c r="J263" s="185"/>
    </row>
    <row r="264" spans="1:10" ht="30" x14ac:dyDescent="0.2">
      <c r="A264" s="96" t="s">
        <v>1679</v>
      </c>
      <c r="B264" s="93" t="e">
        <v>#N/A</v>
      </c>
      <c r="C264" s="71" t="s">
        <v>30</v>
      </c>
      <c r="D264" s="96" t="s">
        <v>895</v>
      </c>
      <c r="E264" s="96" t="s">
        <v>51</v>
      </c>
      <c r="F264" s="96" t="s">
        <v>74</v>
      </c>
      <c r="G264" s="93" t="s">
        <v>1680</v>
      </c>
      <c r="H264" s="97">
        <v>2024</v>
      </c>
      <c r="I264" s="188"/>
      <c r="J264" s="185"/>
    </row>
    <row r="265" spans="1:10" ht="30" x14ac:dyDescent="0.2">
      <c r="A265" s="96" t="s">
        <v>1681</v>
      </c>
      <c r="B265" s="93" t="e">
        <v>#N/A</v>
      </c>
      <c r="C265" s="71" t="s">
        <v>30</v>
      </c>
      <c r="D265" s="96" t="s">
        <v>895</v>
      </c>
      <c r="E265" s="96" t="s">
        <v>51</v>
      </c>
      <c r="F265" s="96" t="s">
        <v>912</v>
      </c>
      <c r="G265" s="93" t="s">
        <v>1682</v>
      </c>
      <c r="H265" s="97">
        <v>2024</v>
      </c>
      <c r="I265" s="188"/>
      <c r="J265" s="185"/>
    </row>
    <row r="266" spans="1:10" ht="45" x14ac:dyDescent="0.2">
      <c r="A266" s="96" t="s">
        <v>1683</v>
      </c>
      <c r="B266" s="93" t="e">
        <v>#N/A</v>
      </c>
      <c r="C266" s="71" t="s">
        <v>30</v>
      </c>
      <c r="D266" s="96" t="s">
        <v>895</v>
      </c>
      <c r="E266" s="96" t="s">
        <v>51</v>
      </c>
      <c r="F266" s="96" t="s">
        <v>74</v>
      </c>
      <c r="G266" s="93" t="s">
        <v>1684</v>
      </c>
      <c r="H266" s="97">
        <v>2025</v>
      </c>
      <c r="I266" s="188"/>
      <c r="J266" s="185"/>
    </row>
    <row r="267" spans="1:10" ht="45" x14ac:dyDescent="0.2">
      <c r="A267" s="96" t="s">
        <v>1685</v>
      </c>
      <c r="B267" s="93" t="e">
        <v>#N/A</v>
      </c>
      <c r="C267" s="71" t="s">
        <v>30</v>
      </c>
      <c r="D267" s="96" t="s">
        <v>895</v>
      </c>
      <c r="E267" s="96" t="s">
        <v>51</v>
      </c>
      <c r="F267" s="96" t="s">
        <v>74</v>
      </c>
      <c r="G267" s="93" t="s">
        <v>1686</v>
      </c>
      <c r="H267" s="97">
        <v>2025</v>
      </c>
      <c r="I267" s="188"/>
      <c r="J267" s="185"/>
    </row>
    <row r="268" spans="1:10" ht="45" x14ac:dyDescent="0.2">
      <c r="A268" s="96" t="s">
        <v>1687</v>
      </c>
      <c r="B268" s="93" t="e">
        <v>#N/A</v>
      </c>
      <c r="C268" s="71" t="s">
        <v>30</v>
      </c>
      <c r="D268" s="96" t="s">
        <v>895</v>
      </c>
      <c r="E268" s="96" t="s">
        <v>51</v>
      </c>
      <c r="F268" s="96" t="s">
        <v>74</v>
      </c>
      <c r="G268" s="93" t="s">
        <v>1688</v>
      </c>
      <c r="H268" s="97">
        <v>2025</v>
      </c>
      <c r="I268" s="188"/>
      <c r="J268" s="185"/>
    </row>
    <row r="269" spans="1:10" ht="30" x14ac:dyDescent="0.2">
      <c r="A269" s="96" t="s">
        <v>1689</v>
      </c>
      <c r="B269" s="93" t="e">
        <v>#N/A</v>
      </c>
      <c r="C269" s="71" t="s">
        <v>30</v>
      </c>
      <c r="D269" s="96" t="s">
        <v>895</v>
      </c>
      <c r="E269" s="96" t="s">
        <v>51</v>
      </c>
      <c r="F269" s="96" t="s">
        <v>293</v>
      </c>
      <c r="G269" s="93" t="s">
        <v>1690</v>
      </c>
      <c r="H269" s="97">
        <v>2025</v>
      </c>
      <c r="I269" s="188"/>
      <c r="J269" s="185"/>
    </row>
    <row r="270" spans="1:10" ht="30" x14ac:dyDescent="0.2">
      <c r="A270" s="96" t="s">
        <v>1691</v>
      </c>
      <c r="B270" s="93" t="e">
        <v>#N/A</v>
      </c>
      <c r="C270" s="71" t="s">
        <v>30</v>
      </c>
      <c r="D270" s="96" t="s">
        <v>895</v>
      </c>
      <c r="E270" s="96" t="s">
        <v>51</v>
      </c>
      <c r="F270" s="96" t="s">
        <v>293</v>
      </c>
      <c r="G270" s="93" t="s">
        <v>1692</v>
      </c>
      <c r="H270" s="97">
        <v>2025</v>
      </c>
      <c r="I270" s="188"/>
      <c r="J270" s="185"/>
    </row>
    <row r="271" spans="1:10" ht="45" x14ac:dyDescent="0.2">
      <c r="A271" s="96" t="s">
        <v>1693</v>
      </c>
      <c r="B271" s="93" t="e">
        <v>#N/A</v>
      </c>
      <c r="C271" s="71" t="s">
        <v>30</v>
      </c>
      <c r="D271" s="96" t="s">
        <v>895</v>
      </c>
      <c r="E271" s="96" t="s">
        <v>51</v>
      </c>
      <c r="F271" s="96" t="s">
        <v>738</v>
      </c>
      <c r="G271" s="93" t="s">
        <v>1694</v>
      </c>
      <c r="H271" s="97">
        <v>2025</v>
      </c>
      <c r="I271" s="188"/>
      <c r="J271" s="185"/>
    </row>
    <row r="272" spans="1:10" ht="45" x14ac:dyDescent="0.2">
      <c r="A272" s="96" t="s">
        <v>1695</v>
      </c>
      <c r="B272" s="93" t="e">
        <v>#N/A</v>
      </c>
      <c r="C272" s="71" t="s">
        <v>30</v>
      </c>
      <c r="D272" s="96" t="s">
        <v>895</v>
      </c>
      <c r="E272" s="96" t="s">
        <v>51</v>
      </c>
      <c r="F272" s="96" t="s">
        <v>612</v>
      </c>
      <c r="G272" s="93" t="s">
        <v>1696</v>
      </c>
      <c r="H272" s="97">
        <v>2025</v>
      </c>
      <c r="I272" s="188"/>
      <c r="J272" s="185"/>
    </row>
    <row r="273" spans="1:10" ht="30" x14ac:dyDescent="0.2">
      <c r="A273" s="96" t="s">
        <v>1697</v>
      </c>
      <c r="B273" s="93" t="e">
        <v>#N/A</v>
      </c>
      <c r="C273" s="71" t="s">
        <v>30</v>
      </c>
      <c r="D273" s="96" t="s">
        <v>895</v>
      </c>
      <c r="E273" s="96" t="s">
        <v>51</v>
      </c>
      <c r="F273" s="96" t="s">
        <v>1005</v>
      </c>
      <c r="G273" s="93" t="s">
        <v>1698</v>
      </c>
      <c r="H273" s="97">
        <v>2025</v>
      </c>
      <c r="I273" s="188"/>
      <c r="J273" s="185"/>
    </row>
    <row r="274" spans="1:10" ht="45" x14ac:dyDescent="0.2">
      <c r="A274" s="96" t="s">
        <v>1699</v>
      </c>
      <c r="B274" s="93" t="e">
        <v>#N/A</v>
      </c>
      <c r="C274" s="71" t="s">
        <v>30</v>
      </c>
      <c r="D274" s="96" t="s">
        <v>895</v>
      </c>
      <c r="E274" s="96" t="s">
        <v>54</v>
      </c>
      <c r="F274" s="96" t="s">
        <v>98</v>
      </c>
      <c r="G274" s="93" t="s">
        <v>1700</v>
      </c>
      <c r="H274" s="97">
        <v>2025</v>
      </c>
      <c r="I274" s="188"/>
      <c r="J274" s="185"/>
    </row>
    <row r="275" spans="1:10" ht="30" x14ac:dyDescent="0.2">
      <c r="A275" s="96" t="s">
        <v>1701</v>
      </c>
      <c r="B275" s="93" t="e">
        <v>#N/A</v>
      </c>
      <c r="C275" s="71" t="s">
        <v>30</v>
      </c>
      <c r="D275" s="96" t="s">
        <v>895</v>
      </c>
      <c r="E275" s="96" t="s">
        <v>51</v>
      </c>
      <c r="F275" s="96" t="s">
        <v>293</v>
      </c>
      <c r="G275" s="93" t="s">
        <v>1702</v>
      </c>
      <c r="H275" s="97">
        <v>2025</v>
      </c>
      <c r="I275" s="188"/>
      <c r="J275" s="185"/>
    </row>
    <row r="276" spans="1:10" ht="45" x14ac:dyDescent="0.2">
      <c r="A276" s="96" t="s">
        <v>1703</v>
      </c>
      <c r="B276" s="93" t="e">
        <v>#N/A</v>
      </c>
      <c r="C276" s="71" t="s">
        <v>30</v>
      </c>
      <c r="D276" s="96" t="s">
        <v>895</v>
      </c>
      <c r="E276" s="96" t="s">
        <v>51</v>
      </c>
      <c r="F276" s="96" t="s">
        <v>103</v>
      </c>
      <c r="G276" s="93" t="s">
        <v>1704</v>
      </c>
      <c r="H276" s="97">
        <v>2025</v>
      </c>
      <c r="I276" s="188"/>
      <c r="J276" s="185"/>
    </row>
    <row r="277" spans="1:10" ht="45" x14ac:dyDescent="0.2">
      <c r="A277" s="96" t="s">
        <v>1705</v>
      </c>
      <c r="B277" s="93" t="e">
        <v>#N/A</v>
      </c>
      <c r="C277" s="71" t="s">
        <v>30</v>
      </c>
      <c r="D277" s="96" t="s">
        <v>895</v>
      </c>
      <c r="E277" s="96" t="s">
        <v>51</v>
      </c>
      <c r="F277" s="96" t="s">
        <v>178</v>
      </c>
      <c r="G277" s="93" t="s">
        <v>1706</v>
      </c>
      <c r="H277" s="97">
        <v>2025</v>
      </c>
      <c r="I277" s="188"/>
      <c r="J277" s="185"/>
    </row>
    <row r="278" spans="1:10" ht="45" x14ac:dyDescent="0.2">
      <c r="A278" s="96" t="s">
        <v>1707</v>
      </c>
      <c r="B278" s="93" t="e">
        <v>#N/A</v>
      </c>
      <c r="C278" s="71" t="s">
        <v>30</v>
      </c>
      <c r="D278" s="96" t="s">
        <v>895</v>
      </c>
      <c r="E278" s="96" t="s">
        <v>51</v>
      </c>
      <c r="F278" s="96" t="s">
        <v>178</v>
      </c>
      <c r="G278" s="93" t="s">
        <v>1708</v>
      </c>
      <c r="H278" s="97">
        <v>2025</v>
      </c>
      <c r="I278" s="188"/>
      <c r="J278" s="185"/>
    </row>
    <row r="279" spans="1:10" ht="45" x14ac:dyDescent="0.2">
      <c r="A279" s="96" t="s">
        <v>1709</v>
      </c>
      <c r="B279" s="93" t="e">
        <v>#N/A</v>
      </c>
      <c r="C279" s="71" t="s">
        <v>30</v>
      </c>
      <c r="D279" s="96" t="s">
        <v>895</v>
      </c>
      <c r="E279" s="96" t="s">
        <v>37</v>
      </c>
      <c r="F279" s="96" t="s">
        <v>255</v>
      </c>
      <c r="G279" s="93" t="s">
        <v>1710</v>
      </c>
      <c r="H279" s="97">
        <v>2025</v>
      </c>
      <c r="I279" s="188"/>
      <c r="J279" s="185"/>
    </row>
    <row r="280" spans="1:10" ht="45" x14ac:dyDescent="0.2">
      <c r="A280" s="96" t="s">
        <v>1711</v>
      </c>
      <c r="B280" s="93" t="e">
        <v>#N/A</v>
      </c>
      <c r="C280" s="71" t="s">
        <v>30</v>
      </c>
      <c r="D280" s="96" t="s">
        <v>895</v>
      </c>
      <c r="E280" s="96" t="s">
        <v>37</v>
      </c>
      <c r="F280" s="96" t="s">
        <v>141</v>
      </c>
      <c r="G280" s="93" t="s">
        <v>1712</v>
      </c>
      <c r="H280" s="97">
        <v>2025</v>
      </c>
      <c r="I280" s="188"/>
      <c r="J280" s="185"/>
    </row>
    <row r="281" spans="1:10" ht="45" x14ac:dyDescent="0.2">
      <c r="A281" s="96" t="s">
        <v>1713</v>
      </c>
      <c r="B281" s="93" t="e">
        <v>#N/A</v>
      </c>
      <c r="C281" s="71" t="s">
        <v>30</v>
      </c>
      <c r="D281" s="96" t="s">
        <v>895</v>
      </c>
      <c r="E281" s="96" t="s">
        <v>37</v>
      </c>
      <c r="F281" s="96" t="s">
        <v>141</v>
      </c>
      <c r="G281" s="93" t="s">
        <v>1714</v>
      </c>
      <c r="H281" s="97">
        <v>2025</v>
      </c>
      <c r="I281" s="188"/>
      <c r="J281" s="185"/>
    </row>
    <row r="282" spans="1:10" ht="45" x14ac:dyDescent="0.2">
      <c r="A282" s="96" t="s">
        <v>1715</v>
      </c>
      <c r="B282" s="93" t="e">
        <v>#N/A</v>
      </c>
      <c r="C282" s="71" t="s">
        <v>30</v>
      </c>
      <c r="D282" s="96" t="s">
        <v>895</v>
      </c>
      <c r="E282" s="96" t="s">
        <v>37</v>
      </c>
      <c r="F282" s="96" t="s">
        <v>141</v>
      </c>
      <c r="G282" s="93" t="s">
        <v>1716</v>
      </c>
      <c r="H282" s="97">
        <v>2025</v>
      </c>
      <c r="I282" s="188"/>
      <c r="J282" s="185"/>
    </row>
    <row r="283" spans="1:10" ht="45" x14ac:dyDescent="0.2">
      <c r="A283" s="96" t="s">
        <v>1717</v>
      </c>
      <c r="B283" s="93" t="e">
        <v>#N/A</v>
      </c>
      <c r="C283" s="71" t="s">
        <v>30</v>
      </c>
      <c r="D283" s="96" t="s">
        <v>895</v>
      </c>
      <c r="E283" s="96" t="s">
        <v>37</v>
      </c>
      <c r="F283" s="96" t="s">
        <v>141</v>
      </c>
      <c r="G283" s="93" t="s">
        <v>1718</v>
      </c>
      <c r="H283" s="97">
        <v>2025</v>
      </c>
      <c r="I283" s="188"/>
      <c r="J283" s="185"/>
    </row>
    <row r="284" spans="1:10" ht="45" x14ac:dyDescent="0.2">
      <c r="A284" s="96" t="s">
        <v>1719</v>
      </c>
      <c r="B284" s="93" t="e">
        <v>#N/A</v>
      </c>
      <c r="C284" s="71" t="s">
        <v>30</v>
      </c>
      <c r="D284" s="96" t="s">
        <v>895</v>
      </c>
      <c r="E284" s="96" t="s">
        <v>37</v>
      </c>
      <c r="F284" s="96" t="s">
        <v>141</v>
      </c>
      <c r="G284" s="93" t="s">
        <v>1720</v>
      </c>
      <c r="H284" s="97">
        <v>2025</v>
      </c>
      <c r="I284" s="188"/>
      <c r="J284" s="185"/>
    </row>
    <row r="285" spans="1:10" ht="45" x14ac:dyDescent="0.2">
      <c r="A285" s="96" t="s">
        <v>1721</v>
      </c>
      <c r="B285" s="93" t="e">
        <v>#N/A</v>
      </c>
      <c r="C285" s="71" t="s">
        <v>30</v>
      </c>
      <c r="D285" s="96" t="s">
        <v>895</v>
      </c>
      <c r="E285" s="96" t="s">
        <v>37</v>
      </c>
      <c r="F285" s="96" t="s">
        <v>141</v>
      </c>
      <c r="G285" s="93" t="s">
        <v>1722</v>
      </c>
      <c r="H285" s="97">
        <v>2025</v>
      </c>
      <c r="I285" s="188"/>
      <c r="J285" s="185"/>
    </row>
    <row r="286" spans="1:10" ht="45" x14ac:dyDescent="0.2">
      <c r="A286" s="96" t="s">
        <v>1723</v>
      </c>
      <c r="B286" s="93" t="e">
        <v>#N/A</v>
      </c>
      <c r="C286" s="71" t="s">
        <v>30</v>
      </c>
      <c r="D286" s="96" t="s">
        <v>895</v>
      </c>
      <c r="E286" s="96" t="s">
        <v>37</v>
      </c>
      <c r="F286" s="96" t="s">
        <v>1724</v>
      </c>
      <c r="G286" s="93" t="s">
        <v>1725</v>
      </c>
      <c r="H286" s="97">
        <v>2025</v>
      </c>
      <c r="I286" s="188"/>
      <c r="J286" s="185"/>
    </row>
    <row r="287" spans="1:10" ht="45" x14ac:dyDescent="0.2">
      <c r="A287" s="96" t="s">
        <v>1726</v>
      </c>
      <c r="B287" s="93" t="e">
        <v>#N/A</v>
      </c>
      <c r="C287" s="71" t="s">
        <v>30</v>
      </c>
      <c r="D287" s="96" t="s">
        <v>895</v>
      </c>
      <c r="E287" s="96" t="s">
        <v>37</v>
      </c>
      <c r="F287" s="96" t="s">
        <v>471</v>
      </c>
      <c r="G287" s="93" t="s">
        <v>1727</v>
      </c>
      <c r="H287" s="97">
        <v>2025</v>
      </c>
      <c r="I287" s="188"/>
      <c r="J287" s="185"/>
    </row>
    <row r="288" spans="1:10" ht="45" x14ac:dyDescent="0.2">
      <c r="A288" s="96" t="s">
        <v>1728</v>
      </c>
      <c r="B288" s="93" t="e">
        <v>#N/A</v>
      </c>
      <c r="C288" s="71" t="s">
        <v>30</v>
      </c>
      <c r="D288" s="96" t="s">
        <v>895</v>
      </c>
      <c r="E288" s="96" t="s">
        <v>54</v>
      </c>
      <c r="F288" s="96" t="s">
        <v>296</v>
      </c>
      <c r="G288" s="93" t="s">
        <v>1729</v>
      </c>
      <c r="H288" s="97">
        <v>2025</v>
      </c>
      <c r="I288" s="188"/>
      <c r="J288" s="185"/>
    </row>
    <row r="289" spans="1:10" ht="45" x14ac:dyDescent="0.2">
      <c r="A289" s="96" t="s">
        <v>1730</v>
      </c>
      <c r="B289" s="93" t="e">
        <v>#N/A</v>
      </c>
      <c r="C289" s="71" t="s">
        <v>30</v>
      </c>
      <c r="D289" s="96" t="s">
        <v>895</v>
      </c>
      <c r="E289" s="96" t="s">
        <v>54</v>
      </c>
      <c r="F289" s="96" t="s">
        <v>1731</v>
      </c>
      <c r="G289" s="93" t="s">
        <v>1732</v>
      </c>
      <c r="H289" s="97">
        <v>2025</v>
      </c>
      <c r="I289" s="188"/>
      <c r="J289" s="185"/>
    </row>
    <row r="290" spans="1:10" ht="30" x14ac:dyDescent="0.2">
      <c r="A290" s="96" t="s">
        <v>1733</v>
      </c>
      <c r="B290" s="93" t="e">
        <v>#N/A</v>
      </c>
      <c r="C290" s="71" t="s">
        <v>30</v>
      </c>
      <c r="D290" s="96" t="s">
        <v>895</v>
      </c>
      <c r="E290" s="96" t="s">
        <v>54</v>
      </c>
      <c r="F290" s="96" t="s">
        <v>1734</v>
      </c>
      <c r="G290" s="93" t="s">
        <v>1735</v>
      </c>
      <c r="H290" s="97">
        <v>2025</v>
      </c>
      <c r="I290" s="188"/>
      <c r="J290" s="185"/>
    </row>
    <row r="291" spans="1:10" ht="30" x14ac:dyDescent="0.2">
      <c r="A291" s="96" t="s">
        <v>1736</v>
      </c>
      <c r="B291" s="93" t="e">
        <v>#N/A</v>
      </c>
      <c r="C291" s="71" t="s">
        <v>30</v>
      </c>
      <c r="D291" s="96" t="s">
        <v>895</v>
      </c>
      <c r="E291" s="96" t="s">
        <v>51</v>
      </c>
      <c r="F291" s="96" t="s">
        <v>912</v>
      </c>
      <c r="G291" s="93" t="s">
        <v>1737</v>
      </c>
      <c r="H291" s="97">
        <v>2025</v>
      </c>
      <c r="I291" s="188"/>
      <c r="J291" s="185"/>
    </row>
    <row r="292" spans="1:10" ht="45" x14ac:dyDescent="0.2">
      <c r="A292" s="96" t="s">
        <v>1738</v>
      </c>
      <c r="B292" s="93" t="e">
        <v>#N/A</v>
      </c>
      <c r="C292" s="71" t="s">
        <v>30</v>
      </c>
      <c r="D292" s="96" t="s">
        <v>895</v>
      </c>
      <c r="E292" s="96" t="s">
        <v>51</v>
      </c>
      <c r="F292" s="96" t="s">
        <v>912</v>
      </c>
      <c r="G292" s="93" t="s">
        <v>1739</v>
      </c>
      <c r="H292" s="97">
        <v>2025</v>
      </c>
      <c r="I292" s="188"/>
      <c r="J292" s="185"/>
    </row>
    <row r="293" spans="1:10" ht="45" x14ac:dyDescent="0.2">
      <c r="A293" s="96" t="s">
        <v>1740</v>
      </c>
      <c r="B293" s="93" t="e">
        <v>#N/A</v>
      </c>
      <c r="C293" s="71" t="s">
        <v>30</v>
      </c>
      <c r="D293" s="96" t="s">
        <v>895</v>
      </c>
      <c r="E293" s="96" t="s">
        <v>51</v>
      </c>
      <c r="F293" s="96" t="s">
        <v>922</v>
      </c>
      <c r="G293" s="93" t="s">
        <v>1741</v>
      </c>
      <c r="H293" s="97">
        <v>2025</v>
      </c>
      <c r="I293" s="188"/>
      <c r="J293" s="185"/>
    </row>
    <row r="294" spans="1:10" ht="45" x14ac:dyDescent="0.2">
      <c r="A294" s="96" t="s">
        <v>1742</v>
      </c>
      <c r="B294" s="93" t="e">
        <v>#N/A</v>
      </c>
      <c r="C294" s="71" t="s">
        <v>30</v>
      </c>
      <c r="D294" s="96" t="s">
        <v>895</v>
      </c>
      <c r="E294" s="96" t="s">
        <v>51</v>
      </c>
      <c r="F294" s="96" t="s">
        <v>1015</v>
      </c>
      <c r="G294" s="93" t="s">
        <v>1743</v>
      </c>
      <c r="H294" s="97">
        <v>2025</v>
      </c>
      <c r="I294" s="188"/>
      <c r="J294" s="185"/>
    </row>
    <row r="295" spans="1:10" ht="45" x14ac:dyDescent="0.2">
      <c r="A295" s="96" t="s">
        <v>1744</v>
      </c>
      <c r="B295" s="93" t="e">
        <v>#N/A</v>
      </c>
      <c r="C295" s="71" t="s">
        <v>30</v>
      </c>
      <c r="D295" s="96" t="s">
        <v>895</v>
      </c>
      <c r="E295" s="96" t="s">
        <v>51</v>
      </c>
      <c r="F295" s="96" t="s">
        <v>1233</v>
      </c>
      <c r="G295" s="93" t="s">
        <v>1745</v>
      </c>
      <c r="H295" s="97">
        <v>2025</v>
      </c>
      <c r="I295" s="188"/>
      <c r="J295" s="185"/>
    </row>
    <row r="296" spans="1:10" ht="45" x14ac:dyDescent="0.2">
      <c r="A296" s="96" t="s">
        <v>1746</v>
      </c>
      <c r="B296" s="93" t="e">
        <v>#N/A</v>
      </c>
      <c r="C296" s="71" t="s">
        <v>30</v>
      </c>
      <c r="D296" s="96" t="s">
        <v>895</v>
      </c>
      <c r="E296" s="96" t="s">
        <v>37</v>
      </c>
      <c r="F296" s="96" t="s">
        <v>206</v>
      </c>
      <c r="G296" s="93" t="s">
        <v>1747</v>
      </c>
      <c r="H296" s="97">
        <v>2025</v>
      </c>
      <c r="I296" s="188"/>
      <c r="J296" s="185"/>
    </row>
    <row r="297" spans="1:10" ht="45" x14ac:dyDescent="0.2">
      <c r="A297" s="96" t="s">
        <v>1748</v>
      </c>
      <c r="B297" s="93" t="e">
        <v>#N/A</v>
      </c>
      <c r="C297" s="71" t="s">
        <v>30</v>
      </c>
      <c r="D297" s="96" t="s">
        <v>895</v>
      </c>
      <c r="E297" s="96" t="s">
        <v>51</v>
      </c>
      <c r="F297" s="96" t="s">
        <v>120</v>
      </c>
      <c r="G297" s="93" t="s">
        <v>1749</v>
      </c>
      <c r="H297" s="97">
        <v>2025</v>
      </c>
      <c r="I297" s="188"/>
      <c r="J297" s="185"/>
    </row>
    <row r="298" spans="1:10" ht="30" x14ac:dyDescent="0.2">
      <c r="A298" s="96" t="s">
        <v>1750</v>
      </c>
      <c r="B298" s="93" t="e">
        <v>#N/A</v>
      </c>
      <c r="C298" s="71" t="s">
        <v>30</v>
      </c>
      <c r="D298" s="96" t="s">
        <v>895</v>
      </c>
      <c r="E298" s="96" t="s">
        <v>51</v>
      </c>
      <c r="F298" s="96" t="s">
        <v>1566</v>
      </c>
      <c r="G298" s="93" t="s">
        <v>1751</v>
      </c>
      <c r="H298" s="97">
        <v>2025</v>
      </c>
      <c r="I298" s="188"/>
      <c r="J298" s="185"/>
    </row>
    <row r="299" spans="1:10" ht="30" x14ac:dyDescent="0.2">
      <c r="A299" s="96" t="s">
        <v>1752</v>
      </c>
      <c r="B299" s="93" t="e">
        <v>#N/A</v>
      </c>
      <c r="C299" s="71" t="s">
        <v>30</v>
      </c>
      <c r="D299" s="96" t="s">
        <v>895</v>
      </c>
      <c r="E299" s="96" t="s">
        <v>37</v>
      </c>
      <c r="F299" s="96" t="s">
        <v>216</v>
      </c>
      <c r="G299" s="93" t="s">
        <v>1753</v>
      </c>
      <c r="H299" s="97">
        <v>2025</v>
      </c>
      <c r="I299" s="188"/>
      <c r="J299" s="185"/>
    </row>
    <row r="300" spans="1:10" ht="45" x14ac:dyDescent="0.2">
      <c r="A300" s="96" t="s">
        <v>1754</v>
      </c>
      <c r="B300" s="93" t="e">
        <v>#N/A</v>
      </c>
      <c r="C300" s="71" t="s">
        <v>30</v>
      </c>
      <c r="D300" s="96" t="s">
        <v>895</v>
      </c>
      <c r="E300" s="96" t="s">
        <v>37</v>
      </c>
      <c r="F300" s="96" t="s">
        <v>38</v>
      </c>
      <c r="G300" s="93" t="s">
        <v>1755</v>
      </c>
      <c r="H300" s="97">
        <v>2025</v>
      </c>
      <c r="I300" s="188"/>
      <c r="J300" s="185"/>
    </row>
    <row r="301" spans="1:10" ht="45" x14ac:dyDescent="0.2">
      <c r="A301" s="96" t="s">
        <v>1756</v>
      </c>
      <c r="B301" s="93" t="e">
        <v>#N/A</v>
      </c>
      <c r="C301" s="71" t="s">
        <v>30</v>
      </c>
      <c r="D301" s="96" t="s">
        <v>895</v>
      </c>
      <c r="E301" s="96" t="s">
        <v>37</v>
      </c>
      <c r="F301" s="96" t="s">
        <v>141</v>
      </c>
      <c r="G301" s="93" t="s">
        <v>1757</v>
      </c>
      <c r="H301" s="97">
        <v>2025</v>
      </c>
      <c r="I301" s="188"/>
      <c r="J301" s="185"/>
    </row>
    <row r="302" spans="1:10" ht="45" x14ac:dyDescent="0.2">
      <c r="A302" s="96" t="s">
        <v>1758</v>
      </c>
      <c r="B302" s="93" t="e">
        <v>#N/A</v>
      </c>
      <c r="C302" s="71" t="s">
        <v>30</v>
      </c>
      <c r="D302" s="96" t="s">
        <v>895</v>
      </c>
      <c r="E302" s="96" t="s">
        <v>37</v>
      </c>
      <c r="F302" s="96" t="s">
        <v>156</v>
      </c>
      <c r="G302" s="93" t="s">
        <v>1759</v>
      </c>
      <c r="H302" s="97">
        <v>2025</v>
      </c>
      <c r="I302" s="188"/>
      <c r="J302" s="185"/>
    </row>
    <row r="303" spans="1:10" ht="45" x14ac:dyDescent="0.2">
      <c r="A303" s="96" t="s">
        <v>1760</v>
      </c>
      <c r="B303" s="93" t="e">
        <v>#N/A</v>
      </c>
      <c r="C303" s="71" t="s">
        <v>30</v>
      </c>
      <c r="D303" s="96" t="s">
        <v>895</v>
      </c>
      <c r="E303" s="96" t="s">
        <v>37</v>
      </c>
      <c r="F303" s="96" t="s">
        <v>156</v>
      </c>
      <c r="G303" s="93" t="s">
        <v>1761</v>
      </c>
      <c r="H303" s="97">
        <v>2025</v>
      </c>
      <c r="I303" s="188"/>
      <c r="J303" s="185"/>
    </row>
    <row r="304" spans="1:10" ht="45" x14ac:dyDescent="0.2">
      <c r="A304" s="96" t="s">
        <v>1762</v>
      </c>
      <c r="B304" s="93" t="e">
        <v>#N/A</v>
      </c>
      <c r="C304" s="71" t="s">
        <v>30</v>
      </c>
      <c r="D304" s="96" t="s">
        <v>895</v>
      </c>
      <c r="E304" s="96" t="s">
        <v>37</v>
      </c>
      <c r="F304" s="96" t="s">
        <v>156</v>
      </c>
      <c r="G304" s="93" t="s">
        <v>1763</v>
      </c>
      <c r="H304" s="97">
        <v>2025</v>
      </c>
      <c r="I304" s="188"/>
      <c r="J304" s="185"/>
    </row>
    <row r="305" spans="1:10" ht="45" x14ac:dyDescent="0.2">
      <c r="A305" s="96" t="s">
        <v>1764</v>
      </c>
      <c r="B305" s="93" t="e">
        <v>#N/A</v>
      </c>
      <c r="C305" s="71" t="s">
        <v>30</v>
      </c>
      <c r="D305" s="96" t="s">
        <v>895</v>
      </c>
      <c r="E305" s="96" t="s">
        <v>37</v>
      </c>
      <c r="F305" s="96" t="s">
        <v>156</v>
      </c>
      <c r="G305" s="93" t="s">
        <v>1765</v>
      </c>
      <c r="H305" s="97">
        <v>2025</v>
      </c>
      <c r="I305" s="188"/>
      <c r="J305" s="185"/>
    </row>
    <row r="306" spans="1:10" ht="45" x14ac:dyDescent="0.2">
      <c r="A306" s="96" t="s">
        <v>1766</v>
      </c>
      <c r="B306" s="93" t="e">
        <v>#N/A</v>
      </c>
      <c r="C306" s="71" t="s">
        <v>30</v>
      </c>
      <c r="D306" s="96" t="s">
        <v>895</v>
      </c>
      <c r="E306" s="96" t="s">
        <v>37</v>
      </c>
      <c r="F306" s="96" t="s">
        <v>677</v>
      </c>
      <c r="G306" s="93" t="s">
        <v>1767</v>
      </c>
      <c r="H306" s="97">
        <v>2025</v>
      </c>
      <c r="I306" s="188"/>
      <c r="J306" s="185"/>
    </row>
    <row r="307" spans="1:10" ht="45" x14ac:dyDescent="0.2">
      <c r="A307" s="96" t="s">
        <v>1768</v>
      </c>
      <c r="B307" s="93" t="e">
        <v>#N/A</v>
      </c>
      <c r="C307" s="71" t="s">
        <v>30</v>
      </c>
      <c r="D307" s="96" t="s">
        <v>895</v>
      </c>
      <c r="E307" s="96" t="s">
        <v>37</v>
      </c>
      <c r="F307" s="96" t="s">
        <v>170</v>
      </c>
      <c r="G307" s="93" t="s">
        <v>1769</v>
      </c>
      <c r="H307" s="97">
        <v>2025</v>
      </c>
      <c r="I307" s="188"/>
      <c r="J307" s="185"/>
    </row>
    <row r="308" spans="1:10" ht="30" x14ac:dyDescent="0.2">
      <c r="A308" s="96" t="s">
        <v>1770</v>
      </c>
      <c r="B308" s="93" t="e">
        <v>#N/A</v>
      </c>
      <c r="C308" s="71" t="s">
        <v>30</v>
      </c>
      <c r="D308" s="96" t="s">
        <v>895</v>
      </c>
      <c r="E308" s="96" t="s">
        <v>37</v>
      </c>
      <c r="F308" s="96" t="s">
        <v>329</v>
      </c>
      <c r="G308" s="93" t="s">
        <v>1771</v>
      </c>
      <c r="H308" s="97">
        <v>2025</v>
      </c>
      <c r="I308" s="188"/>
      <c r="J308" s="185"/>
    </row>
    <row r="309" spans="1:10" ht="30" x14ac:dyDescent="0.2">
      <c r="A309" s="96" t="s">
        <v>1772</v>
      </c>
      <c r="B309" s="93" t="e">
        <v>#N/A</v>
      </c>
      <c r="C309" s="71" t="s">
        <v>30</v>
      </c>
      <c r="D309" s="96" t="s">
        <v>895</v>
      </c>
      <c r="E309" s="96" t="s">
        <v>37</v>
      </c>
      <c r="F309" s="96" t="s">
        <v>329</v>
      </c>
      <c r="G309" s="93" t="s">
        <v>1773</v>
      </c>
      <c r="H309" s="97">
        <v>2025</v>
      </c>
      <c r="I309" s="188"/>
      <c r="J309" s="185"/>
    </row>
    <row r="310" spans="1:10" ht="45" x14ac:dyDescent="0.2">
      <c r="A310" s="96" t="s">
        <v>1774</v>
      </c>
      <c r="B310" s="93" t="e">
        <v>#N/A</v>
      </c>
      <c r="C310" s="71" t="s">
        <v>30</v>
      </c>
      <c r="D310" s="96" t="s">
        <v>895</v>
      </c>
      <c r="E310" s="96" t="s">
        <v>37</v>
      </c>
      <c r="F310" s="96" t="s">
        <v>1775</v>
      </c>
      <c r="G310" s="93" t="s">
        <v>1776</v>
      </c>
      <c r="H310" s="97">
        <v>2025</v>
      </c>
      <c r="I310" s="188"/>
      <c r="J310" s="185"/>
    </row>
    <row r="311" spans="1:10" ht="30" x14ac:dyDescent="0.2">
      <c r="A311" s="96" t="s">
        <v>1777</v>
      </c>
      <c r="B311" s="93" t="e">
        <v>#N/A</v>
      </c>
      <c r="C311" s="71" t="s">
        <v>30</v>
      </c>
      <c r="D311" s="96" t="s">
        <v>895</v>
      </c>
      <c r="E311" s="96" t="s">
        <v>37</v>
      </c>
      <c r="F311" s="96" t="s">
        <v>329</v>
      </c>
      <c r="G311" s="93" t="s">
        <v>1778</v>
      </c>
      <c r="H311" s="97">
        <v>2025</v>
      </c>
      <c r="I311" s="188"/>
      <c r="J311" s="185"/>
    </row>
    <row r="312" spans="1:10" ht="45" x14ac:dyDescent="0.2">
      <c r="A312" s="96" t="s">
        <v>1779</v>
      </c>
      <c r="B312" s="93" t="e">
        <v>#N/A</v>
      </c>
      <c r="C312" s="71" t="s">
        <v>30</v>
      </c>
      <c r="D312" s="96" t="s">
        <v>895</v>
      </c>
      <c r="E312" s="96" t="s">
        <v>37</v>
      </c>
      <c r="F312" s="96" t="s">
        <v>1775</v>
      </c>
      <c r="G312" s="93" t="s">
        <v>1780</v>
      </c>
      <c r="H312" s="97">
        <v>2025</v>
      </c>
      <c r="I312" s="188"/>
      <c r="J312" s="185"/>
    </row>
    <row r="313" spans="1:10" ht="45" x14ac:dyDescent="0.2">
      <c r="A313" s="96" t="s">
        <v>1781</v>
      </c>
      <c r="B313" s="93" t="e">
        <v>#N/A</v>
      </c>
      <c r="C313" s="71" t="s">
        <v>30</v>
      </c>
      <c r="D313" s="96" t="s">
        <v>895</v>
      </c>
      <c r="E313" s="96" t="s">
        <v>37</v>
      </c>
      <c r="F313" s="96" t="s">
        <v>1782</v>
      </c>
      <c r="G313" s="93" t="s">
        <v>1783</v>
      </c>
      <c r="H313" s="97">
        <v>2025</v>
      </c>
      <c r="I313" s="188"/>
      <c r="J313" s="185"/>
    </row>
    <row r="314" spans="1:10" ht="30" x14ac:dyDescent="0.2">
      <c r="A314" s="96" t="s">
        <v>1784</v>
      </c>
      <c r="B314" s="93" t="e">
        <v>#N/A</v>
      </c>
      <c r="C314" s="71" t="s">
        <v>30</v>
      </c>
      <c r="D314" s="96" t="s">
        <v>895</v>
      </c>
      <c r="E314" s="96" t="s">
        <v>37</v>
      </c>
      <c r="F314" s="96" t="s">
        <v>329</v>
      </c>
      <c r="G314" s="93" t="s">
        <v>1785</v>
      </c>
      <c r="H314" s="97">
        <v>2025</v>
      </c>
      <c r="I314" s="188"/>
      <c r="J314" s="185"/>
    </row>
    <row r="315" spans="1:10" ht="45" x14ac:dyDescent="0.2">
      <c r="A315" s="96" t="s">
        <v>1786</v>
      </c>
      <c r="B315" s="93" t="e">
        <v>#N/A</v>
      </c>
      <c r="C315" s="71" t="s">
        <v>30</v>
      </c>
      <c r="D315" s="96" t="s">
        <v>895</v>
      </c>
      <c r="E315" s="96" t="s">
        <v>37</v>
      </c>
      <c r="F315" s="96" t="s">
        <v>156</v>
      </c>
      <c r="G315" s="93" t="s">
        <v>1787</v>
      </c>
      <c r="H315" s="97">
        <v>2025</v>
      </c>
      <c r="I315" s="188"/>
      <c r="J315" s="185"/>
    </row>
    <row r="316" spans="1:10" ht="45" x14ac:dyDescent="0.2">
      <c r="A316" s="96" t="s">
        <v>1788</v>
      </c>
      <c r="B316" s="93" t="e">
        <v>#N/A</v>
      </c>
      <c r="C316" s="71" t="s">
        <v>30</v>
      </c>
      <c r="D316" s="96" t="s">
        <v>895</v>
      </c>
      <c r="E316" s="96" t="s">
        <v>54</v>
      </c>
      <c r="F316" s="96" t="s">
        <v>67</v>
      </c>
      <c r="G316" s="93" t="s">
        <v>1789</v>
      </c>
      <c r="H316" s="97">
        <v>2025</v>
      </c>
      <c r="I316" s="188"/>
      <c r="J316" s="185"/>
    </row>
    <row r="317" spans="1:10" ht="30" x14ac:dyDescent="0.2">
      <c r="A317" s="96" t="s">
        <v>1790</v>
      </c>
      <c r="B317" s="93" t="e">
        <v>#N/A</v>
      </c>
      <c r="C317" s="71" t="s">
        <v>30</v>
      </c>
      <c r="D317" s="96" t="s">
        <v>895</v>
      </c>
      <c r="E317" s="96" t="s">
        <v>54</v>
      </c>
      <c r="F317" s="96" t="s">
        <v>88</v>
      </c>
      <c r="G317" s="93" t="s">
        <v>1791</v>
      </c>
      <c r="H317" s="97">
        <v>2025</v>
      </c>
      <c r="I317" s="188"/>
      <c r="J317" s="185"/>
    </row>
    <row r="318" spans="1:10" ht="45" x14ac:dyDescent="0.2">
      <c r="A318" s="96" t="s">
        <v>1792</v>
      </c>
      <c r="B318" s="93" t="e">
        <v>#N/A</v>
      </c>
      <c r="C318" s="71" t="s">
        <v>30</v>
      </c>
      <c r="D318" s="96" t="s">
        <v>895</v>
      </c>
      <c r="E318" s="96" t="s">
        <v>54</v>
      </c>
      <c r="F318" s="96" t="s">
        <v>88</v>
      </c>
      <c r="G318" s="93" t="s">
        <v>1793</v>
      </c>
      <c r="H318" s="97">
        <v>2025</v>
      </c>
      <c r="I318" s="188"/>
      <c r="J318" s="185"/>
    </row>
    <row r="319" spans="1:10" ht="30" x14ac:dyDescent="0.2">
      <c r="A319" s="96" t="s">
        <v>1794</v>
      </c>
      <c r="B319" s="93" t="e">
        <v>#N/A</v>
      </c>
      <c r="C319" s="71" t="s">
        <v>30</v>
      </c>
      <c r="D319" s="96" t="s">
        <v>895</v>
      </c>
      <c r="E319" s="96" t="s">
        <v>54</v>
      </c>
      <c r="F319" s="96" t="s">
        <v>81</v>
      </c>
      <c r="G319" s="93" t="s">
        <v>1795</v>
      </c>
      <c r="H319" s="97">
        <v>2025</v>
      </c>
      <c r="I319" s="188"/>
      <c r="J319" s="185"/>
    </row>
    <row r="320" spans="1:10" ht="45" x14ac:dyDescent="0.2">
      <c r="A320" s="96" t="s">
        <v>1796</v>
      </c>
      <c r="B320" s="93" t="e">
        <v>#N/A</v>
      </c>
      <c r="C320" s="71" t="s">
        <v>30</v>
      </c>
      <c r="D320" s="96" t="s">
        <v>895</v>
      </c>
      <c r="E320" s="96" t="s">
        <v>51</v>
      </c>
      <c r="F320" s="96" t="s">
        <v>859</v>
      </c>
      <c r="G320" s="93" t="s">
        <v>1797</v>
      </c>
      <c r="H320" s="97">
        <v>2025</v>
      </c>
      <c r="I320" s="188"/>
      <c r="J320" s="185"/>
    </row>
    <row r="321" spans="1:10" ht="30" x14ac:dyDescent="0.2">
      <c r="A321" s="96" t="s">
        <v>1798</v>
      </c>
      <c r="B321" s="93" t="e">
        <v>#N/A</v>
      </c>
      <c r="C321" s="71" t="s">
        <v>30</v>
      </c>
      <c r="D321" s="96" t="s">
        <v>895</v>
      </c>
      <c r="E321" s="96" t="s">
        <v>51</v>
      </c>
      <c r="F321" s="96" t="s">
        <v>52</v>
      </c>
      <c r="G321" s="93" t="s">
        <v>1799</v>
      </c>
      <c r="H321" s="97">
        <v>2025</v>
      </c>
      <c r="I321" s="188"/>
      <c r="J321" s="185"/>
    </row>
    <row r="322" spans="1:10" ht="45" x14ac:dyDescent="0.2">
      <c r="A322" s="96" t="s">
        <v>1800</v>
      </c>
      <c r="B322" s="93" t="e">
        <v>#N/A</v>
      </c>
      <c r="C322" s="71" t="s">
        <v>30</v>
      </c>
      <c r="D322" s="96" t="s">
        <v>895</v>
      </c>
      <c r="E322" s="96" t="s">
        <v>51</v>
      </c>
      <c r="F322" s="96" t="s">
        <v>964</v>
      </c>
      <c r="G322" s="93" t="s">
        <v>1801</v>
      </c>
      <c r="H322" s="97">
        <v>2025</v>
      </c>
      <c r="I322" s="188"/>
      <c r="J322" s="185"/>
    </row>
    <row r="323" spans="1:10" ht="30" x14ac:dyDescent="0.2">
      <c r="A323" s="96" t="s">
        <v>1802</v>
      </c>
      <c r="B323" s="93" t="e">
        <v>#N/A</v>
      </c>
      <c r="C323" s="71" t="s">
        <v>30</v>
      </c>
      <c r="D323" s="96" t="s">
        <v>895</v>
      </c>
      <c r="E323" s="96" t="s">
        <v>51</v>
      </c>
      <c r="F323" s="96" t="s">
        <v>401</v>
      </c>
      <c r="G323" s="93" t="s">
        <v>1803</v>
      </c>
      <c r="H323" s="97">
        <v>2025</v>
      </c>
      <c r="I323" s="188"/>
      <c r="J323" s="185"/>
    </row>
    <row r="324" spans="1:10" ht="30" x14ac:dyDescent="0.2">
      <c r="A324" s="96" t="s">
        <v>1804</v>
      </c>
      <c r="B324" s="93" t="e">
        <v>#N/A</v>
      </c>
      <c r="C324" s="71" t="s">
        <v>30</v>
      </c>
      <c r="D324" s="96" t="s">
        <v>895</v>
      </c>
      <c r="E324" s="96" t="s">
        <v>51</v>
      </c>
      <c r="F324" s="96" t="s">
        <v>406</v>
      </c>
      <c r="G324" s="93" t="s">
        <v>1805</v>
      </c>
      <c r="H324" s="97">
        <v>2025</v>
      </c>
      <c r="I324" s="188"/>
      <c r="J324" s="185"/>
    </row>
    <row r="325" spans="1:10" ht="30" x14ac:dyDescent="0.2">
      <c r="A325" s="96" t="s">
        <v>1806</v>
      </c>
      <c r="B325" s="93" t="e">
        <v>#N/A</v>
      </c>
      <c r="C325" s="71" t="s">
        <v>30</v>
      </c>
      <c r="D325" s="96" t="s">
        <v>895</v>
      </c>
      <c r="E325" s="96" t="s">
        <v>51</v>
      </c>
      <c r="F325" s="96" t="s">
        <v>393</v>
      </c>
      <c r="G325" s="93" t="s">
        <v>1807</v>
      </c>
      <c r="H325" s="97">
        <v>2025</v>
      </c>
      <c r="I325" s="188"/>
      <c r="J325" s="185"/>
    </row>
    <row r="326" spans="1:10" ht="45" x14ac:dyDescent="0.2">
      <c r="A326" s="96" t="s">
        <v>1808</v>
      </c>
      <c r="B326" s="93" t="e">
        <v>#N/A</v>
      </c>
      <c r="C326" s="71" t="s">
        <v>30</v>
      </c>
      <c r="D326" s="96" t="s">
        <v>895</v>
      </c>
      <c r="E326" s="96" t="s">
        <v>51</v>
      </c>
      <c r="F326" s="96" t="s">
        <v>1548</v>
      </c>
      <c r="G326" s="93" t="s">
        <v>1809</v>
      </c>
      <c r="H326" s="97">
        <v>2025</v>
      </c>
      <c r="I326" s="188"/>
      <c r="J326" s="185"/>
    </row>
    <row r="327" spans="1:10" ht="30" x14ac:dyDescent="0.2">
      <c r="A327" s="96" t="s">
        <v>1810</v>
      </c>
      <c r="B327" s="93" t="e">
        <v>#N/A</v>
      </c>
      <c r="C327" s="71" t="s">
        <v>30</v>
      </c>
      <c r="D327" s="96" t="s">
        <v>895</v>
      </c>
      <c r="E327" s="96" t="s">
        <v>54</v>
      </c>
      <c r="F327" s="96" t="s">
        <v>296</v>
      </c>
      <c r="G327" s="93" t="s">
        <v>1811</v>
      </c>
      <c r="H327" s="97">
        <v>2025</v>
      </c>
      <c r="I327" s="188"/>
      <c r="J327" s="185"/>
    </row>
    <row r="328" spans="1:10" ht="45" x14ac:dyDescent="0.2">
      <c r="A328" s="96" t="s">
        <v>1812</v>
      </c>
      <c r="B328" s="93" t="e">
        <v>#N/A</v>
      </c>
      <c r="C328" s="71" t="s">
        <v>30</v>
      </c>
      <c r="D328" s="96" t="s">
        <v>895</v>
      </c>
      <c r="E328" s="96" t="s">
        <v>54</v>
      </c>
      <c r="F328" s="96" t="s">
        <v>70</v>
      </c>
      <c r="G328" s="93" t="s">
        <v>1813</v>
      </c>
      <c r="H328" s="97">
        <v>2025</v>
      </c>
      <c r="I328" s="188"/>
      <c r="J328" s="185"/>
    </row>
    <row r="329" spans="1:10" ht="30" x14ac:dyDescent="0.2">
      <c r="A329" s="96" t="s">
        <v>1814</v>
      </c>
      <c r="B329" s="93" t="e">
        <v>#N/A</v>
      </c>
      <c r="C329" s="71" t="s">
        <v>30</v>
      </c>
      <c r="D329" s="96" t="s">
        <v>895</v>
      </c>
      <c r="E329" s="96" t="s">
        <v>54</v>
      </c>
      <c r="F329" s="96" t="s">
        <v>88</v>
      </c>
      <c r="G329" s="93" t="s">
        <v>1815</v>
      </c>
      <c r="H329" s="97">
        <v>2025</v>
      </c>
      <c r="I329" s="188"/>
      <c r="J329" s="185"/>
    </row>
    <row r="330" spans="1:10" ht="30" x14ac:dyDescent="0.2">
      <c r="A330" s="96" t="s">
        <v>1816</v>
      </c>
      <c r="B330" s="93" t="e">
        <v>#N/A</v>
      </c>
      <c r="C330" s="71" t="s">
        <v>30</v>
      </c>
      <c r="D330" s="96" t="s">
        <v>895</v>
      </c>
      <c r="E330" s="96" t="s">
        <v>54</v>
      </c>
      <c r="F330" s="96" t="s">
        <v>474</v>
      </c>
      <c r="G330" s="93" t="s">
        <v>1817</v>
      </c>
      <c r="H330" s="97">
        <v>2025</v>
      </c>
      <c r="I330" s="188"/>
      <c r="J330" s="185"/>
    </row>
    <row r="331" spans="1:10" ht="45" x14ac:dyDescent="0.2">
      <c r="A331" s="96" t="s">
        <v>1818</v>
      </c>
      <c r="B331" s="93" t="e">
        <v>#N/A</v>
      </c>
      <c r="C331" s="71" t="s">
        <v>30</v>
      </c>
      <c r="D331" s="96" t="s">
        <v>895</v>
      </c>
      <c r="E331" s="96" t="s">
        <v>51</v>
      </c>
      <c r="F331" s="96" t="s">
        <v>95</v>
      </c>
      <c r="G331" s="93" t="s">
        <v>1819</v>
      </c>
      <c r="H331" s="97">
        <v>2025</v>
      </c>
      <c r="I331" s="188"/>
      <c r="J331" s="185"/>
    </row>
    <row r="332" spans="1:10" ht="45" x14ac:dyDescent="0.2">
      <c r="A332" s="96" t="s">
        <v>1820</v>
      </c>
      <c r="B332" s="93" t="e">
        <v>#N/A</v>
      </c>
      <c r="C332" s="71" t="s">
        <v>30</v>
      </c>
      <c r="D332" s="96" t="s">
        <v>895</v>
      </c>
      <c r="E332" s="96" t="s">
        <v>54</v>
      </c>
      <c r="F332" s="96" t="s">
        <v>200</v>
      </c>
      <c r="G332" s="93" t="s">
        <v>1821</v>
      </c>
      <c r="H332" s="97">
        <v>2025</v>
      </c>
      <c r="I332" s="188"/>
      <c r="J332" s="185"/>
    </row>
    <row r="333" spans="1:10" ht="45" x14ac:dyDescent="0.2">
      <c r="A333" s="96" t="s">
        <v>1822</v>
      </c>
      <c r="B333" s="93" t="e">
        <v>#N/A</v>
      </c>
      <c r="C333" s="71" t="s">
        <v>30</v>
      </c>
      <c r="D333" s="96" t="s">
        <v>895</v>
      </c>
      <c r="E333" s="96" t="s">
        <v>51</v>
      </c>
      <c r="F333" s="96" t="s">
        <v>95</v>
      </c>
      <c r="G333" s="93" t="s">
        <v>1823</v>
      </c>
      <c r="H333" s="97">
        <v>2025</v>
      </c>
      <c r="I333" s="188"/>
      <c r="J333" s="185"/>
    </row>
    <row r="334" spans="1:10" ht="45" x14ac:dyDescent="0.2">
      <c r="A334" s="96" t="s">
        <v>1824</v>
      </c>
      <c r="B334" s="93" t="e">
        <v>#N/A</v>
      </c>
      <c r="C334" s="71" t="s">
        <v>30</v>
      </c>
      <c r="D334" s="96" t="s">
        <v>895</v>
      </c>
      <c r="E334" s="96" t="s">
        <v>51</v>
      </c>
      <c r="F334" s="96" t="s">
        <v>95</v>
      </c>
      <c r="G334" s="93" t="s">
        <v>1825</v>
      </c>
      <c r="H334" s="97">
        <v>2025</v>
      </c>
      <c r="I334" s="188"/>
      <c r="J334" s="185"/>
    </row>
    <row r="335" spans="1:10" ht="45" x14ac:dyDescent="0.2">
      <c r="A335" s="96" t="s">
        <v>1826</v>
      </c>
      <c r="B335" s="93" t="e">
        <v>#N/A</v>
      </c>
      <c r="C335" s="71" t="s">
        <v>30</v>
      </c>
      <c r="D335" s="96" t="s">
        <v>895</v>
      </c>
      <c r="E335" s="96" t="s">
        <v>51</v>
      </c>
      <c r="F335" s="96" t="s">
        <v>95</v>
      </c>
      <c r="G335" s="93" t="s">
        <v>1827</v>
      </c>
      <c r="H335" s="97">
        <v>2025</v>
      </c>
      <c r="I335" s="188"/>
      <c r="J335" s="185"/>
    </row>
    <row r="336" spans="1:10" ht="45" x14ac:dyDescent="0.2">
      <c r="A336" s="96" t="s">
        <v>1828</v>
      </c>
      <c r="B336" s="93" t="e">
        <v>#N/A</v>
      </c>
      <c r="C336" s="71" t="s">
        <v>30</v>
      </c>
      <c r="D336" s="96" t="s">
        <v>895</v>
      </c>
      <c r="E336" s="96" t="s">
        <v>51</v>
      </c>
      <c r="F336" s="96" t="s">
        <v>95</v>
      </c>
      <c r="G336" s="93" t="s">
        <v>1829</v>
      </c>
      <c r="H336" s="97">
        <v>2025</v>
      </c>
      <c r="I336" s="188"/>
      <c r="J336" s="185"/>
    </row>
    <row r="337" spans="1:10" ht="45" x14ac:dyDescent="0.2">
      <c r="A337" s="96" t="s">
        <v>1830</v>
      </c>
      <c r="B337" s="93" t="e">
        <v>#N/A</v>
      </c>
      <c r="C337" s="71" t="s">
        <v>30</v>
      </c>
      <c r="D337" s="96" t="s">
        <v>895</v>
      </c>
      <c r="E337" s="96" t="s">
        <v>51</v>
      </c>
      <c r="F337" s="96" t="s">
        <v>95</v>
      </c>
      <c r="G337" s="93" t="s">
        <v>1831</v>
      </c>
      <c r="H337" s="97">
        <v>2025</v>
      </c>
      <c r="I337" s="188"/>
      <c r="J337" s="185"/>
    </row>
    <row r="338" spans="1:10" ht="45" x14ac:dyDescent="0.2">
      <c r="A338" s="96" t="s">
        <v>1832</v>
      </c>
      <c r="B338" s="93" t="e">
        <v>#N/A</v>
      </c>
      <c r="C338" s="71" t="s">
        <v>30</v>
      </c>
      <c r="D338" s="96" t="s">
        <v>895</v>
      </c>
      <c r="E338" s="96" t="s">
        <v>51</v>
      </c>
      <c r="F338" s="96" t="s">
        <v>173</v>
      </c>
      <c r="G338" s="93" t="s">
        <v>1833</v>
      </c>
      <c r="H338" s="97">
        <v>2025</v>
      </c>
      <c r="I338" s="188"/>
      <c r="J338" s="185"/>
    </row>
    <row r="339" spans="1:10" ht="45" x14ac:dyDescent="0.2">
      <c r="A339" s="96" t="s">
        <v>1834</v>
      </c>
      <c r="B339" s="93" t="e">
        <v>#N/A</v>
      </c>
      <c r="C339" s="71" t="s">
        <v>30</v>
      </c>
      <c r="D339" s="96" t="s">
        <v>895</v>
      </c>
      <c r="E339" s="96" t="s">
        <v>51</v>
      </c>
      <c r="F339" s="96" t="s">
        <v>173</v>
      </c>
      <c r="G339" s="93" t="s">
        <v>1835</v>
      </c>
      <c r="H339" s="97">
        <v>2025</v>
      </c>
      <c r="I339" s="188"/>
      <c r="J339" s="185"/>
    </row>
    <row r="340" spans="1:10" ht="45" x14ac:dyDescent="0.2">
      <c r="A340" s="96" t="s">
        <v>1836</v>
      </c>
      <c r="B340" s="93" t="e">
        <v>#N/A</v>
      </c>
      <c r="C340" s="71" t="s">
        <v>30</v>
      </c>
      <c r="D340" s="96" t="s">
        <v>895</v>
      </c>
      <c r="E340" s="96" t="s">
        <v>51</v>
      </c>
      <c r="F340" s="96" t="s">
        <v>173</v>
      </c>
      <c r="G340" s="93" t="s">
        <v>1837</v>
      </c>
      <c r="H340" s="97">
        <v>2025</v>
      </c>
      <c r="I340" s="188"/>
      <c r="J340" s="185"/>
    </row>
  </sheetData>
  <sheetProtection formatCells="0" formatColumns="0" formatRows="0" selectLockedCells="1" sort="0" autoFilter="0" pivotTables="0"/>
  <sortState xmlns:xlrd2="http://schemas.microsoft.com/office/spreadsheetml/2017/richdata2" ref="A7:J340">
    <sortCondition ref="H7:H340"/>
    <sortCondition ref="D7:D340"/>
  </sortState>
  <mergeCells count="2">
    <mergeCell ref="A1:J1"/>
    <mergeCell ref="A2:J2"/>
  </mergeCells>
  <printOptions horizontalCentered="1"/>
  <pageMargins left="0.75" right="0.75" top="1" bottom="1" header="0.5" footer="0.5"/>
  <pageSetup scale="64" fitToHeight="0" orientation="landscape" r:id="rId1"/>
  <headerFooter scaleWithDoc="0">
    <oddHeader>&amp;RPetitioner's Exhibit No. 2
Attachment  &amp;A
CEI North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D71B4-6C19-4686-B46E-4EE0B487606A}">
  <sheetPr codeName="Sheet7">
    <pageSetUpPr fitToPage="1"/>
  </sheetPr>
  <dimension ref="A1:N163"/>
  <sheetViews>
    <sheetView view="pageBreakPreview" zoomScaleNormal="60" zoomScaleSheetLayoutView="100" zoomScalePageLayoutView="80" workbookViewId="0">
      <pane ySplit="6" topLeftCell="A7" activePane="bottomLeft" state="frozen"/>
      <selection activeCell="A134" sqref="A134"/>
      <selection pane="bottomLeft" activeCell="A7" sqref="A7"/>
    </sheetView>
  </sheetViews>
  <sheetFormatPr defaultColWidth="9.140625" defaultRowHeight="12.75" x14ac:dyDescent="0.2"/>
  <cols>
    <col min="1" max="1" width="14.85546875" style="22" customWidth="1"/>
    <col min="2" max="2" width="20.140625" style="58" bestFit="1" customWidth="1"/>
    <col min="3" max="3" width="20" style="58" bestFit="1" customWidth="1"/>
    <col min="4" max="4" width="26.85546875" style="23" bestFit="1" customWidth="1"/>
    <col min="5" max="5" width="13.42578125" style="58" bestFit="1" customWidth="1"/>
    <col min="6" max="6" width="14.7109375" style="58" customWidth="1"/>
    <col min="7" max="7" width="29.42578125" style="58" customWidth="1"/>
    <col min="8" max="8" width="13.42578125" style="59" bestFit="1" customWidth="1"/>
    <col min="9" max="9" width="15" style="23" customWidth="1"/>
    <col min="10" max="10" width="15.5703125" style="23" bestFit="1" customWidth="1"/>
    <col min="11" max="13" width="9.140625" style="22"/>
    <col min="14" max="16384" width="9.140625" style="62"/>
  </cols>
  <sheetData>
    <row r="1" spans="1:14" ht="18" x14ac:dyDescent="0.25">
      <c r="A1" s="235" t="s">
        <v>1</v>
      </c>
      <c r="B1" s="235"/>
      <c r="C1" s="235"/>
      <c r="D1" s="235"/>
      <c r="E1" s="235"/>
      <c r="F1" s="235"/>
      <c r="G1" s="235"/>
      <c r="H1" s="235"/>
      <c r="I1" s="235"/>
      <c r="J1" s="235"/>
      <c r="K1" s="1"/>
      <c r="L1" s="1"/>
      <c r="M1" s="1"/>
    </row>
    <row r="2" spans="1:14" ht="18" x14ac:dyDescent="0.25">
      <c r="A2" s="235" t="s">
        <v>1838</v>
      </c>
      <c r="B2" s="235"/>
      <c r="C2" s="235"/>
      <c r="D2" s="235"/>
      <c r="E2" s="235"/>
      <c r="F2" s="235"/>
      <c r="G2" s="235"/>
      <c r="H2" s="235"/>
      <c r="I2" s="235"/>
      <c r="J2" s="235"/>
      <c r="K2" s="1"/>
      <c r="L2" s="1"/>
      <c r="M2" s="1"/>
    </row>
    <row r="3" spans="1:14" ht="18" x14ac:dyDescent="0.2">
      <c r="A3" s="2"/>
      <c r="B3" s="3"/>
      <c r="C3" s="44"/>
      <c r="D3" s="44"/>
      <c r="E3" s="44"/>
      <c r="F3" s="44"/>
      <c r="G3" s="44"/>
      <c r="H3" s="53"/>
      <c r="I3" s="50"/>
      <c r="J3" s="50"/>
      <c r="K3" s="1"/>
      <c r="L3" s="1"/>
      <c r="M3" s="1"/>
    </row>
    <row r="4" spans="1:14" ht="18" x14ac:dyDescent="0.25">
      <c r="A4" s="16"/>
      <c r="B4" s="11"/>
      <c r="C4" s="54"/>
      <c r="D4" s="54"/>
      <c r="E4" s="54"/>
      <c r="F4" s="54"/>
      <c r="G4" s="54"/>
      <c r="H4" s="55"/>
      <c r="I4" s="51"/>
      <c r="J4" s="51"/>
      <c r="K4" s="1"/>
      <c r="L4" s="1"/>
      <c r="M4" s="1"/>
    </row>
    <row r="5" spans="1:14" s="189" customFormat="1" ht="15" x14ac:dyDescent="0.2">
      <c r="A5" s="16"/>
      <c r="B5" s="17"/>
      <c r="C5" s="56"/>
      <c r="D5" s="56"/>
      <c r="E5" s="56"/>
      <c r="F5" s="56"/>
      <c r="G5" s="56"/>
      <c r="H5" s="57"/>
      <c r="I5" s="51"/>
      <c r="J5" s="51"/>
      <c r="K5" s="56"/>
      <c r="L5" s="56"/>
      <c r="M5" s="56"/>
    </row>
    <row r="6" spans="1:14" s="68" customFormat="1" ht="25.5" x14ac:dyDescent="0.2">
      <c r="A6" s="60" t="s">
        <v>19</v>
      </c>
      <c r="B6" s="60" t="s">
        <v>20</v>
      </c>
      <c r="C6" s="60" t="s">
        <v>21</v>
      </c>
      <c r="D6" s="60" t="s">
        <v>22</v>
      </c>
      <c r="E6" s="60" t="s">
        <v>23</v>
      </c>
      <c r="F6" s="60" t="s">
        <v>24</v>
      </c>
      <c r="G6" s="60" t="s">
        <v>25</v>
      </c>
      <c r="H6" s="60" t="s">
        <v>26</v>
      </c>
      <c r="I6" s="60" t="s">
        <v>27</v>
      </c>
      <c r="J6" s="61" t="s">
        <v>28</v>
      </c>
      <c r="K6" s="25"/>
      <c r="L6" s="25"/>
      <c r="M6" s="25"/>
    </row>
    <row r="7" spans="1:14" s="190" customFormat="1" ht="30" x14ac:dyDescent="0.2">
      <c r="A7" s="96" t="s">
        <v>1839</v>
      </c>
      <c r="B7" s="93" t="s">
        <v>29</v>
      </c>
      <c r="C7" s="93" t="s">
        <v>30</v>
      </c>
      <c r="D7" s="93" t="s">
        <v>1840</v>
      </c>
      <c r="E7" s="96" t="s">
        <v>37</v>
      </c>
      <c r="F7" s="96" t="s">
        <v>1841</v>
      </c>
      <c r="G7" s="93" t="s">
        <v>1842</v>
      </c>
      <c r="H7" s="97">
        <v>2022</v>
      </c>
      <c r="I7" s="188"/>
      <c r="J7" s="185"/>
      <c r="K7" s="92"/>
      <c r="L7" s="92"/>
      <c r="M7" s="25"/>
      <c r="N7" s="68"/>
    </row>
    <row r="8" spans="1:14" s="191" customFormat="1" ht="30" x14ac:dyDescent="0.2">
      <c r="A8" s="96" t="s">
        <v>1843</v>
      </c>
      <c r="B8" s="93" t="s">
        <v>29</v>
      </c>
      <c r="C8" s="93" t="s">
        <v>30</v>
      </c>
      <c r="D8" s="93" t="s">
        <v>1840</v>
      </c>
      <c r="E8" s="96" t="s">
        <v>37</v>
      </c>
      <c r="F8" s="96" t="s">
        <v>1841</v>
      </c>
      <c r="G8" s="93" t="s">
        <v>1844</v>
      </c>
      <c r="H8" s="97">
        <v>2022</v>
      </c>
      <c r="I8" s="188"/>
      <c r="J8" s="185"/>
      <c r="K8" s="92"/>
      <c r="L8" s="92"/>
      <c r="M8" s="25"/>
      <c r="N8" s="68"/>
    </row>
    <row r="9" spans="1:14" s="192" customFormat="1" ht="30" x14ac:dyDescent="0.2">
      <c r="A9" s="96" t="s">
        <v>1845</v>
      </c>
      <c r="B9" s="93" t="s">
        <v>29</v>
      </c>
      <c r="C9" s="93" t="s">
        <v>30</v>
      </c>
      <c r="D9" s="93" t="s">
        <v>1840</v>
      </c>
      <c r="E9" s="96" t="s">
        <v>37</v>
      </c>
      <c r="F9" s="96" t="s">
        <v>1846</v>
      </c>
      <c r="G9" s="93" t="s">
        <v>1847</v>
      </c>
      <c r="H9" s="97">
        <v>2022</v>
      </c>
      <c r="I9" s="188"/>
      <c r="J9" s="185"/>
      <c r="K9" s="92"/>
      <c r="L9" s="92"/>
      <c r="M9" s="25"/>
      <c r="N9" s="68"/>
    </row>
    <row r="10" spans="1:14" s="192" customFormat="1" ht="30" x14ac:dyDescent="0.2">
      <c r="A10" s="96" t="s">
        <v>1848</v>
      </c>
      <c r="B10" s="93" t="s">
        <v>29</v>
      </c>
      <c r="C10" s="93" t="s">
        <v>30</v>
      </c>
      <c r="D10" s="93" t="s">
        <v>1840</v>
      </c>
      <c r="E10" s="96" t="s">
        <v>54</v>
      </c>
      <c r="F10" s="96" t="s">
        <v>165</v>
      </c>
      <c r="G10" s="93" t="s">
        <v>1849</v>
      </c>
      <c r="H10" s="97">
        <v>2022</v>
      </c>
      <c r="I10" s="188"/>
      <c r="J10" s="185"/>
      <c r="K10" s="92"/>
      <c r="L10" s="92"/>
      <c r="M10" s="25"/>
      <c r="N10" s="68"/>
    </row>
    <row r="11" spans="1:14" s="192" customFormat="1" ht="30" x14ac:dyDescent="0.2">
      <c r="A11" s="96" t="s">
        <v>1850</v>
      </c>
      <c r="B11" s="93" t="s">
        <v>29</v>
      </c>
      <c r="C11" s="93" t="s">
        <v>30</v>
      </c>
      <c r="D11" s="93" t="s">
        <v>1840</v>
      </c>
      <c r="E11" s="96" t="s">
        <v>37</v>
      </c>
      <c r="F11" s="96" t="s">
        <v>148</v>
      </c>
      <c r="G11" s="93" t="s">
        <v>1851</v>
      </c>
      <c r="H11" s="97">
        <v>2022</v>
      </c>
      <c r="I11" s="188"/>
      <c r="J11" s="185"/>
      <c r="K11" s="92"/>
      <c r="L11" s="92"/>
      <c r="M11" s="25"/>
      <c r="N11" s="68"/>
    </row>
    <row r="12" spans="1:14" s="192" customFormat="1" ht="30" x14ac:dyDescent="0.2">
      <c r="A12" s="96" t="s">
        <v>1852</v>
      </c>
      <c r="B12" s="93" t="s">
        <v>29</v>
      </c>
      <c r="C12" s="93" t="s">
        <v>30</v>
      </c>
      <c r="D12" s="93" t="s">
        <v>1840</v>
      </c>
      <c r="E12" s="96" t="s">
        <v>37</v>
      </c>
      <c r="F12" s="96" t="s">
        <v>148</v>
      </c>
      <c r="G12" s="93" t="s">
        <v>1853</v>
      </c>
      <c r="H12" s="97">
        <v>2022</v>
      </c>
      <c r="I12" s="188"/>
      <c r="J12" s="185"/>
      <c r="K12" s="92"/>
      <c r="L12" s="92"/>
      <c r="M12" s="25"/>
      <c r="N12" s="68"/>
    </row>
    <row r="13" spans="1:14" s="192" customFormat="1" ht="30" x14ac:dyDescent="0.2">
      <c r="A13" s="96" t="s">
        <v>1854</v>
      </c>
      <c r="B13" s="93" t="s">
        <v>29</v>
      </c>
      <c r="C13" s="93" t="s">
        <v>30</v>
      </c>
      <c r="D13" s="93" t="s">
        <v>1840</v>
      </c>
      <c r="E13" s="96" t="s">
        <v>37</v>
      </c>
      <c r="F13" s="96" t="s">
        <v>148</v>
      </c>
      <c r="G13" s="93" t="s">
        <v>1855</v>
      </c>
      <c r="H13" s="97">
        <v>2022</v>
      </c>
      <c r="I13" s="188"/>
      <c r="J13" s="185"/>
      <c r="K13" s="92"/>
      <c r="L13" s="92"/>
      <c r="M13" s="25"/>
      <c r="N13" s="68"/>
    </row>
    <row r="14" spans="1:14" s="190" customFormat="1" ht="30" x14ac:dyDescent="0.2">
      <c r="A14" s="96" t="s">
        <v>1856</v>
      </c>
      <c r="B14" s="93" t="s">
        <v>29</v>
      </c>
      <c r="C14" s="93" t="s">
        <v>30</v>
      </c>
      <c r="D14" s="93" t="s">
        <v>1840</v>
      </c>
      <c r="E14" s="96" t="s">
        <v>37</v>
      </c>
      <c r="F14" s="96" t="s">
        <v>148</v>
      </c>
      <c r="G14" s="93" t="s">
        <v>1857</v>
      </c>
      <c r="H14" s="97">
        <v>2022</v>
      </c>
      <c r="I14" s="188"/>
      <c r="J14" s="185"/>
      <c r="K14" s="92"/>
      <c r="L14" s="92"/>
      <c r="M14" s="25"/>
      <c r="N14" s="68"/>
    </row>
    <row r="15" spans="1:14" s="190" customFormat="1" ht="30" x14ac:dyDescent="0.2">
      <c r="A15" s="96" t="s">
        <v>1858</v>
      </c>
      <c r="B15" s="93" t="s">
        <v>29</v>
      </c>
      <c r="C15" s="93" t="s">
        <v>30</v>
      </c>
      <c r="D15" s="93" t="s">
        <v>1840</v>
      </c>
      <c r="E15" s="96" t="s">
        <v>54</v>
      </c>
      <c r="F15" s="96" t="s">
        <v>165</v>
      </c>
      <c r="G15" s="93" t="s">
        <v>1859</v>
      </c>
      <c r="H15" s="97">
        <v>2022</v>
      </c>
      <c r="I15" s="188"/>
      <c r="J15" s="185"/>
      <c r="K15" s="92"/>
      <c r="L15" s="92"/>
      <c r="M15" s="25"/>
      <c r="N15" s="68"/>
    </row>
    <row r="16" spans="1:14" s="191" customFormat="1" ht="30" x14ac:dyDescent="0.2">
      <c r="A16" s="96" t="s">
        <v>1860</v>
      </c>
      <c r="B16" s="93" t="s">
        <v>29</v>
      </c>
      <c r="C16" s="93" t="s">
        <v>30</v>
      </c>
      <c r="D16" s="194" t="s">
        <v>1840</v>
      </c>
      <c r="E16" s="96" t="s">
        <v>54</v>
      </c>
      <c r="F16" s="96" t="s">
        <v>165</v>
      </c>
      <c r="G16" s="93" t="s">
        <v>1861</v>
      </c>
      <c r="H16" s="97">
        <v>2022</v>
      </c>
      <c r="I16" s="188"/>
      <c r="J16" s="185"/>
      <c r="K16" s="92"/>
      <c r="L16" s="92"/>
      <c r="M16" s="25"/>
      <c r="N16" s="68"/>
    </row>
    <row r="17" spans="1:14" s="191" customFormat="1" ht="30" x14ac:dyDescent="0.2">
      <c r="A17" s="96" t="s">
        <v>1862</v>
      </c>
      <c r="B17" s="93" t="s">
        <v>29</v>
      </c>
      <c r="C17" s="93" t="s">
        <v>30</v>
      </c>
      <c r="D17" s="93" t="s">
        <v>1840</v>
      </c>
      <c r="E17" s="96" t="s">
        <v>54</v>
      </c>
      <c r="F17" s="96" t="s">
        <v>165</v>
      </c>
      <c r="G17" s="93" t="s">
        <v>1863</v>
      </c>
      <c r="H17" s="97">
        <v>2022</v>
      </c>
      <c r="I17" s="188"/>
      <c r="J17" s="185"/>
      <c r="K17" s="92"/>
      <c r="L17" s="92"/>
      <c r="M17" s="25"/>
      <c r="N17" s="68"/>
    </row>
    <row r="18" spans="1:14" s="191" customFormat="1" ht="30" x14ac:dyDescent="0.2">
      <c r="A18" s="96" t="s">
        <v>1864</v>
      </c>
      <c r="B18" s="93" t="s">
        <v>29</v>
      </c>
      <c r="C18" s="93" t="s">
        <v>30</v>
      </c>
      <c r="D18" s="93" t="s">
        <v>1840</v>
      </c>
      <c r="E18" s="96" t="s">
        <v>54</v>
      </c>
      <c r="F18" s="96" t="s">
        <v>165</v>
      </c>
      <c r="G18" s="93" t="s">
        <v>1865</v>
      </c>
      <c r="H18" s="97">
        <v>2022</v>
      </c>
      <c r="I18" s="188"/>
      <c r="J18" s="185"/>
      <c r="K18" s="92"/>
      <c r="L18" s="92"/>
      <c r="M18" s="25"/>
      <c r="N18" s="68"/>
    </row>
    <row r="19" spans="1:14" s="192" customFormat="1" ht="30" x14ac:dyDescent="0.2">
      <c r="A19" s="96" t="s">
        <v>1866</v>
      </c>
      <c r="B19" s="93" t="s">
        <v>29</v>
      </c>
      <c r="C19" s="93" t="s">
        <v>30</v>
      </c>
      <c r="D19" s="93" t="s">
        <v>1840</v>
      </c>
      <c r="E19" s="96" t="s">
        <v>37</v>
      </c>
      <c r="F19" s="96" t="s">
        <v>1867</v>
      </c>
      <c r="G19" s="93" t="s">
        <v>1868</v>
      </c>
      <c r="H19" s="97">
        <v>2022</v>
      </c>
      <c r="I19" s="188"/>
      <c r="J19" s="185"/>
      <c r="K19" s="92"/>
      <c r="L19" s="92"/>
      <c r="M19" s="25"/>
      <c r="N19" s="68"/>
    </row>
    <row r="20" spans="1:14" s="68" customFormat="1" ht="30" x14ac:dyDescent="0.2">
      <c r="A20" s="96" t="s">
        <v>1869</v>
      </c>
      <c r="B20" s="93" t="s">
        <v>29</v>
      </c>
      <c r="C20" s="93" t="s">
        <v>30</v>
      </c>
      <c r="D20" s="93" t="s">
        <v>1840</v>
      </c>
      <c r="E20" s="96" t="s">
        <v>37</v>
      </c>
      <c r="F20" s="96" t="s">
        <v>1867</v>
      </c>
      <c r="G20" s="93" t="s">
        <v>1870</v>
      </c>
      <c r="H20" s="97">
        <v>2022</v>
      </c>
      <c r="I20" s="188"/>
      <c r="J20" s="185"/>
      <c r="K20" s="92"/>
      <c r="L20" s="92"/>
      <c r="M20" s="25"/>
    </row>
    <row r="21" spans="1:14" s="190" customFormat="1" ht="30" x14ac:dyDescent="0.2">
      <c r="A21" s="96" t="s">
        <v>1871</v>
      </c>
      <c r="B21" s="93" t="s">
        <v>29</v>
      </c>
      <c r="C21" s="93" t="s">
        <v>30</v>
      </c>
      <c r="D21" s="93" t="s">
        <v>1840</v>
      </c>
      <c r="E21" s="96" t="s">
        <v>37</v>
      </c>
      <c r="F21" s="96" t="s">
        <v>1846</v>
      </c>
      <c r="G21" s="93" t="s">
        <v>1872</v>
      </c>
      <c r="H21" s="97">
        <v>2022</v>
      </c>
      <c r="I21" s="188"/>
      <c r="J21" s="185"/>
      <c r="K21" s="92"/>
      <c r="L21" s="92"/>
      <c r="M21" s="25"/>
      <c r="N21" s="68"/>
    </row>
    <row r="22" spans="1:14" s="191" customFormat="1" ht="30" x14ac:dyDescent="0.2">
      <c r="A22" s="96" t="s">
        <v>1873</v>
      </c>
      <c r="B22" s="93" t="s">
        <v>29</v>
      </c>
      <c r="C22" s="93" t="s">
        <v>30</v>
      </c>
      <c r="D22" s="93" t="s">
        <v>1840</v>
      </c>
      <c r="E22" s="96" t="s">
        <v>37</v>
      </c>
      <c r="F22" s="96" t="s">
        <v>1846</v>
      </c>
      <c r="G22" s="93" t="s">
        <v>1874</v>
      </c>
      <c r="H22" s="97">
        <v>2022</v>
      </c>
      <c r="I22" s="188"/>
      <c r="J22" s="185"/>
      <c r="K22" s="92"/>
      <c r="L22" s="92"/>
      <c r="M22" s="25"/>
      <c r="N22" s="68"/>
    </row>
    <row r="23" spans="1:14" s="193" customFormat="1" ht="30" x14ac:dyDescent="0.2">
      <c r="A23" s="96" t="s">
        <v>1875</v>
      </c>
      <c r="B23" s="93" t="s">
        <v>29</v>
      </c>
      <c r="C23" s="93" t="s">
        <v>30</v>
      </c>
      <c r="D23" s="93" t="s">
        <v>1840</v>
      </c>
      <c r="E23" s="96" t="s">
        <v>37</v>
      </c>
      <c r="F23" s="96" t="s">
        <v>1846</v>
      </c>
      <c r="G23" s="93" t="s">
        <v>1876</v>
      </c>
      <c r="H23" s="97">
        <v>2022</v>
      </c>
      <c r="I23" s="188"/>
      <c r="J23" s="185"/>
      <c r="K23" s="92"/>
      <c r="L23" s="92"/>
      <c r="M23" s="25"/>
      <c r="N23" s="68"/>
    </row>
    <row r="24" spans="1:14" s="193" customFormat="1" ht="30" x14ac:dyDescent="0.2">
      <c r="A24" s="96" t="s">
        <v>1877</v>
      </c>
      <c r="B24" s="93" t="s">
        <v>29</v>
      </c>
      <c r="C24" s="93" t="s">
        <v>30</v>
      </c>
      <c r="D24" s="93" t="s">
        <v>1840</v>
      </c>
      <c r="E24" s="96" t="s">
        <v>37</v>
      </c>
      <c r="F24" s="96" t="s">
        <v>1846</v>
      </c>
      <c r="G24" s="93" t="s">
        <v>1878</v>
      </c>
      <c r="H24" s="97">
        <v>2022</v>
      </c>
      <c r="I24" s="188"/>
      <c r="J24" s="185"/>
      <c r="K24" s="92"/>
      <c r="L24" s="92"/>
      <c r="M24" s="25"/>
      <c r="N24" s="68"/>
    </row>
    <row r="25" spans="1:14" s="193" customFormat="1" ht="30" x14ac:dyDescent="0.2">
      <c r="A25" s="96" t="s">
        <v>1879</v>
      </c>
      <c r="B25" s="93" t="s">
        <v>29</v>
      </c>
      <c r="C25" s="93" t="s">
        <v>30</v>
      </c>
      <c r="D25" s="93" t="s">
        <v>1840</v>
      </c>
      <c r="E25" s="96" t="s">
        <v>37</v>
      </c>
      <c r="F25" s="96" t="s">
        <v>1846</v>
      </c>
      <c r="G25" s="93" t="s">
        <v>1880</v>
      </c>
      <c r="H25" s="97">
        <v>2022</v>
      </c>
      <c r="I25" s="188"/>
      <c r="J25" s="185"/>
      <c r="K25" s="92"/>
      <c r="L25" s="92"/>
      <c r="M25" s="25"/>
      <c r="N25" s="68"/>
    </row>
    <row r="26" spans="1:14" s="193" customFormat="1" ht="45" x14ac:dyDescent="0.2">
      <c r="A26" s="96" t="s">
        <v>1881</v>
      </c>
      <c r="B26" s="93" t="s">
        <v>29</v>
      </c>
      <c r="C26" s="93" t="s">
        <v>30</v>
      </c>
      <c r="D26" s="93" t="s">
        <v>1840</v>
      </c>
      <c r="E26" s="96" t="s">
        <v>54</v>
      </c>
      <c r="F26" s="96" t="s">
        <v>165</v>
      </c>
      <c r="G26" s="93" t="s">
        <v>1882</v>
      </c>
      <c r="H26" s="97">
        <v>2022</v>
      </c>
      <c r="I26" s="188"/>
      <c r="J26" s="185"/>
      <c r="K26" s="92"/>
      <c r="L26" s="92"/>
      <c r="M26" s="25"/>
      <c r="N26" s="68"/>
    </row>
    <row r="27" spans="1:14" s="193" customFormat="1" ht="30" x14ac:dyDescent="0.2">
      <c r="A27" s="96" t="s">
        <v>1883</v>
      </c>
      <c r="B27" s="93" t="s">
        <v>29</v>
      </c>
      <c r="C27" s="93" t="s">
        <v>30</v>
      </c>
      <c r="D27" s="93" t="s">
        <v>1884</v>
      </c>
      <c r="E27" s="96" t="s">
        <v>37</v>
      </c>
      <c r="F27" s="96" t="s">
        <v>1841</v>
      </c>
      <c r="G27" s="93" t="s">
        <v>1885</v>
      </c>
      <c r="H27" s="97">
        <v>2022</v>
      </c>
      <c r="I27" s="188"/>
      <c r="J27" s="185"/>
      <c r="K27" s="92"/>
      <c r="L27" s="92"/>
      <c r="M27" s="25"/>
      <c r="N27" s="68"/>
    </row>
    <row r="28" spans="1:14" s="193" customFormat="1" ht="30" x14ac:dyDescent="0.2">
      <c r="A28" s="96" t="s">
        <v>1886</v>
      </c>
      <c r="B28" s="93" t="s">
        <v>29</v>
      </c>
      <c r="C28" s="93" t="s">
        <v>30</v>
      </c>
      <c r="D28" s="93" t="s">
        <v>1884</v>
      </c>
      <c r="E28" s="96" t="s">
        <v>37</v>
      </c>
      <c r="F28" s="96" t="s">
        <v>1841</v>
      </c>
      <c r="G28" s="93" t="s">
        <v>1887</v>
      </c>
      <c r="H28" s="97">
        <v>2022</v>
      </c>
      <c r="I28" s="188"/>
      <c r="J28" s="185"/>
      <c r="K28" s="92"/>
      <c r="L28" s="92"/>
      <c r="M28" s="25"/>
      <c r="N28" s="68"/>
    </row>
    <row r="29" spans="1:14" s="193" customFormat="1" ht="30" x14ac:dyDescent="0.2">
      <c r="A29" s="96" t="s">
        <v>1888</v>
      </c>
      <c r="B29" s="93" t="s">
        <v>29</v>
      </c>
      <c r="C29" s="93" t="s">
        <v>30</v>
      </c>
      <c r="D29" s="93" t="s">
        <v>1884</v>
      </c>
      <c r="E29" s="96" t="s">
        <v>37</v>
      </c>
      <c r="F29" s="96" t="s">
        <v>1846</v>
      </c>
      <c r="G29" s="93" t="s">
        <v>1889</v>
      </c>
      <c r="H29" s="97">
        <v>2022</v>
      </c>
      <c r="I29" s="188"/>
      <c r="J29" s="185"/>
      <c r="K29" s="92"/>
      <c r="L29" s="92"/>
      <c r="M29" s="25"/>
      <c r="N29" s="68"/>
    </row>
    <row r="30" spans="1:14" s="193" customFormat="1" ht="30" x14ac:dyDescent="0.2">
      <c r="A30" s="96" t="s">
        <v>1890</v>
      </c>
      <c r="B30" s="93" t="s">
        <v>29</v>
      </c>
      <c r="C30" s="93" t="s">
        <v>30</v>
      </c>
      <c r="D30" s="93" t="s">
        <v>1884</v>
      </c>
      <c r="E30" s="96" t="s">
        <v>37</v>
      </c>
      <c r="F30" s="96" t="s">
        <v>1846</v>
      </c>
      <c r="G30" s="93" t="s">
        <v>1891</v>
      </c>
      <c r="H30" s="97">
        <v>2022</v>
      </c>
      <c r="I30" s="188"/>
      <c r="J30" s="185"/>
      <c r="K30" s="92"/>
      <c r="L30" s="92"/>
      <c r="M30" s="25"/>
      <c r="N30" s="68"/>
    </row>
    <row r="31" spans="1:14" s="193" customFormat="1" ht="30" x14ac:dyDescent="0.2">
      <c r="A31" s="96" t="s">
        <v>1892</v>
      </c>
      <c r="B31" s="93" t="s">
        <v>29</v>
      </c>
      <c r="C31" s="93" t="s">
        <v>30</v>
      </c>
      <c r="D31" s="93" t="s">
        <v>1884</v>
      </c>
      <c r="E31" s="96" t="s">
        <v>37</v>
      </c>
      <c r="F31" s="96" t="s">
        <v>1846</v>
      </c>
      <c r="G31" s="93" t="s">
        <v>1893</v>
      </c>
      <c r="H31" s="97">
        <v>2022</v>
      </c>
      <c r="I31" s="188"/>
      <c r="J31" s="185"/>
      <c r="K31" s="92"/>
      <c r="L31" s="92"/>
      <c r="M31" s="25"/>
      <c r="N31" s="68"/>
    </row>
    <row r="32" spans="1:14" s="193" customFormat="1" ht="30" x14ac:dyDescent="0.2">
      <c r="A32" s="96" t="s">
        <v>1894</v>
      </c>
      <c r="B32" s="93" t="s">
        <v>29</v>
      </c>
      <c r="C32" s="93" t="s">
        <v>30</v>
      </c>
      <c r="D32" s="93" t="s">
        <v>1884</v>
      </c>
      <c r="E32" s="96" t="s">
        <v>37</v>
      </c>
      <c r="F32" s="96" t="s">
        <v>1846</v>
      </c>
      <c r="G32" s="93" t="s">
        <v>1895</v>
      </c>
      <c r="H32" s="97">
        <v>2022</v>
      </c>
      <c r="I32" s="188"/>
      <c r="J32" s="185"/>
      <c r="K32" s="92"/>
      <c r="L32" s="92"/>
      <c r="M32" s="25"/>
      <c r="N32" s="68"/>
    </row>
    <row r="33" spans="1:14" s="193" customFormat="1" ht="30" x14ac:dyDescent="0.2">
      <c r="A33" s="96" t="s">
        <v>1896</v>
      </c>
      <c r="B33" s="93" t="s">
        <v>29</v>
      </c>
      <c r="C33" s="93" t="s">
        <v>30</v>
      </c>
      <c r="D33" s="93" t="s">
        <v>1884</v>
      </c>
      <c r="E33" s="96" t="s">
        <v>54</v>
      </c>
      <c r="F33" s="96" t="s">
        <v>165</v>
      </c>
      <c r="G33" s="93" t="s">
        <v>1897</v>
      </c>
      <c r="H33" s="97">
        <v>2022</v>
      </c>
      <c r="I33" s="188"/>
      <c r="J33" s="185"/>
      <c r="K33" s="92"/>
      <c r="L33" s="92"/>
      <c r="M33" s="25"/>
      <c r="N33" s="68"/>
    </row>
    <row r="34" spans="1:14" s="193" customFormat="1" ht="30" x14ac:dyDescent="0.2">
      <c r="A34" s="96" t="s">
        <v>1898</v>
      </c>
      <c r="B34" s="93" t="s">
        <v>29</v>
      </c>
      <c r="C34" s="93" t="s">
        <v>30</v>
      </c>
      <c r="D34" s="93" t="s">
        <v>1884</v>
      </c>
      <c r="E34" s="96" t="s">
        <v>54</v>
      </c>
      <c r="F34" s="96" t="s">
        <v>165</v>
      </c>
      <c r="G34" s="93" t="s">
        <v>1899</v>
      </c>
      <c r="H34" s="97">
        <v>2022</v>
      </c>
      <c r="I34" s="188"/>
      <c r="J34" s="185"/>
      <c r="K34" s="92"/>
      <c r="L34" s="92"/>
      <c r="M34" s="25"/>
      <c r="N34" s="68"/>
    </row>
    <row r="35" spans="1:14" s="193" customFormat="1" ht="45" x14ac:dyDescent="0.2">
      <c r="A35" s="96" t="s">
        <v>1900</v>
      </c>
      <c r="B35" s="93" t="s">
        <v>29</v>
      </c>
      <c r="C35" s="93" t="s">
        <v>30</v>
      </c>
      <c r="D35" s="93" t="s">
        <v>1901</v>
      </c>
      <c r="E35" s="96" t="s">
        <v>37</v>
      </c>
      <c r="F35" s="96" t="s">
        <v>148</v>
      </c>
      <c r="G35" s="93" t="s">
        <v>1902</v>
      </c>
      <c r="H35" s="97">
        <v>2022</v>
      </c>
      <c r="I35" s="188"/>
      <c r="J35" s="185"/>
      <c r="K35" s="92"/>
      <c r="L35" s="92"/>
      <c r="M35" s="25"/>
      <c r="N35" s="68"/>
    </row>
    <row r="36" spans="1:14" s="193" customFormat="1" ht="45" x14ac:dyDescent="0.2">
      <c r="A36" s="96" t="s">
        <v>1903</v>
      </c>
      <c r="B36" s="93" t="s">
        <v>29</v>
      </c>
      <c r="C36" s="93" t="s">
        <v>30</v>
      </c>
      <c r="D36" s="93" t="s">
        <v>1901</v>
      </c>
      <c r="E36" s="96" t="s">
        <v>54</v>
      </c>
      <c r="F36" s="96" t="s">
        <v>1841</v>
      </c>
      <c r="G36" s="93" t="s">
        <v>1904</v>
      </c>
      <c r="H36" s="97">
        <v>2022</v>
      </c>
      <c r="I36" s="188"/>
      <c r="J36" s="185"/>
      <c r="K36" s="92"/>
      <c r="L36" s="92"/>
      <c r="M36" s="25"/>
      <c r="N36" s="68"/>
    </row>
    <row r="37" spans="1:14" s="193" customFormat="1" ht="45" x14ac:dyDescent="0.2">
      <c r="A37" s="96" t="s">
        <v>1905</v>
      </c>
      <c r="B37" s="93" t="s">
        <v>29</v>
      </c>
      <c r="C37" s="93" t="s">
        <v>30</v>
      </c>
      <c r="D37" s="93" t="s">
        <v>1901</v>
      </c>
      <c r="E37" s="96" t="s">
        <v>37</v>
      </c>
      <c r="F37" s="96" t="s">
        <v>1846</v>
      </c>
      <c r="G37" s="93" t="s">
        <v>1906</v>
      </c>
      <c r="H37" s="97">
        <v>2022</v>
      </c>
      <c r="I37" s="188"/>
      <c r="J37" s="185"/>
      <c r="K37" s="92"/>
      <c r="L37" s="92"/>
      <c r="M37" s="25"/>
      <c r="N37" s="68"/>
    </row>
    <row r="38" spans="1:14" s="193" customFormat="1" ht="60" x14ac:dyDescent="0.2">
      <c r="A38" s="96" t="s">
        <v>1907</v>
      </c>
      <c r="B38" s="93" t="s">
        <v>29</v>
      </c>
      <c r="C38" s="71" t="s">
        <v>30</v>
      </c>
      <c r="D38" s="93" t="s">
        <v>1901</v>
      </c>
      <c r="E38" s="96" t="s">
        <v>37</v>
      </c>
      <c r="F38" s="96" t="s">
        <v>1841</v>
      </c>
      <c r="G38" s="93" t="s">
        <v>1908</v>
      </c>
      <c r="H38" s="97">
        <v>2022</v>
      </c>
      <c r="I38" s="188"/>
      <c r="J38" s="185"/>
      <c r="K38" s="92"/>
      <c r="L38" s="92"/>
      <c r="M38" s="25"/>
      <c r="N38" s="68"/>
    </row>
    <row r="39" spans="1:14" s="193" customFormat="1" ht="30" x14ac:dyDescent="0.2">
      <c r="A39" s="96" t="s">
        <v>1909</v>
      </c>
      <c r="B39" s="93" t="s">
        <v>29</v>
      </c>
      <c r="C39" s="93" t="s">
        <v>30</v>
      </c>
      <c r="D39" s="93" t="s">
        <v>1910</v>
      </c>
      <c r="E39" s="96" t="s">
        <v>54</v>
      </c>
      <c r="F39" s="96" t="s">
        <v>165</v>
      </c>
      <c r="G39" s="93" t="s">
        <v>1911</v>
      </c>
      <c r="H39" s="97">
        <v>2022</v>
      </c>
      <c r="I39" s="188"/>
      <c r="J39" s="185"/>
      <c r="K39" s="92"/>
      <c r="L39" s="92"/>
      <c r="M39" s="25"/>
      <c r="N39" s="68"/>
    </row>
    <row r="40" spans="1:14" s="193" customFormat="1" ht="30" x14ac:dyDescent="0.2">
      <c r="A40" s="96" t="s">
        <v>1912</v>
      </c>
      <c r="B40" s="93" t="s">
        <v>29</v>
      </c>
      <c r="C40" s="93" t="s">
        <v>30</v>
      </c>
      <c r="D40" s="93" t="s">
        <v>1910</v>
      </c>
      <c r="E40" s="96" t="s">
        <v>37</v>
      </c>
      <c r="F40" s="96" t="s">
        <v>1841</v>
      </c>
      <c r="G40" s="93" t="s">
        <v>1913</v>
      </c>
      <c r="H40" s="97">
        <v>2022</v>
      </c>
      <c r="I40" s="188"/>
      <c r="J40" s="185"/>
      <c r="K40" s="92"/>
      <c r="L40" s="92"/>
      <c r="M40" s="25"/>
      <c r="N40" s="68"/>
    </row>
    <row r="41" spans="1:14" s="193" customFormat="1" ht="30" x14ac:dyDescent="0.2">
      <c r="A41" s="96" t="s">
        <v>1914</v>
      </c>
      <c r="B41" s="93" t="s">
        <v>29</v>
      </c>
      <c r="C41" s="93" t="s">
        <v>30</v>
      </c>
      <c r="D41" s="93" t="s">
        <v>1910</v>
      </c>
      <c r="E41" s="96" t="s">
        <v>37</v>
      </c>
      <c r="F41" s="96" t="s">
        <v>1841</v>
      </c>
      <c r="G41" s="93" t="s">
        <v>1915</v>
      </c>
      <c r="H41" s="97">
        <v>2022</v>
      </c>
      <c r="I41" s="188"/>
      <c r="J41" s="185"/>
      <c r="K41" s="92"/>
      <c r="L41" s="92"/>
      <c r="M41" s="25"/>
      <c r="N41" s="68"/>
    </row>
    <row r="42" spans="1:14" s="193" customFormat="1" ht="30" x14ac:dyDescent="0.2">
      <c r="A42" s="96" t="s">
        <v>1916</v>
      </c>
      <c r="B42" s="93" t="s">
        <v>29</v>
      </c>
      <c r="C42" s="93" t="s">
        <v>30</v>
      </c>
      <c r="D42" s="93" t="s">
        <v>1910</v>
      </c>
      <c r="E42" s="96" t="s">
        <v>37</v>
      </c>
      <c r="F42" s="96" t="s">
        <v>148</v>
      </c>
      <c r="G42" s="93" t="s">
        <v>1917</v>
      </c>
      <c r="H42" s="97">
        <v>2022</v>
      </c>
      <c r="I42" s="188"/>
      <c r="J42" s="185"/>
      <c r="K42" s="92"/>
      <c r="L42" s="92"/>
      <c r="M42" s="25"/>
      <c r="N42" s="68"/>
    </row>
    <row r="43" spans="1:14" s="193" customFormat="1" ht="30" x14ac:dyDescent="0.2">
      <c r="A43" s="96" t="s">
        <v>1918</v>
      </c>
      <c r="B43" s="93" t="s">
        <v>29</v>
      </c>
      <c r="C43" s="93" t="s">
        <v>30</v>
      </c>
      <c r="D43" s="93" t="s">
        <v>1910</v>
      </c>
      <c r="E43" s="96" t="s">
        <v>37</v>
      </c>
      <c r="F43" s="96" t="s">
        <v>148</v>
      </c>
      <c r="G43" s="93" t="s">
        <v>1919</v>
      </c>
      <c r="H43" s="97">
        <v>2022</v>
      </c>
      <c r="I43" s="188"/>
      <c r="J43" s="185"/>
      <c r="K43" s="92"/>
      <c r="L43" s="92"/>
      <c r="M43" s="25"/>
      <c r="N43" s="68"/>
    </row>
    <row r="44" spans="1:14" s="193" customFormat="1" ht="30" x14ac:dyDescent="0.2">
      <c r="A44" s="96" t="s">
        <v>1920</v>
      </c>
      <c r="B44" s="93" t="s">
        <v>29</v>
      </c>
      <c r="C44" s="93" t="s">
        <v>30</v>
      </c>
      <c r="D44" s="93" t="s">
        <v>1910</v>
      </c>
      <c r="E44" s="96" t="s">
        <v>37</v>
      </c>
      <c r="F44" s="96" t="s">
        <v>1846</v>
      </c>
      <c r="G44" s="93" t="s">
        <v>1921</v>
      </c>
      <c r="H44" s="97">
        <v>2022</v>
      </c>
      <c r="I44" s="188"/>
      <c r="J44" s="185"/>
      <c r="K44" s="92"/>
      <c r="L44" s="92"/>
      <c r="M44" s="25"/>
      <c r="N44" s="68"/>
    </row>
    <row r="45" spans="1:14" s="193" customFormat="1" ht="30" x14ac:dyDescent="0.2">
      <c r="A45" s="96" t="s">
        <v>1922</v>
      </c>
      <c r="B45" s="93" t="s">
        <v>29</v>
      </c>
      <c r="C45" s="93" t="s">
        <v>30</v>
      </c>
      <c r="D45" s="93" t="s">
        <v>1910</v>
      </c>
      <c r="E45" s="96" t="s">
        <v>54</v>
      </c>
      <c r="F45" s="96" t="s">
        <v>165</v>
      </c>
      <c r="G45" s="93" t="s">
        <v>1923</v>
      </c>
      <c r="H45" s="97">
        <v>2022</v>
      </c>
      <c r="I45" s="188"/>
      <c r="J45" s="185"/>
      <c r="K45" s="92"/>
      <c r="L45" s="92"/>
      <c r="M45" s="25"/>
      <c r="N45" s="68"/>
    </row>
    <row r="46" spans="1:14" s="193" customFormat="1" ht="30" x14ac:dyDescent="0.2">
      <c r="A46" s="96" t="s">
        <v>1924</v>
      </c>
      <c r="B46" s="93" t="s">
        <v>29</v>
      </c>
      <c r="C46" s="93" t="s">
        <v>30</v>
      </c>
      <c r="D46" s="93" t="s">
        <v>1910</v>
      </c>
      <c r="E46" s="96" t="s">
        <v>54</v>
      </c>
      <c r="F46" s="96" t="s">
        <v>165</v>
      </c>
      <c r="G46" s="93" t="s">
        <v>1925</v>
      </c>
      <c r="H46" s="97">
        <v>2022</v>
      </c>
      <c r="I46" s="188"/>
      <c r="J46" s="185"/>
      <c r="K46" s="92"/>
      <c r="L46" s="92"/>
      <c r="M46" s="25"/>
      <c r="N46" s="68"/>
    </row>
    <row r="47" spans="1:14" s="193" customFormat="1" ht="45" x14ac:dyDescent="0.2">
      <c r="A47" s="96" t="s">
        <v>1926</v>
      </c>
      <c r="B47" s="93" t="s">
        <v>29</v>
      </c>
      <c r="C47" s="93" t="s">
        <v>30</v>
      </c>
      <c r="D47" s="93" t="s">
        <v>1910</v>
      </c>
      <c r="E47" s="96" t="s">
        <v>37</v>
      </c>
      <c r="F47" s="96" t="s">
        <v>148</v>
      </c>
      <c r="G47" s="93" t="s">
        <v>1927</v>
      </c>
      <c r="H47" s="97">
        <v>2022</v>
      </c>
      <c r="I47" s="188"/>
      <c r="J47" s="185"/>
      <c r="K47" s="92"/>
      <c r="L47" s="92"/>
      <c r="M47" s="25"/>
      <c r="N47" s="68"/>
    </row>
    <row r="48" spans="1:14" s="193" customFormat="1" ht="45" x14ac:dyDescent="0.2">
      <c r="A48" s="96" t="s">
        <v>1928</v>
      </c>
      <c r="B48" s="93" t="s">
        <v>29</v>
      </c>
      <c r="C48" s="93" t="s">
        <v>30</v>
      </c>
      <c r="D48" s="93" t="s">
        <v>1910</v>
      </c>
      <c r="E48" s="96" t="s">
        <v>37</v>
      </c>
      <c r="F48" s="96" t="s">
        <v>1846</v>
      </c>
      <c r="G48" s="93" t="s">
        <v>1929</v>
      </c>
      <c r="H48" s="97">
        <v>2022</v>
      </c>
      <c r="I48" s="188"/>
      <c r="J48" s="185"/>
      <c r="K48" s="92"/>
      <c r="L48" s="92"/>
      <c r="M48" s="25"/>
      <c r="N48" s="68"/>
    </row>
    <row r="49" spans="1:14" s="193" customFormat="1" ht="60" x14ac:dyDescent="0.2">
      <c r="A49" s="96" t="s">
        <v>1930</v>
      </c>
      <c r="B49" s="93" t="s">
        <v>29</v>
      </c>
      <c r="C49" s="93" t="s">
        <v>30</v>
      </c>
      <c r="D49" s="93" t="s">
        <v>1910</v>
      </c>
      <c r="E49" s="96" t="s">
        <v>37</v>
      </c>
      <c r="F49" s="96" t="s">
        <v>1841</v>
      </c>
      <c r="G49" s="93" t="s">
        <v>1931</v>
      </c>
      <c r="H49" s="97">
        <v>2022</v>
      </c>
      <c r="I49" s="188"/>
      <c r="J49" s="185"/>
      <c r="K49" s="92"/>
      <c r="L49" s="92"/>
      <c r="M49" s="25"/>
      <c r="N49" s="68"/>
    </row>
    <row r="50" spans="1:14" s="193" customFormat="1" ht="60" x14ac:dyDescent="0.2">
      <c r="A50" s="96" t="s">
        <v>1932</v>
      </c>
      <c r="B50" s="93" t="s">
        <v>29</v>
      </c>
      <c r="C50" s="93" t="s">
        <v>30</v>
      </c>
      <c r="D50" s="93" t="s">
        <v>1910</v>
      </c>
      <c r="E50" s="96" t="s">
        <v>37</v>
      </c>
      <c r="F50" s="96" t="s">
        <v>1841</v>
      </c>
      <c r="G50" s="175" t="s">
        <v>1933</v>
      </c>
      <c r="H50" s="97">
        <v>2022</v>
      </c>
      <c r="I50" s="188"/>
      <c r="J50" s="185"/>
      <c r="K50" s="92"/>
      <c r="L50" s="92"/>
      <c r="M50" s="25"/>
      <c r="N50" s="68"/>
    </row>
    <row r="51" spans="1:14" s="193" customFormat="1" ht="30" x14ac:dyDescent="0.2">
      <c r="A51" s="96" t="s">
        <v>1934</v>
      </c>
      <c r="B51" s="93" t="s">
        <v>29</v>
      </c>
      <c r="C51" s="93" t="s">
        <v>30</v>
      </c>
      <c r="D51" s="93" t="s">
        <v>1840</v>
      </c>
      <c r="E51" s="96" t="s">
        <v>37</v>
      </c>
      <c r="F51" s="96" t="s">
        <v>1841</v>
      </c>
      <c r="G51" s="93" t="s">
        <v>1935</v>
      </c>
      <c r="H51" s="97">
        <v>2023</v>
      </c>
      <c r="I51" s="188"/>
      <c r="J51" s="185"/>
      <c r="K51" s="92"/>
      <c r="L51" s="92"/>
      <c r="M51" s="25"/>
      <c r="N51" s="68"/>
    </row>
    <row r="52" spans="1:14" s="193" customFormat="1" ht="30" x14ac:dyDescent="0.2">
      <c r="A52" s="96" t="s">
        <v>1936</v>
      </c>
      <c r="B52" s="93" t="s">
        <v>29</v>
      </c>
      <c r="C52" s="93" t="s">
        <v>30</v>
      </c>
      <c r="D52" s="93" t="s">
        <v>1840</v>
      </c>
      <c r="E52" s="96" t="s">
        <v>37</v>
      </c>
      <c r="F52" s="96" t="s">
        <v>1841</v>
      </c>
      <c r="G52" s="93" t="s">
        <v>1937</v>
      </c>
      <c r="H52" s="97">
        <v>2023</v>
      </c>
      <c r="I52" s="188"/>
      <c r="J52" s="185"/>
      <c r="K52" s="92"/>
      <c r="L52" s="92"/>
      <c r="M52" s="25"/>
      <c r="N52" s="68"/>
    </row>
    <row r="53" spans="1:14" s="193" customFormat="1" ht="45" x14ac:dyDescent="0.2">
      <c r="A53" s="96" t="s">
        <v>1938</v>
      </c>
      <c r="B53" s="93" t="s">
        <v>29</v>
      </c>
      <c r="C53" s="93" t="s">
        <v>30</v>
      </c>
      <c r="D53" s="93" t="s">
        <v>1840</v>
      </c>
      <c r="E53" s="96" t="s">
        <v>37</v>
      </c>
      <c r="F53" s="96" t="s">
        <v>1841</v>
      </c>
      <c r="G53" s="93" t="s">
        <v>1939</v>
      </c>
      <c r="H53" s="97">
        <v>2023</v>
      </c>
      <c r="I53" s="188"/>
      <c r="J53" s="185"/>
      <c r="K53" s="92"/>
      <c r="L53" s="92"/>
      <c r="M53" s="25"/>
      <c r="N53" s="68"/>
    </row>
    <row r="54" spans="1:14" s="193" customFormat="1" ht="30" x14ac:dyDescent="0.2">
      <c r="A54" s="96" t="s">
        <v>1940</v>
      </c>
      <c r="B54" s="93" t="s">
        <v>29</v>
      </c>
      <c r="C54" s="93" t="s">
        <v>30</v>
      </c>
      <c r="D54" s="93" t="s">
        <v>1840</v>
      </c>
      <c r="E54" s="96" t="s">
        <v>37</v>
      </c>
      <c r="F54" s="96" t="s">
        <v>1846</v>
      </c>
      <c r="G54" s="176" t="s">
        <v>1941</v>
      </c>
      <c r="H54" s="97">
        <v>2023</v>
      </c>
      <c r="I54" s="188"/>
      <c r="J54" s="185"/>
      <c r="K54" s="92"/>
      <c r="L54" s="92"/>
      <c r="M54" s="25"/>
      <c r="N54" s="68"/>
    </row>
    <row r="55" spans="1:14" s="193" customFormat="1" ht="30" x14ac:dyDescent="0.2">
      <c r="A55" s="96" t="s">
        <v>1942</v>
      </c>
      <c r="B55" s="93" t="s">
        <v>29</v>
      </c>
      <c r="C55" s="93" t="s">
        <v>30</v>
      </c>
      <c r="D55" s="93" t="s">
        <v>1840</v>
      </c>
      <c r="E55" s="96" t="s">
        <v>54</v>
      </c>
      <c r="F55" s="96" t="s">
        <v>1943</v>
      </c>
      <c r="G55" s="93" t="s">
        <v>1944</v>
      </c>
      <c r="H55" s="97">
        <v>2023</v>
      </c>
      <c r="I55" s="188"/>
      <c r="J55" s="185"/>
      <c r="K55" s="92"/>
      <c r="L55" s="92"/>
      <c r="M55" s="25"/>
      <c r="N55" s="68"/>
    </row>
    <row r="56" spans="1:14" s="193" customFormat="1" ht="30" x14ac:dyDescent="0.2">
      <c r="A56" s="96" t="s">
        <v>1945</v>
      </c>
      <c r="B56" s="93" t="s">
        <v>29</v>
      </c>
      <c r="C56" s="93" t="s">
        <v>30</v>
      </c>
      <c r="D56" s="93" t="s">
        <v>1840</v>
      </c>
      <c r="E56" s="96" t="s">
        <v>54</v>
      </c>
      <c r="F56" s="96" t="s">
        <v>1943</v>
      </c>
      <c r="G56" s="93" t="s">
        <v>1946</v>
      </c>
      <c r="H56" s="97">
        <v>2023</v>
      </c>
      <c r="I56" s="188"/>
      <c r="J56" s="185"/>
      <c r="K56" s="92"/>
      <c r="L56" s="92"/>
      <c r="M56" s="25"/>
      <c r="N56" s="68"/>
    </row>
    <row r="57" spans="1:14" s="193" customFormat="1" ht="30" x14ac:dyDescent="0.2">
      <c r="A57" s="96" t="s">
        <v>1947</v>
      </c>
      <c r="B57" s="93" t="s">
        <v>29</v>
      </c>
      <c r="C57" s="93" t="s">
        <v>30</v>
      </c>
      <c r="D57" s="93" t="s">
        <v>1840</v>
      </c>
      <c r="E57" s="96" t="s">
        <v>37</v>
      </c>
      <c r="F57" s="96" t="s">
        <v>148</v>
      </c>
      <c r="G57" s="93" t="s">
        <v>1948</v>
      </c>
      <c r="H57" s="97">
        <v>2023</v>
      </c>
      <c r="I57" s="188"/>
      <c r="J57" s="185"/>
      <c r="K57" s="92"/>
      <c r="L57" s="92"/>
      <c r="M57" s="25"/>
      <c r="N57" s="68"/>
    </row>
    <row r="58" spans="1:14" s="193" customFormat="1" ht="30" x14ac:dyDescent="0.2">
      <c r="A58" s="96" t="s">
        <v>1949</v>
      </c>
      <c r="B58" s="93" t="s">
        <v>29</v>
      </c>
      <c r="C58" s="93" t="s">
        <v>30</v>
      </c>
      <c r="D58" s="93" t="s">
        <v>1840</v>
      </c>
      <c r="E58" s="96" t="s">
        <v>37</v>
      </c>
      <c r="F58" s="96" t="s">
        <v>148</v>
      </c>
      <c r="G58" s="93" t="s">
        <v>1950</v>
      </c>
      <c r="H58" s="97">
        <v>2023</v>
      </c>
      <c r="I58" s="188"/>
      <c r="J58" s="185"/>
      <c r="K58" s="92"/>
      <c r="L58" s="92"/>
      <c r="M58" s="25"/>
      <c r="N58" s="68"/>
    </row>
    <row r="59" spans="1:14" s="193" customFormat="1" ht="30" x14ac:dyDescent="0.2">
      <c r="A59" s="96" t="s">
        <v>1951</v>
      </c>
      <c r="B59" s="93" t="s">
        <v>29</v>
      </c>
      <c r="C59" s="93" t="s">
        <v>30</v>
      </c>
      <c r="D59" s="93" t="s">
        <v>1840</v>
      </c>
      <c r="E59" s="96" t="s">
        <v>37</v>
      </c>
      <c r="F59" s="96" t="s">
        <v>1846</v>
      </c>
      <c r="G59" s="93" t="s">
        <v>1952</v>
      </c>
      <c r="H59" s="97">
        <v>2023</v>
      </c>
      <c r="I59" s="188"/>
      <c r="J59" s="185"/>
      <c r="K59" s="92"/>
      <c r="L59" s="92"/>
      <c r="M59" s="25"/>
      <c r="N59" s="68"/>
    </row>
    <row r="60" spans="1:14" s="193" customFormat="1" ht="30" x14ac:dyDescent="0.2">
      <c r="A60" s="96" t="s">
        <v>1953</v>
      </c>
      <c r="B60" s="93" t="s">
        <v>29</v>
      </c>
      <c r="C60" s="93" t="s">
        <v>30</v>
      </c>
      <c r="D60" s="93" t="s">
        <v>1840</v>
      </c>
      <c r="E60" s="96" t="s">
        <v>54</v>
      </c>
      <c r="F60" s="96" t="s">
        <v>165</v>
      </c>
      <c r="G60" s="93" t="s">
        <v>1954</v>
      </c>
      <c r="H60" s="97">
        <v>2023</v>
      </c>
      <c r="I60" s="188"/>
      <c r="J60" s="185"/>
      <c r="K60" s="92"/>
      <c r="L60" s="92"/>
      <c r="M60" s="25"/>
      <c r="N60" s="68"/>
    </row>
    <row r="61" spans="1:14" s="193" customFormat="1" ht="30" x14ac:dyDescent="0.2">
      <c r="A61" s="96" t="s">
        <v>1955</v>
      </c>
      <c r="B61" s="93" t="s">
        <v>29</v>
      </c>
      <c r="C61" s="93" t="s">
        <v>30</v>
      </c>
      <c r="D61" s="93" t="s">
        <v>1840</v>
      </c>
      <c r="E61" s="96" t="s">
        <v>54</v>
      </c>
      <c r="F61" s="96" t="s">
        <v>165</v>
      </c>
      <c r="G61" s="93" t="s">
        <v>1956</v>
      </c>
      <c r="H61" s="97">
        <v>2023</v>
      </c>
      <c r="I61" s="188"/>
      <c r="J61" s="185"/>
      <c r="K61" s="92"/>
      <c r="L61" s="92"/>
      <c r="M61" s="25"/>
      <c r="N61" s="68"/>
    </row>
    <row r="62" spans="1:14" s="193" customFormat="1" ht="30" x14ac:dyDescent="0.2">
      <c r="A62" s="96" t="s">
        <v>1957</v>
      </c>
      <c r="B62" s="93" t="s">
        <v>29</v>
      </c>
      <c r="C62" s="93" t="s">
        <v>30</v>
      </c>
      <c r="D62" s="93" t="s">
        <v>1840</v>
      </c>
      <c r="E62" s="96" t="s">
        <v>54</v>
      </c>
      <c r="F62" s="96" t="s">
        <v>165</v>
      </c>
      <c r="G62" s="93" t="s">
        <v>1958</v>
      </c>
      <c r="H62" s="97">
        <v>2023</v>
      </c>
      <c r="I62" s="188"/>
      <c r="J62" s="185"/>
      <c r="K62" s="92"/>
      <c r="L62" s="92"/>
      <c r="M62" s="25"/>
      <c r="N62" s="68"/>
    </row>
    <row r="63" spans="1:14" s="193" customFormat="1" ht="30" x14ac:dyDescent="0.2">
      <c r="A63" s="96" t="s">
        <v>1959</v>
      </c>
      <c r="B63" s="93" t="s">
        <v>29</v>
      </c>
      <c r="C63" s="93" t="s">
        <v>30</v>
      </c>
      <c r="D63" s="93" t="s">
        <v>1840</v>
      </c>
      <c r="E63" s="96" t="s">
        <v>54</v>
      </c>
      <c r="F63" s="96" t="s">
        <v>165</v>
      </c>
      <c r="G63" s="93" t="s">
        <v>1960</v>
      </c>
      <c r="H63" s="97">
        <v>2023</v>
      </c>
      <c r="I63" s="188"/>
      <c r="J63" s="185"/>
      <c r="K63" s="92"/>
      <c r="L63" s="92"/>
      <c r="M63" s="25"/>
      <c r="N63" s="68"/>
    </row>
    <row r="64" spans="1:14" s="193" customFormat="1" ht="30" x14ac:dyDescent="0.2">
      <c r="A64" s="96" t="s">
        <v>1961</v>
      </c>
      <c r="B64" s="93" t="s">
        <v>29</v>
      </c>
      <c r="C64" s="93" t="s">
        <v>30</v>
      </c>
      <c r="D64" s="93" t="s">
        <v>1840</v>
      </c>
      <c r="E64" s="96" t="s">
        <v>37</v>
      </c>
      <c r="F64" s="96" t="s">
        <v>1867</v>
      </c>
      <c r="G64" s="93" t="s">
        <v>1962</v>
      </c>
      <c r="H64" s="97">
        <v>2023</v>
      </c>
      <c r="I64" s="188"/>
      <c r="J64" s="185"/>
      <c r="K64" s="92"/>
      <c r="L64" s="92"/>
      <c r="M64" s="25"/>
      <c r="N64" s="68"/>
    </row>
    <row r="65" spans="1:14" s="193" customFormat="1" ht="30" x14ac:dyDescent="0.2">
      <c r="A65" s="96" t="s">
        <v>1963</v>
      </c>
      <c r="B65" s="93" t="s">
        <v>29</v>
      </c>
      <c r="C65" s="93" t="s">
        <v>30</v>
      </c>
      <c r="D65" s="93" t="s">
        <v>1840</v>
      </c>
      <c r="E65" s="96" t="s">
        <v>37</v>
      </c>
      <c r="F65" s="96" t="s">
        <v>1867</v>
      </c>
      <c r="G65" s="93" t="s">
        <v>1964</v>
      </c>
      <c r="H65" s="97">
        <v>2023</v>
      </c>
      <c r="I65" s="188"/>
      <c r="J65" s="185"/>
      <c r="K65" s="92"/>
      <c r="L65" s="92"/>
      <c r="M65" s="25"/>
      <c r="N65" s="68"/>
    </row>
    <row r="66" spans="1:14" s="193" customFormat="1" ht="30" x14ac:dyDescent="0.2">
      <c r="A66" s="96" t="s">
        <v>1965</v>
      </c>
      <c r="B66" s="93" t="s">
        <v>29</v>
      </c>
      <c r="C66" s="93" t="s">
        <v>30</v>
      </c>
      <c r="D66" s="93" t="s">
        <v>1840</v>
      </c>
      <c r="E66" s="96" t="s">
        <v>37</v>
      </c>
      <c r="F66" s="96" t="s">
        <v>1846</v>
      </c>
      <c r="G66" s="93" t="s">
        <v>1966</v>
      </c>
      <c r="H66" s="97">
        <v>2023</v>
      </c>
      <c r="I66" s="188"/>
      <c r="J66" s="185"/>
      <c r="K66" s="92"/>
      <c r="L66" s="92"/>
      <c r="M66" s="25"/>
      <c r="N66" s="68"/>
    </row>
    <row r="67" spans="1:14" s="193" customFormat="1" ht="30" x14ac:dyDescent="0.2">
      <c r="A67" s="96" t="s">
        <v>1967</v>
      </c>
      <c r="B67" s="93" t="s">
        <v>29</v>
      </c>
      <c r="C67" s="93" t="s">
        <v>30</v>
      </c>
      <c r="D67" s="93" t="s">
        <v>1840</v>
      </c>
      <c r="E67" s="96" t="s">
        <v>37</v>
      </c>
      <c r="F67" s="96" t="s">
        <v>1846</v>
      </c>
      <c r="G67" s="93" t="s">
        <v>1968</v>
      </c>
      <c r="H67" s="97">
        <v>2023</v>
      </c>
      <c r="I67" s="188"/>
      <c r="J67" s="185"/>
      <c r="K67" s="92"/>
      <c r="L67" s="92"/>
      <c r="M67" s="25"/>
      <c r="N67" s="68"/>
    </row>
    <row r="68" spans="1:14" s="193" customFormat="1" ht="30" x14ac:dyDescent="0.2">
      <c r="A68" s="96" t="s">
        <v>1969</v>
      </c>
      <c r="B68" s="93" t="s">
        <v>29</v>
      </c>
      <c r="C68" s="93" t="s">
        <v>30</v>
      </c>
      <c r="D68" s="93" t="s">
        <v>1840</v>
      </c>
      <c r="E68" s="96" t="s">
        <v>37</v>
      </c>
      <c r="F68" s="96" t="s">
        <v>1846</v>
      </c>
      <c r="G68" s="93" t="s">
        <v>1970</v>
      </c>
      <c r="H68" s="97">
        <v>2023</v>
      </c>
      <c r="I68" s="188"/>
      <c r="J68" s="185"/>
      <c r="K68" s="92"/>
      <c r="L68" s="92"/>
      <c r="M68" s="25"/>
      <c r="N68" s="68"/>
    </row>
    <row r="69" spans="1:14" s="193" customFormat="1" ht="30" x14ac:dyDescent="0.2">
      <c r="A69" s="96" t="s">
        <v>1971</v>
      </c>
      <c r="B69" s="93" t="s">
        <v>29</v>
      </c>
      <c r="C69" s="93" t="s">
        <v>30</v>
      </c>
      <c r="D69" s="93" t="s">
        <v>1840</v>
      </c>
      <c r="E69" s="96" t="s">
        <v>37</v>
      </c>
      <c r="F69" s="96" t="s">
        <v>1846</v>
      </c>
      <c r="G69" s="93" t="s">
        <v>1972</v>
      </c>
      <c r="H69" s="97">
        <v>2023</v>
      </c>
      <c r="I69" s="188"/>
      <c r="J69" s="185"/>
      <c r="K69" s="92"/>
      <c r="L69" s="92"/>
      <c r="M69" s="25"/>
      <c r="N69" s="68"/>
    </row>
    <row r="70" spans="1:14" s="193" customFormat="1" ht="30" x14ac:dyDescent="0.2">
      <c r="A70" s="96" t="s">
        <v>1973</v>
      </c>
      <c r="B70" s="93" t="s">
        <v>29</v>
      </c>
      <c r="C70" s="93" t="s">
        <v>30</v>
      </c>
      <c r="D70" s="93" t="s">
        <v>1840</v>
      </c>
      <c r="E70" s="96" t="s">
        <v>37</v>
      </c>
      <c r="F70" s="96" t="s">
        <v>1846</v>
      </c>
      <c r="G70" s="93" t="s">
        <v>1974</v>
      </c>
      <c r="H70" s="97">
        <v>2023</v>
      </c>
      <c r="I70" s="188"/>
      <c r="J70" s="185"/>
      <c r="K70" s="92"/>
      <c r="L70" s="92"/>
      <c r="M70" s="25"/>
      <c r="N70" s="68"/>
    </row>
    <row r="71" spans="1:14" s="193" customFormat="1" ht="30" x14ac:dyDescent="0.2">
      <c r="A71" s="96" t="s">
        <v>1975</v>
      </c>
      <c r="B71" s="93" t="s">
        <v>29</v>
      </c>
      <c r="C71" s="93" t="s">
        <v>30</v>
      </c>
      <c r="D71" s="93" t="s">
        <v>1840</v>
      </c>
      <c r="E71" s="96" t="s">
        <v>37</v>
      </c>
      <c r="F71" s="96" t="s">
        <v>1867</v>
      </c>
      <c r="G71" s="93" t="s">
        <v>1976</v>
      </c>
      <c r="H71" s="97">
        <v>2023</v>
      </c>
      <c r="I71" s="188"/>
      <c r="J71" s="185"/>
      <c r="K71" s="92"/>
      <c r="L71" s="92"/>
      <c r="M71" s="25"/>
      <c r="N71" s="68"/>
    </row>
    <row r="72" spans="1:14" ht="30" x14ac:dyDescent="0.2">
      <c r="A72" s="96" t="s">
        <v>1977</v>
      </c>
      <c r="B72" s="93" t="s">
        <v>29</v>
      </c>
      <c r="C72" s="93" t="s">
        <v>30</v>
      </c>
      <c r="D72" s="93" t="s">
        <v>1884</v>
      </c>
      <c r="E72" s="96" t="s">
        <v>37</v>
      </c>
      <c r="F72" s="96" t="s">
        <v>1846</v>
      </c>
      <c r="G72" s="93" t="s">
        <v>1978</v>
      </c>
      <c r="H72" s="97">
        <v>2023</v>
      </c>
      <c r="I72" s="188"/>
      <c r="J72" s="185"/>
      <c r="K72" s="92"/>
      <c r="L72" s="92"/>
      <c r="M72" s="25"/>
      <c r="N72" s="68"/>
    </row>
    <row r="73" spans="1:14" ht="30" x14ac:dyDescent="0.2">
      <c r="A73" s="96" t="s">
        <v>1979</v>
      </c>
      <c r="B73" s="93" t="s">
        <v>29</v>
      </c>
      <c r="C73" s="93" t="s">
        <v>30</v>
      </c>
      <c r="D73" s="93" t="s">
        <v>1884</v>
      </c>
      <c r="E73" s="96" t="s">
        <v>37</v>
      </c>
      <c r="F73" s="96" t="s">
        <v>1846</v>
      </c>
      <c r="G73" s="93" t="s">
        <v>1980</v>
      </c>
      <c r="H73" s="97">
        <v>2023</v>
      </c>
      <c r="I73" s="188"/>
      <c r="J73" s="185"/>
      <c r="K73" s="92"/>
      <c r="L73" s="92"/>
      <c r="M73" s="25"/>
      <c r="N73" s="68"/>
    </row>
    <row r="74" spans="1:14" ht="30" x14ac:dyDescent="0.2">
      <c r="A74" s="96" t="s">
        <v>1981</v>
      </c>
      <c r="B74" s="93" t="s">
        <v>29</v>
      </c>
      <c r="C74" s="93" t="s">
        <v>30</v>
      </c>
      <c r="D74" s="93" t="s">
        <v>1884</v>
      </c>
      <c r="E74" s="96" t="s">
        <v>54</v>
      </c>
      <c r="F74" s="96" t="s">
        <v>165</v>
      </c>
      <c r="G74" s="93" t="s">
        <v>1982</v>
      </c>
      <c r="H74" s="97">
        <v>2023</v>
      </c>
      <c r="I74" s="188"/>
      <c r="J74" s="185"/>
      <c r="K74" s="92"/>
      <c r="L74" s="92"/>
      <c r="M74" s="25"/>
      <c r="N74" s="68"/>
    </row>
    <row r="75" spans="1:14" ht="75" x14ac:dyDescent="0.2">
      <c r="A75" s="96" t="s">
        <v>1983</v>
      </c>
      <c r="B75" s="93" t="s">
        <v>29</v>
      </c>
      <c r="C75" s="93" t="s">
        <v>30</v>
      </c>
      <c r="D75" s="93" t="s">
        <v>1901</v>
      </c>
      <c r="E75" s="96" t="s">
        <v>37</v>
      </c>
      <c r="F75" s="96" t="s">
        <v>1846</v>
      </c>
      <c r="G75" s="93" t="s">
        <v>1984</v>
      </c>
      <c r="H75" s="97">
        <v>2023</v>
      </c>
      <c r="I75" s="188"/>
      <c r="J75" s="185"/>
      <c r="K75" s="92"/>
      <c r="L75" s="92"/>
      <c r="M75" s="25"/>
      <c r="N75" s="68"/>
    </row>
    <row r="76" spans="1:14" ht="30" x14ac:dyDescent="0.2">
      <c r="A76" s="96" t="s">
        <v>1985</v>
      </c>
      <c r="B76" s="93" t="s">
        <v>29</v>
      </c>
      <c r="C76" s="93" t="s">
        <v>30</v>
      </c>
      <c r="D76" s="93" t="s">
        <v>1910</v>
      </c>
      <c r="E76" s="96" t="s">
        <v>37</v>
      </c>
      <c r="F76" s="96" t="s">
        <v>1846</v>
      </c>
      <c r="G76" s="93" t="s">
        <v>1986</v>
      </c>
      <c r="H76" s="97">
        <v>2023</v>
      </c>
      <c r="I76" s="188"/>
      <c r="J76" s="185"/>
      <c r="K76" s="92"/>
      <c r="L76" s="92"/>
      <c r="M76" s="25"/>
      <c r="N76" s="68"/>
    </row>
    <row r="77" spans="1:14" ht="30" x14ac:dyDescent="0.2">
      <c r="A77" s="96" t="s">
        <v>1987</v>
      </c>
      <c r="B77" s="93" t="s">
        <v>29</v>
      </c>
      <c r="C77" s="93" t="s">
        <v>30</v>
      </c>
      <c r="D77" s="93" t="s">
        <v>1910</v>
      </c>
      <c r="E77" s="96" t="s">
        <v>37</v>
      </c>
      <c r="F77" s="96" t="s">
        <v>148</v>
      </c>
      <c r="G77" s="93" t="s">
        <v>1988</v>
      </c>
      <c r="H77" s="97">
        <v>2023</v>
      </c>
      <c r="I77" s="188"/>
      <c r="J77" s="185"/>
      <c r="K77" s="92"/>
      <c r="L77" s="92"/>
      <c r="M77" s="25"/>
      <c r="N77" s="68"/>
    </row>
    <row r="78" spans="1:14" ht="30" x14ac:dyDescent="0.2">
      <c r="A78" s="96" t="s">
        <v>1989</v>
      </c>
      <c r="B78" s="93" t="s">
        <v>29</v>
      </c>
      <c r="C78" s="93" t="s">
        <v>30</v>
      </c>
      <c r="D78" s="93" t="s">
        <v>1910</v>
      </c>
      <c r="E78" s="96" t="s">
        <v>37</v>
      </c>
      <c r="F78" s="96" t="s">
        <v>148</v>
      </c>
      <c r="G78" s="93" t="s">
        <v>1990</v>
      </c>
      <c r="H78" s="97">
        <v>2023</v>
      </c>
      <c r="I78" s="188"/>
      <c r="J78" s="185"/>
      <c r="K78" s="92"/>
      <c r="L78" s="92"/>
      <c r="M78" s="25"/>
      <c r="N78" s="68"/>
    </row>
    <row r="79" spans="1:14" ht="30" x14ac:dyDescent="0.2">
      <c r="A79" s="96" t="s">
        <v>1991</v>
      </c>
      <c r="B79" s="93" t="s">
        <v>29</v>
      </c>
      <c r="C79" s="93" t="s">
        <v>30</v>
      </c>
      <c r="D79" s="93" t="s">
        <v>1910</v>
      </c>
      <c r="E79" s="96" t="s">
        <v>37</v>
      </c>
      <c r="F79" s="96" t="s">
        <v>148</v>
      </c>
      <c r="G79" s="93" t="s">
        <v>1992</v>
      </c>
      <c r="H79" s="97">
        <v>2023</v>
      </c>
      <c r="I79" s="188"/>
      <c r="J79" s="185"/>
      <c r="K79" s="92"/>
      <c r="L79" s="92"/>
      <c r="M79" s="25"/>
      <c r="N79" s="68"/>
    </row>
    <row r="80" spans="1:14" ht="30" x14ac:dyDescent="0.2">
      <c r="A80" s="96" t="s">
        <v>1993</v>
      </c>
      <c r="B80" s="93" t="s">
        <v>29</v>
      </c>
      <c r="C80" s="93" t="s">
        <v>30</v>
      </c>
      <c r="D80" s="93" t="s">
        <v>1910</v>
      </c>
      <c r="E80" s="96" t="s">
        <v>37</v>
      </c>
      <c r="F80" s="96" t="s">
        <v>1846</v>
      </c>
      <c r="G80" s="93" t="s">
        <v>1994</v>
      </c>
      <c r="H80" s="97">
        <v>2023</v>
      </c>
      <c r="I80" s="188"/>
      <c r="J80" s="185"/>
      <c r="K80" s="92"/>
      <c r="L80" s="92"/>
      <c r="M80" s="25"/>
      <c r="N80" s="68"/>
    </row>
    <row r="81" spans="1:14" ht="60" x14ac:dyDescent="0.2">
      <c r="A81" s="96" t="s">
        <v>1995</v>
      </c>
      <c r="B81" s="93" t="s">
        <v>29</v>
      </c>
      <c r="C81" s="93" t="s">
        <v>30</v>
      </c>
      <c r="D81" s="93" t="s">
        <v>1910</v>
      </c>
      <c r="E81" s="96" t="s">
        <v>54</v>
      </c>
      <c r="F81" s="96" t="s">
        <v>165</v>
      </c>
      <c r="G81" s="93" t="s">
        <v>1996</v>
      </c>
      <c r="H81" s="97">
        <v>2023</v>
      </c>
      <c r="I81" s="188"/>
      <c r="J81" s="185"/>
      <c r="K81" s="92"/>
      <c r="L81" s="92"/>
      <c r="M81" s="25"/>
      <c r="N81" s="68"/>
    </row>
    <row r="82" spans="1:14" ht="30" x14ac:dyDescent="0.2">
      <c r="A82" s="96" t="s">
        <v>1997</v>
      </c>
      <c r="B82" s="93" t="s">
        <v>29</v>
      </c>
      <c r="C82" s="93" t="s">
        <v>30</v>
      </c>
      <c r="D82" s="93" t="s">
        <v>1910</v>
      </c>
      <c r="E82" s="96" t="s">
        <v>54</v>
      </c>
      <c r="F82" s="96" t="s">
        <v>165</v>
      </c>
      <c r="G82" s="93" t="s">
        <v>1998</v>
      </c>
      <c r="H82" s="97">
        <v>2023</v>
      </c>
      <c r="I82" s="188"/>
      <c r="J82" s="185"/>
      <c r="K82" s="92"/>
      <c r="L82" s="92"/>
      <c r="M82" s="25"/>
      <c r="N82" s="68"/>
    </row>
    <row r="83" spans="1:14" ht="30" x14ac:dyDescent="0.2">
      <c r="A83" s="96" t="s">
        <v>1999</v>
      </c>
      <c r="B83" s="93" t="s">
        <v>29</v>
      </c>
      <c r="C83" s="93" t="s">
        <v>30</v>
      </c>
      <c r="D83" s="93" t="s">
        <v>1910</v>
      </c>
      <c r="E83" s="96" t="s">
        <v>54</v>
      </c>
      <c r="F83" s="96" t="s">
        <v>165</v>
      </c>
      <c r="G83" s="93" t="s">
        <v>2000</v>
      </c>
      <c r="H83" s="97">
        <v>2023</v>
      </c>
      <c r="I83" s="188"/>
      <c r="J83" s="185"/>
      <c r="K83" s="92"/>
      <c r="L83" s="92"/>
      <c r="M83" s="25"/>
      <c r="N83" s="68"/>
    </row>
    <row r="84" spans="1:14" ht="30" x14ac:dyDescent="0.2">
      <c r="A84" s="96" t="s">
        <v>2001</v>
      </c>
      <c r="B84" s="93" t="s">
        <v>29</v>
      </c>
      <c r="C84" s="93" t="s">
        <v>30</v>
      </c>
      <c r="D84" s="93" t="s">
        <v>1910</v>
      </c>
      <c r="E84" s="96" t="s">
        <v>37</v>
      </c>
      <c r="F84" s="96" t="s">
        <v>1846</v>
      </c>
      <c r="G84" s="93" t="s">
        <v>2002</v>
      </c>
      <c r="H84" s="97">
        <v>2023</v>
      </c>
      <c r="I84" s="188"/>
      <c r="J84" s="185"/>
      <c r="K84" s="92"/>
      <c r="L84" s="92"/>
      <c r="M84" s="25"/>
      <c r="N84" s="68"/>
    </row>
    <row r="85" spans="1:14" ht="75" x14ac:dyDescent="0.2">
      <c r="A85" s="96" t="s">
        <v>2003</v>
      </c>
      <c r="B85" s="93" t="s">
        <v>29</v>
      </c>
      <c r="C85" s="93" t="s">
        <v>30</v>
      </c>
      <c r="D85" s="93" t="s">
        <v>1910</v>
      </c>
      <c r="E85" s="96" t="s">
        <v>37</v>
      </c>
      <c r="F85" s="96" t="s">
        <v>1846</v>
      </c>
      <c r="G85" s="93" t="s">
        <v>2004</v>
      </c>
      <c r="H85" s="97">
        <v>2023</v>
      </c>
      <c r="I85" s="188"/>
      <c r="J85" s="185"/>
      <c r="K85" s="92"/>
      <c r="L85" s="92"/>
      <c r="M85" s="25"/>
      <c r="N85" s="68"/>
    </row>
    <row r="86" spans="1:14" ht="30" x14ac:dyDescent="0.2">
      <c r="A86" s="96" t="s">
        <v>2005</v>
      </c>
      <c r="B86" s="93" t="s">
        <v>29</v>
      </c>
      <c r="C86" s="93" t="s">
        <v>30</v>
      </c>
      <c r="D86" s="93" t="s">
        <v>1840</v>
      </c>
      <c r="E86" s="96" t="s">
        <v>37</v>
      </c>
      <c r="F86" s="96" t="s">
        <v>1846</v>
      </c>
      <c r="G86" s="93" t="s">
        <v>2006</v>
      </c>
      <c r="H86" s="97">
        <v>2024</v>
      </c>
      <c r="I86" s="188"/>
      <c r="J86" s="185"/>
      <c r="K86" s="92"/>
      <c r="L86" s="92"/>
      <c r="M86" s="25"/>
      <c r="N86" s="68"/>
    </row>
    <row r="87" spans="1:14" ht="30" x14ac:dyDescent="0.2">
      <c r="A87" s="96" t="s">
        <v>2007</v>
      </c>
      <c r="B87" s="93" t="s">
        <v>29</v>
      </c>
      <c r="C87" s="93" t="s">
        <v>30</v>
      </c>
      <c r="D87" s="93" t="s">
        <v>1840</v>
      </c>
      <c r="E87" s="96" t="s">
        <v>37</v>
      </c>
      <c r="F87" s="96" t="s">
        <v>1846</v>
      </c>
      <c r="G87" s="93" t="s">
        <v>2008</v>
      </c>
      <c r="H87" s="97">
        <v>2024</v>
      </c>
      <c r="I87" s="188"/>
      <c r="J87" s="185"/>
      <c r="K87" s="92"/>
      <c r="L87" s="92"/>
      <c r="M87" s="25"/>
      <c r="N87" s="68"/>
    </row>
    <row r="88" spans="1:14" ht="30" x14ac:dyDescent="0.2">
      <c r="A88" s="96" t="s">
        <v>2009</v>
      </c>
      <c r="B88" s="93" t="s">
        <v>29</v>
      </c>
      <c r="C88" s="93" t="s">
        <v>30</v>
      </c>
      <c r="D88" s="93" t="s">
        <v>1840</v>
      </c>
      <c r="E88" s="96" t="s">
        <v>37</v>
      </c>
      <c r="F88" s="96" t="s">
        <v>1846</v>
      </c>
      <c r="G88" s="93" t="s">
        <v>2010</v>
      </c>
      <c r="H88" s="97">
        <v>2024</v>
      </c>
      <c r="I88" s="188"/>
      <c r="J88" s="185"/>
      <c r="K88" s="92"/>
      <c r="L88" s="92"/>
      <c r="M88" s="25"/>
      <c r="N88" s="68"/>
    </row>
    <row r="89" spans="1:14" ht="30" x14ac:dyDescent="0.2">
      <c r="A89" s="96" t="s">
        <v>2011</v>
      </c>
      <c r="B89" s="93" t="s">
        <v>29</v>
      </c>
      <c r="C89" s="93" t="s">
        <v>30</v>
      </c>
      <c r="D89" s="93" t="s">
        <v>1840</v>
      </c>
      <c r="E89" s="96" t="s">
        <v>37</v>
      </c>
      <c r="F89" s="96" t="s">
        <v>148</v>
      </c>
      <c r="G89" s="93" t="s">
        <v>2012</v>
      </c>
      <c r="H89" s="97">
        <v>2024</v>
      </c>
      <c r="I89" s="188"/>
      <c r="J89" s="185"/>
      <c r="K89" s="92"/>
      <c r="L89" s="92"/>
      <c r="M89" s="25"/>
      <c r="N89" s="68"/>
    </row>
    <row r="90" spans="1:14" ht="30" x14ac:dyDescent="0.2">
      <c r="A90" s="96" t="s">
        <v>2013</v>
      </c>
      <c r="B90" s="93" t="s">
        <v>29</v>
      </c>
      <c r="C90" s="93" t="s">
        <v>30</v>
      </c>
      <c r="D90" s="93" t="s">
        <v>1840</v>
      </c>
      <c r="E90" s="96" t="s">
        <v>37</v>
      </c>
      <c r="F90" s="96" t="s">
        <v>148</v>
      </c>
      <c r="G90" s="93" t="s">
        <v>2014</v>
      </c>
      <c r="H90" s="97">
        <v>2024</v>
      </c>
      <c r="I90" s="188"/>
      <c r="J90" s="185"/>
      <c r="K90" s="92"/>
      <c r="L90" s="92"/>
      <c r="M90" s="25"/>
      <c r="N90" s="68"/>
    </row>
    <row r="91" spans="1:14" ht="30" x14ac:dyDescent="0.2">
      <c r="A91" s="96" t="s">
        <v>2015</v>
      </c>
      <c r="B91" s="93" t="s">
        <v>29</v>
      </c>
      <c r="C91" s="93" t="s">
        <v>30</v>
      </c>
      <c r="D91" s="93" t="s">
        <v>1840</v>
      </c>
      <c r="E91" s="96" t="s">
        <v>37</v>
      </c>
      <c r="F91" s="96" t="s">
        <v>148</v>
      </c>
      <c r="G91" s="93" t="s">
        <v>2016</v>
      </c>
      <c r="H91" s="97">
        <v>2024</v>
      </c>
      <c r="I91" s="188"/>
      <c r="J91" s="185"/>
      <c r="K91" s="92"/>
      <c r="L91" s="92"/>
      <c r="M91" s="25"/>
      <c r="N91" s="68"/>
    </row>
    <row r="92" spans="1:14" ht="30" x14ac:dyDescent="0.2">
      <c r="A92" s="96" t="s">
        <v>2017</v>
      </c>
      <c r="B92" s="93" t="s">
        <v>29</v>
      </c>
      <c r="C92" s="93" t="s">
        <v>30</v>
      </c>
      <c r="D92" s="93" t="s">
        <v>1840</v>
      </c>
      <c r="E92" s="96" t="s">
        <v>37</v>
      </c>
      <c r="F92" s="96" t="s">
        <v>1867</v>
      </c>
      <c r="G92" s="90" t="s">
        <v>2018</v>
      </c>
      <c r="H92" s="97">
        <v>2024</v>
      </c>
      <c r="I92" s="188"/>
      <c r="J92" s="185"/>
      <c r="K92" s="92"/>
      <c r="L92" s="92"/>
      <c r="M92" s="25"/>
      <c r="N92" s="68"/>
    </row>
    <row r="93" spans="1:14" ht="30" x14ac:dyDescent="0.2">
      <c r="A93" s="96" t="s">
        <v>2019</v>
      </c>
      <c r="B93" s="93" t="s">
        <v>29</v>
      </c>
      <c r="C93" s="93" t="s">
        <v>30</v>
      </c>
      <c r="D93" s="93" t="s">
        <v>1840</v>
      </c>
      <c r="E93" s="96" t="s">
        <v>37</v>
      </c>
      <c r="F93" s="96" t="s">
        <v>1867</v>
      </c>
      <c r="G93" s="90" t="s">
        <v>2020</v>
      </c>
      <c r="H93" s="97">
        <v>2024</v>
      </c>
      <c r="I93" s="188"/>
      <c r="J93" s="185"/>
      <c r="K93" s="92"/>
      <c r="L93" s="92"/>
      <c r="M93" s="25"/>
      <c r="N93" s="68"/>
    </row>
    <row r="94" spans="1:14" ht="30" x14ac:dyDescent="0.2">
      <c r="A94" s="96" t="s">
        <v>2021</v>
      </c>
      <c r="B94" s="93" t="s">
        <v>29</v>
      </c>
      <c r="C94" s="93" t="s">
        <v>30</v>
      </c>
      <c r="D94" s="93" t="s">
        <v>1840</v>
      </c>
      <c r="E94" s="96" t="s">
        <v>37</v>
      </c>
      <c r="F94" s="96" t="s">
        <v>1867</v>
      </c>
      <c r="G94" s="93" t="s">
        <v>2022</v>
      </c>
      <c r="H94" s="97">
        <v>2024</v>
      </c>
      <c r="I94" s="188"/>
      <c r="J94" s="185"/>
      <c r="K94" s="92"/>
      <c r="L94" s="92"/>
      <c r="M94" s="25"/>
      <c r="N94" s="68"/>
    </row>
    <row r="95" spans="1:14" ht="30" x14ac:dyDescent="0.2">
      <c r="A95" s="96" t="s">
        <v>2023</v>
      </c>
      <c r="B95" s="93" t="s">
        <v>29</v>
      </c>
      <c r="C95" s="93" t="s">
        <v>30</v>
      </c>
      <c r="D95" s="93" t="s">
        <v>1840</v>
      </c>
      <c r="E95" s="96" t="s">
        <v>37</v>
      </c>
      <c r="F95" s="96" t="s">
        <v>1846</v>
      </c>
      <c r="G95" s="93" t="s">
        <v>2024</v>
      </c>
      <c r="H95" s="97">
        <v>2024</v>
      </c>
      <c r="I95" s="188"/>
      <c r="J95" s="185"/>
      <c r="K95" s="92"/>
      <c r="L95" s="92"/>
      <c r="M95" s="25"/>
      <c r="N95" s="68"/>
    </row>
    <row r="96" spans="1:14" ht="30" x14ac:dyDescent="0.2">
      <c r="A96" s="96" t="s">
        <v>2025</v>
      </c>
      <c r="B96" s="93" t="s">
        <v>29</v>
      </c>
      <c r="C96" s="93" t="s">
        <v>30</v>
      </c>
      <c r="D96" s="93" t="s">
        <v>1840</v>
      </c>
      <c r="E96" s="96" t="s">
        <v>37</v>
      </c>
      <c r="F96" s="96" t="s">
        <v>1846</v>
      </c>
      <c r="G96" s="93" t="s">
        <v>2026</v>
      </c>
      <c r="H96" s="97">
        <v>2024</v>
      </c>
      <c r="I96" s="188"/>
      <c r="J96" s="185"/>
      <c r="K96" s="92"/>
      <c r="L96" s="92"/>
      <c r="M96" s="25"/>
      <c r="N96" s="68"/>
    </row>
    <row r="97" spans="1:14" ht="30" x14ac:dyDescent="0.2">
      <c r="A97" s="96" t="s">
        <v>2027</v>
      </c>
      <c r="B97" s="93" t="s">
        <v>29</v>
      </c>
      <c r="C97" s="93" t="s">
        <v>30</v>
      </c>
      <c r="D97" s="93" t="s">
        <v>1840</v>
      </c>
      <c r="E97" s="96" t="s">
        <v>37</v>
      </c>
      <c r="F97" s="96" t="s">
        <v>1846</v>
      </c>
      <c r="G97" s="93" t="s">
        <v>2028</v>
      </c>
      <c r="H97" s="97">
        <v>2024</v>
      </c>
      <c r="I97" s="188"/>
      <c r="J97" s="185"/>
      <c r="K97" s="92"/>
      <c r="L97" s="92"/>
      <c r="M97" s="25"/>
      <c r="N97" s="68"/>
    </row>
    <row r="98" spans="1:14" ht="30" x14ac:dyDescent="0.2">
      <c r="A98" s="96" t="s">
        <v>2029</v>
      </c>
      <c r="B98" s="93" t="s">
        <v>29</v>
      </c>
      <c r="C98" s="93" t="s">
        <v>30</v>
      </c>
      <c r="D98" s="93" t="s">
        <v>1840</v>
      </c>
      <c r="E98" s="96" t="s">
        <v>37</v>
      </c>
      <c r="F98" s="96" t="s">
        <v>1846</v>
      </c>
      <c r="G98" s="93" t="s">
        <v>2030</v>
      </c>
      <c r="H98" s="97">
        <v>2024</v>
      </c>
      <c r="I98" s="188"/>
      <c r="J98" s="185"/>
      <c r="K98" s="92"/>
      <c r="L98" s="92"/>
      <c r="M98" s="25"/>
      <c r="N98" s="68"/>
    </row>
    <row r="99" spans="1:14" ht="30" x14ac:dyDescent="0.2">
      <c r="A99" s="96" t="s">
        <v>2031</v>
      </c>
      <c r="B99" s="93" t="s">
        <v>29</v>
      </c>
      <c r="C99" s="93" t="s">
        <v>30</v>
      </c>
      <c r="D99" s="93" t="s">
        <v>1840</v>
      </c>
      <c r="E99" s="96" t="s">
        <v>37</v>
      </c>
      <c r="F99" s="96" t="s">
        <v>1846</v>
      </c>
      <c r="G99" s="93" t="s">
        <v>2032</v>
      </c>
      <c r="H99" s="97">
        <v>2024</v>
      </c>
      <c r="I99" s="188"/>
      <c r="J99" s="185"/>
      <c r="K99" s="92"/>
      <c r="L99" s="92"/>
      <c r="M99" s="25"/>
      <c r="N99" s="68"/>
    </row>
    <row r="100" spans="1:14" ht="30" x14ac:dyDescent="0.2">
      <c r="A100" s="96" t="s">
        <v>2033</v>
      </c>
      <c r="B100" s="93" t="s">
        <v>29</v>
      </c>
      <c r="C100" s="93" t="s">
        <v>30</v>
      </c>
      <c r="D100" s="93" t="s">
        <v>1840</v>
      </c>
      <c r="E100" s="96" t="s">
        <v>37</v>
      </c>
      <c r="F100" s="96" t="s">
        <v>1846</v>
      </c>
      <c r="G100" s="93" t="s">
        <v>2034</v>
      </c>
      <c r="H100" s="97">
        <v>2024</v>
      </c>
      <c r="I100" s="188"/>
      <c r="J100" s="185"/>
      <c r="K100" s="92"/>
      <c r="L100" s="92"/>
      <c r="M100" s="25"/>
      <c r="N100" s="68"/>
    </row>
    <row r="101" spans="1:14" ht="30" x14ac:dyDescent="0.2">
      <c r="A101" s="96" t="s">
        <v>2035</v>
      </c>
      <c r="B101" s="93" t="s">
        <v>29</v>
      </c>
      <c r="C101" s="93" t="s">
        <v>30</v>
      </c>
      <c r="D101" s="93" t="s">
        <v>1840</v>
      </c>
      <c r="E101" s="96" t="s">
        <v>37</v>
      </c>
      <c r="F101" s="96" t="s">
        <v>1846</v>
      </c>
      <c r="G101" s="93" t="s">
        <v>2036</v>
      </c>
      <c r="H101" s="97">
        <v>2024</v>
      </c>
      <c r="I101" s="188"/>
      <c r="J101" s="185"/>
      <c r="K101" s="92"/>
      <c r="L101" s="92"/>
      <c r="M101" s="25"/>
      <c r="N101" s="68"/>
    </row>
    <row r="102" spans="1:14" ht="30" x14ac:dyDescent="0.2">
      <c r="A102" s="96" t="s">
        <v>2037</v>
      </c>
      <c r="B102" s="93" t="s">
        <v>29</v>
      </c>
      <c r="C102" s="93" t="s">
        <v>30</v>
      </c>
      <c r="D102" s="93" t="s">
        <v>1840</v>
      </c>
      <c r="E102" s="96" t="s">
        <v>37</v>
      </c>
      <c r="F102" s="96" t="s">
        <v>1846</v>
      </c>
      <c r="G102" s="93" t="s">
        <v>2038</v>
      </c>
      <c r="H102" s="97">
        <v>2024</v>
      </c>
      <c r="I102" s="188"/>
      <c r="J102" s="185"/>
      <c r="K102" s="92"/>
      <c r="L102" s="92"/>
      <c r="M102" s="25"/>
      <c r="N102" s="68"/>
    </row>
    <row r="103" spans="1:14" ht="30" x14ac:dyDescent="0.2">
      <c r="A103" s="96" t="s">
        <v>2039</v>
      </c>
      <c r="B103" s="93" t="s">
        <v>29</v>
      </c>
      <c r="C103" s="93" t="s">
        <v>30</v>
      </c>
      <c r="D103" s="93" t="s">
        <v>1840</v>
      </c>
      <c r="E103" s="96" t="s">
        <v>37</v>
      </c>
      <c r="F103" s="96" t="s">
        <v>1846</v>
      </c>
      <c r="G103" s="93" t="s">
        <v>2040</v>
      </c>
      <c r="H103" s="97">
        <v>2024</v>
      </c>
      <c r="I103" s="188"/>
      <c r="J103" s="185"/>
      <c r="K103" s="92"/>
      <c r="L103" s="92"/>
      <c r="M103" s="25"/>
      <c r="N103" s="68"/>
    </row>
    <row r="104" spans="1:14" ht="30" x14ac:dyDescent="0.2">
      <c r="A104" s="96" t="s">
        <v>2041</v>
      </c>
      <c r="B104" s="93" t="s">
        <v>29</v>
      </c>
      <c r="C104" s="93" t="s">
        <v>30</v>
      </c>
      <c r="D104" s="93" t="s">
        <v>1840</v>
      </c>
      <c r="E104" s="96" t="s">
        <v>37</v>
      </c>
      <c r="F104" s="96" t="s">
        <v>1846</v>
      </c>
      <c r="G104" s="93" t="s">
        <v>2042</v>
      </c>
      <c r="H104" s="97">
        <v>2024</v>
      </c>
      <c r="I104" s="188"/>
      <c r="J104" s="185"/>
      <c r="K104" s="92"/>
      <c r="L104" s="92"/>
      <c r="M104" s="25"/>
      <c r="N104" s="68"/>
    </row>
    <row r="105" spans="1:14" ht="30" x14ac:dyDescent="0.2">
      <c r="A105" s="96" t="s">
        <v>2043</v>
      </c>
      <c r="B105" s="93" t="s">
        <v>29</v>
      </c>
      <c r="C105" s="93" t="s">
        <v>30</v>
      </c>
      <c r="D105" s="93" t="s">
        <v>1840</v>
      </c>
      <c r="E105" s="96" t="s">
        <v>37</v>
      </c>
      <c r="F105" s="96" t="s">
        <v>1846</v>
      </c>
      <c r="G105" s="93" t="s">
        <v>2044</v>
      </c>
      <c r="H105" s="97">
        <v>2024</v>
      </c>
      <c r="I105" s="188"/>
      <c r="J105" s="185"/>
      <c r="K105" s="92"/>
      <c r="L105" s="92"/>
      <c r="M105" s="25"/>
      <c r="N105" s="68"/>
    </row>
    <row r="106" spans="1:14" ht="30" x14ac:dyDescent="0.2">
      <c r="A106" s="96" t="s">
        <v>2045</v>
      </c>
      <c r="B106" s="93" t="s">
        <v>29</v>
      </c>
      <c r="C106" s="93" t="s">
        <v>30</v>
      </c>
      <c r="D106" s="93" t="s">
        <v>1884</v>
      </c>
      <c r="E106" s="96" t="s">
        <v>37</v>
      </c>
      <c r="F106" s="96" t="s">
        <v>1846</v>
      </c>
      <c r="G106" s="93" t="s">
        <v>2046</v>
      </c>
      <c r="H106" s="97">
        <v>2024</v>
      </c>
      <c r="I106" s="188"/>
      <c r="J106" s="185"/>
      <c r="K106" s="92"/>
      <c r="L106" s="92"/>
      <c r="M106" s="25"/>
      <c r="N106" s="68"/>
    </row>
    <row r="107" spans="1:14" ht="30" x14ac:dyDescent="0.2">
      <c r="A107" s="96" t="s">
        <v>2047</v>
      </c>
      <c r="B107" s="93" t="s">
        <v>29</v>
      </c>
      <c r="C107" s="93" t="s">
        <v>30</v>
      </c>
      <c r="D107" s="93" t="s">
        <v>1884</v>
      </c>
      <c r="E107" s="96" t="s">
        <v>37</v>
      </c>
      <c r="F107" s="96" t="s">
        <v>1846</v>
      </c>
      <c r="G107" s="93" t="s">
        <v>2048</v>
      </c>
      <c r="H107" s="97">
        <v>2024</v>
      </c>
      <c r="I107" s="188"/>
      <c r="J107" s="185"/>
      <c r="K107" s="92"/>
      <c r="L107" s="92"/>
      <c r="M107" s="25"/>
      <c r="N107" s="68"/>
    </row>
    <row r="108" spans="1:14" ht="30" x14ac:dyDescent="0.2">
      <c r="A108" s="96" t="s">
        <v>2049</v>
      </c>
      <c r="B108" s="93" t="s">
        <v>29</v>
      </c>
      <c r="C108" s="93" t="s">
        <v>30</v>
      </c>
      <c r="D108" s="93" t="s">
        <v>1884</v>
      </c>
      <c r="E108" s="96" t="s">
        <v>37</v>
      </c>
      <c r="F108" s="96" t="s">
        <v>1846</v>
      </c>
      <c r="G108" s="93" t="s">
        <v>2050</v>
      </c>
      <c r="H108" s="97">
        <v>2024</v>
      </c>
      <c r="I108" s="188"/>
      <c r="J108" s="185"/>
      <c r="K108" s="92"/>
      <c r="L108" s="92"/>
      <c r="M108" s="25"/>
      <c r="N108" s="68"/>
    </row>
    <row r="109" spans="1:14" ht="30" x14ac:dyDescent="0.2">
      <c r="A109" s="96" t="s">
        <v>2051</v>
      </c>
      <c r="B109" s="93" t="s">
        <v>29</v>
      </c>
      <c r="C109" s="93" t="s">
        <v>30</v>
      </c>
      <c r="D109" s="93" t="s">
        <v>1884</v>
      </c>
      <c r="E109" s="96" t="s">
        <v>37</v>
      </c>
      <c r="F109" s="96" t="s">
        <v>1846</v>
      </c>
      <c r="G109" s="93" t="s">
        <v>2052</v>
      </c>
      <c r="H109" s="97">
        <v>2024</v>
      </c>
      <c r="I109" s="188"/>
      <c r="J109" s="185"/>
      <c r="K109" s="92"/>
      <c r="L109" s="92"/>
      <c r="M109" s="25"/>
      <c r="N109" s="68"/>
    </row>
    <row r="110" spans="1:14" ht="60" x14ac:dyDescent="0.2">
      <c r="A110" s="96" t="s">
        <v>2053</v>
      </c>
      <c r="B110" s="93" t="s">
        <v>29</v>
      </c>
      <c r="C110" s="93" t="s">
        <v>30</v>
      </c>
      <c r="D110" s="93" t="s">
        <v>1901</v>
      </c>
      <c r="E110" s="96" t="s">
        <v>37</v>
      </c>
      <c r="F110" s="96" t="s">
        <v>148</v>
      </c>
      <c r="G110" s="93" t="s">
        <v>2054</v>
      </c>
      <c r="H110" s="97">
        <v>2024</v>
      </c>
      <c r="I110" s="188"/>
      <c r="J110" s="185"/>
      <c r="K110" s="92"/>
      <c r="L110" s="92"/>
      <c r="M110" s="25"/>
      <c r="N110" s="68"/>
    </row>
    <row r="111" spans="1:14" ht="90" x14ac:dyDescent="0.2">
      <c r="A111" s="96" t="s">
        <v>2055</v>
      </c>
      <c r="B111" s="93" t="s">
        <v>29</v>
      </c>
      <c r="C111" s="93" t="s">
        <v>30</v>
      </c>
      <c r="D111" s="93" t="s">
        <v>1910</v>
      </c>
      <c r="E111" s="96" t="s">
        <v>37</v>
      </c>
      <c r="F111" s="96" t="s">
        <v>148</v>
      </c>
      <c r="G111" s="93" t="s">
        <v>2056</v>
      </c>
      <c r="H111" s="97">
        <v>2024</v>
      </c>
      <c r="I111" s="188"/>
      <c r="J111" s="185"/>
      <c r="K111" s="92"/>
      <c r="L111" s="92"/>
      <c r="M111" s="25"/>
      <c r="N111" s="68"/>
    </row>
    <row r="112" spans="1:14" ht="30" x14ac:dyDescent="0.2">
      <c r="A112" s="96" t="s">
        <v>2057</v>
      </c>
      <c r="B112" s="93" t="s">
        <v>29</v>
      </c>
      <c r="C112" s="93" t="s">
        <v>30</v>
      </c>
      <c r="D112" s="93" t="s">
        <v>1910</v>
      </c>
      <c r="E112" s="96" t="s">
        <v>37</v>
      </c>
      <c r="F112" s="96" t="s">
        <v>148</v>
      </c>
      <c r="G112" s="93" t="s">
        <v>2058</v>
      </c>
      <c r="H112" s="97">
        <v>2024</v>
      </c>
      <c r="I112" s="188"/>
      <c r="J112" s="185"/>
      <c r="K112" s="92"/>
      <c r="L112" s="92"/>
      <c r="M112" s="25"/>
      <c r="N112" s="68"/>
    </row>
    <row r="113" spans="1:14" ht="30" x14ac:dyDescent="0.2">
      <c r="A113" s="96" t="s">
        <v>2059</v>
      </c>
      <c r="B113" s="93" t="s">
        <v>29</v>
      </c>
      <c r="C113" s="93" t="s">
        <v>30</v>
      </c>
      <c r="D113" s="93" t="s">
        <v>1910</v>
      </c>
      <c r="E113" s="96" t="s">
        <v>37</v>
      </c>
      <c r="F113" s="96" t="s">
        <v>148</v>
      </c>
      <c r="G113" s="93" t="s">
        <v>2060</v>
      </c>
      <c r="H113" s="97">
        <v>2024</v>
      </c>
      <c r="I113" s="188"/>
      <c r="J113" s="185"/>
      <c r="K113" s="92"/>
      <c r="L113" s="92"/>
      <c r="M113" s="25"/>
      <c r="N113" s="68"/>
    </row>
    <row r="114" spans="1:14" ht="30" x14ac:dyDescent="0.2">
      <c r="A114" s="96" t="s">
        <v>2061</v>
      </c>
      <c r="B114" s="93" t="s">
        <v>29</v>
      </c>
      <c r="C114" s="93" t="s">
        <v>30</v>
      </c>
      <c r="D114" s="93" t="s">
        <v>1910</v>
      </c>
      <c r="E114" s="96" t="s">
        <v>37</v>
      </c>
      <c r="F114" s="96" t="s">
        <v>148</v>
      </c>
      <c r="G114" s="93" t="s">
        <v>2062</v>
      </c>
      <c r="H114" s="97">
        <v>2024</v>
      </c>
      <c r="I114" s="188"/>
      <c r="J114" s="185"/>
      <c r="K114" s="92"/>
      <c r="L114" s="92"/>
      <c r="M114" s="25"/>
      <c r="N114" s="68"/>
    </row>
    <row r="115" spans="1:14" ht="30" x14ac:dyDescent="0.2">
      <c r="A115" s="96" t="s">
        <v>2063</v>
      </c>
      <c r="B115" s="93" t="s">
        <v>29</v>
      </c>
      <c r="C115" s="93" t="s">
        <v>30</v>
      </c>
      <c r="D115" s="93" t="s">
        <v>1910</v>
      </c>
      <c r="E115" s="96" t="s">
        <v>37</v>
      </c>
      <c r="F115" s="96" t="s">
        <v>148</v>
      </c>
      <c r="G115" s="93" t="s">
        <v>2064</v>
      </c>
      <c r="H115" s="97">
        <v>2024</v>
      </c>
      <c r="I115" s="188"/>
      <c r="J115" s="185"/>
      <c r="K115" s="92"/>
      <c r="L115" s="92"/>
      <c r="M115" s="25"/>
      <c r="N115" s="68"/>
    </row>
    <row r="116" spans="1:14" ht="30" x14ac:dyDescent="0.2">
      <c r="A116" s="96" t="s">
        <v>2065</v>
      </c>
      <c r="B116" s="93" t="s">
        <v>29</v>
      </c>
      <c r="C116" s="93" t="s">
        <v>30</v>
      </c>
      <c r="D116" s="93" t="s">
        <v>1910</v>
      </c>
      <c r="E116" s="96" t="s">
        <v>54</v>
      </c>
      <c r="F116" s="96" t="s">
        <v>165</v>
      </c>
      <c r="G116" s="93" t="s">
        <v>2066</v>
      </c>
      <c r="H116" s="97">
        <v>2024</v>
      </c>
      <c r="I116" s="188"/>
      <c r="J116" s="185"/>
      <c r="K116" s="92"/>
      <c r="L116" s="92"/>
      <c r="M116" s="25"/>
      <c r="N116" s="68"/>
    </row>
    <row r="117" spans="1:14" ht="60" x14ac:dyDescent="0.2">
      <c r="A117" s="96" t="s">
        <v>2067</v>
      </c>
      <c r="B117" s="93" t="s">
        <v>29</v>
      </c>
      <c r="C117" s="93" t="s">
        <v>30</v>
      </c>
      <c r="D117" s="93" t="s">
        <v>1910</v>
      </c>
      <c r="E117" s="96" t="s">
        <v>54</v>
      </c>
      <c r="F117" s="96" t="s">
        <v>165</v>
      </c>
      <c r="G117" s="93" t="s">
        <v>2068</v>
      </c>
      <c r="H117" s="97">
        <v>2024</v>
      </c>
      <c r="I117" s="188"/>
      <c r="J117" s="185"/>
      <c r="K117" s="92"/>
      <c r="L117" s="92"/>
      <c r="M117" s="25"/>
      <c r="N117" s="68"/>
    </row>
    <row r="118" spans="1:14" ht="60" x14ac:dyDescent="0.2">
      <c r="A118" s="96" t="s">
        <v>2069</v>
      </c>
      <c r="B118" s="93" t="s">
        <v>29</v>
      </c>
      <c r="C118" s="93" t="s">
        <v>30</v>
      </c>
      <c r="D118" s="93" t="s">
        <v>1910</v>
      </c>
      <c r="E118" s="96" t="s">
        <v>54</v>
      </c>
      <c r="F118" s="96" t="s">
        <v>165</v>
      </c>
      <c r="G118" s="93" t="s">
        <v>2070</v>
      </c>
      <c r="H118" s="97">
        <v>2024</v>
      </c>
      <c r="I118" s="188"/>
      <c r="J118" s="185"/>
      <c r="K118" s="92"/>
      <c r="L118" s="92"/>
      <c r="M118" s="25"/>
      <c r="N118" s="68"/>
    </row>
    <row r="119" spans="1:14" ht="60" x14ac:dyDescent="0.2">
      <c r="A119" s="96" t="s">
        <v>2071</v>
      </c>
      <c r="B119" s="93" t="s">
        <v>29</v>
      </c>
      <c r="C119" s="93" t="s">
        <v>30</v>
      </c>
      <c r="D119" s="93" t="s">
        <v>1910</v>
      </c>
      <c r="E119" s="96" t="s">
        <v>37</v>
      </c>
      <c r="F119" s="96" t="s">
        <v>148</v>
      </c>
      <c r="G119" s="93" t="s">
        <v>2072</v>
      </c>
      <c r="H119" s="97">
        <v>2024</v>
      </c>
      <c r="I119" s="188"/>
      <c r="J119" s="185"/>
      <c r="K119" s="92"/>
      <c r="L119" s="92"/>
      <c r="M119" s="25"/>
      <c r="N119" s="68"/>
    </row>
    <row r="120" spans="1:14" ht="30" x14ac:dyDescent="0.2">
      <c r="A120" s="96" t="s">
        <v>2073</v>
      </c>
      <c r="B120" s="93" t="s">
        <v>29</v>
      </c>
      <c r="C120" s="93" t="s">
        <v>30</v>
      </c>
      <c r="D120" s="93" t="s">
        <v>1840</v>
      </c>
      <c r="E120" s="96" t="s">
        <v>37</v>
      </c>
      <c r="F120" s="96" t="s">
        <v>1846</v>
      </c>
      <c r="G120" s="93" t="s">
        <v>2074</v>
      </c>
      <c r="H120" s="97">
        <v>2025</v>
      </c>
      <c r="I120" s="188"/>
      <c r="J120" s="185"/>
      <c r="K120" s="92"/>
      <c r="L120" s="92"/>
      <c r="M120" s="25"/>
      <c r="N120" s="68"/>
    </row>
    <row r="121" spans="1:14" ht="30" x14ac:dyDescent="0.2">
      <c r="A121" s="96" t="s">
        <v>2075</v>
      </c>
      <c r="B121" s="93" t="s">
        <v>29</v>
      </c>
      <c r="C121" s="93" t="s">
        <v>30</v>
      </c>
      <c r="D121" s="93" t="s">
        <v>1840</v>
      </c>
      <c r="E121" s="96" t="s">
        <v>37</v>
      </c>
      <c r="F121" s="96" t="s">
        <v>1846</v>
      </c>
      <c r="G121" s="93" t="s">
        <v>2076</v>
      </c>
      <c r="H121" s="97">
        <v>2025</v>
      </c>
      <c r="I121" s="188"/>
      <c r="J121" s="185"/>
      <c r="K121" s="92"/>
      <c r="L121" s="92"/>
      <c r="M121" s="25"/>
      <c r="N121" s="68"/>
    </row>
    <row r="122" spans="1:14" ht="30" x14ac:dyDescent="0.2">
      <c r="A122" s="96" t="s">
        <v>2077</v>
      </c>
      <c r="B122" s="93" t="s">
        <v>29</v>
      </c>
      <c r="C122" s="93" t="s">
        <v>30</v>
      </c>
      <c r="D122" s="93" t="s">
        <v>1840</v>
      </c>
      <c r="E122" s="96" t="s">
        <v>37</v>
      </c>
      <c r="F122" s="96" t="s">
        <v>148</v>
      </c>
      <c r="G122" s="93" t="s">
        <v>2078</v>
      </c>
      <c r="H122" s="97">
        <v>2025</v>
      </c>
      <c r="I122" s="188"/>
      <c r="J122" s="185"/>
      <c r="K122" s="92"/>
      <c r="L122" s="92"/>
      <c r="M122" s="25"/>
      <c r="N122" s="68"/>
    </row>
    <row r="123" spans="1:14" ht="30" x14ac:dyDescent="0.2">
      <c r="A123" s="96" t="s">
        <v>2079</v>
      </c>
      <c r="B123" s="93" t="s">
        <v>29</v>
      </c>
      <c r="C123" s="93" t="s">
        <v>30</v>
      </c>
      <c r="D123" s="93" t="s">
        <v>1840</v>
      </c>
      <c r="E123" s="96" t="s">
        <v>37</v>
      </c>
      <c r="F123" s="96" t="s">
        <v>1867</v>
      </c>
      <c r="G123" s="93" t="s">
        <v>2080</v>
      </c>
      <c r="H123" s="97">
        <v>2025</v>
      </c>
      <c r="I123" s="188"/>
      <c r="J123" s="185"/>
      <c r="K123" s="92"/>
      <c r="L123" s="92"/>
      <c r="M123" s="25"/>
      <c r="N123" s="68"/>
    </row>
    <row r="124" spans="1:14" ht="30" x14ac:dyDescent="0.2">
      <c r="A124" s="96" t="s">
        <v>2081</v>
      </c>
      <c r="B124" s="93" t="s">
        <v>29</v>
      </c>
      <c r="C124" s="93" t="s">
        <v>30</v>
      </c>
      <c r="D124" s="93" t="s">
        <v>1840</v>
      </c>
      <c r="E124" s="96" t="s">
        <v>37</v>
      </c>
      <c r="F124" s="96" t="s">
        <v>1867</v>
      </c>
      <c r="G124" s="93" t="s">
        <v>2082</v>
      </c>
      <c r="H124" s="97">
        <v>2025</v>
      </c>
      <c r="I124" s="188"/>
      <c r="J124" s="185"/>
      <c r="K124" s="92"/>
      <c r="L124" s="92"/>
      <c r="M124" s="25"/>
      <c r="N124" s="68"/>
    </row>
    <row r="125" spans="1:14" ht="30" x14ac:dyDescent="0.2">
      <c r="A125" s="96" t="s">
        <v>2083</v>
      </c>
      <c r="B125" s="93" t="s">
        <v>29</v>
      </c>
      <c r="C125" s="93" t="s">
        <v>30</v>
      </c>
      <c r="D125" s="93" t="s">
        <v>1840</v>
      </c>
      <c r="E125" s="96" t="s">
        <v>37</v>
      </c>
      <c r="F125" s="96" t="s">
        <v>1846</v>
      </c>
      <c r="G125" s="93" t="s">
        <v>2084</v>
      </c>
      <c r="H125" s="97">
        <v>2025</v>
      </c>
      <c r="I125" s="188"/>
      <c r="J125" s="185"/>
      <c r="K125" s="92"/>
      <c r="L125" s="92"/>
      <c r="M125" s="25"/>
      <c r="N125" s="68"/>
    </row>
    <row r="126" spans="1:14" ht="30" x14ac:dyDescent="0.2">
      <c r="A126" s="96" t="s">
        <v>2085</v>
      </c>
      <c r="B126" s="93" t="s">
        <v>29</v>
      </c>
      <c r="C126" s="93" t="s">
        <v>30</v>
      </c>
      <c r="D126" s="93" t="s">
        <v>1840</v>
      </c>
      <c r="E126" s="96" t="s">
        <v>37</v>
      </c>
      <c r="F126" s="96" t="s">
        <v>1846</v>
      </c>
      <c r="G126" s="93" t="s">
        <v>2086</v>
      </c>
      <c r="H126" s="97">
        <v>2025</v>
      </c>
      <c r="I126" s="188"/>
      <c r="J126" s="185"/>
      <c r="K126" s="92"/>
      <c r="L126" s="92"/>
      <c r="M126" s="25"/>
      <c r="N126" s="68"/>
    </row>
    <row r="127" spans="1:14" ht="30" x14ac:dyDescent="0.2">
      <c r="A127" s="96" t="s">
        <v>2087</v>
      </c>
      <c r="B127" s="93" t="s">
        <v>29</v>
      </c>
      <c r="C127" s="93" t="s">
        <v>30</v>
      </c>
      <c r="D127" s="93" t="s">
        <v>1840</v>
      </c>
      <c r="E127" s="96" t="s">
        <v>37</v>
      </c>
      <c r="F127" s="96" t="s">
        <v>1846</v>
      </c>
      <c r="G127" s="93" t="s">
        <v>2088</v>
      </c>
      <c r="H127" s="97">
        <v>2025</v>
      </c>
      <c r="I127" s="188"/>
      <c r="J127" s="185"/>
      <c r="K127" s="92"/>
      <c r="L127" s="92"/>
      <c r="M127" s="25"/>
      <c r="N127" s="68"/>
    </row>
    <row r="128" spans="1:14" ht="30" x14ac:dyDescent="0.2">
      <c r="A128" s="96" t="s">
        <v>2089</v>
      </c>
      <c r="B128" s="93" t="s">
        <v>29</v>
      </c>
      <c r="C128" s="93" t="s">
        <v>30</v>
      </c>
      <c r="D128" s="93" t="s">
        <v>1840</v>
      </c>
      <c r="E128" s="96" t="s">
        <v>37</v>
      </c>
      <c r="F128" s="96" t="s">
        <v>1846</v>
      </c>
      <c r="G128" s="93" t="s">
        <v>2090</v>
      </c>
      <c r="H128" s="97">
        <v>2025</v>
      </c>
      <c r="I128" s="188"/>
      <c r="J128" s="185"/>
      <c r="K128" s="92"/>
      <c r="L128" s="92"/>
      <c r="M128" s="25"/>
      <c r="N128" s="68"/>
    </row>
    <row r="129" spans="1:14" ht="30" x14ac:dyDescent="0.2">
      <c r="A129" s="96" t="s">
        <v>2091</v>
      </c>
      <c r="B129" s="93" t="s">
        <v>29</v>
      </c>
      <c r="C129" s="93" t="s">
        <v>30</v>
      </c>
      <c r="D129" s="93" t="s">
        <v>1840</v>
      </c>
      <c r="E129" s="96" t="s">
        <v>37</v>
      </c>
      <c r="F129" s="96" t="s">
        <v>1846</v>
      </c>
      <c r="G129" s="93" t="s">
        <v>2092</v>
      </c>
      <c r="H129" s="97">
        <v>2025</v>
      </c>
      <c r="I129" s="188"/>
      <c r="J129" s="185"/>
      <c r="K129" s="92"/>
      <c r="L129" s="92"/>
      <c r="M129" s="25"/>
      <c r="N129" s="68"/>
    </row>
    <row r="130" spans="1:14" ht="30" x14ac:dyDescent="0.2">
      <c r="A130" s="96" t="s">
        <v>2093</v>
      </c>
      <c r="B130" s="93" t="s">
        <v>29</v>
      </c>
      <c r="C130" s="93" t="s">
        <v>30</v>
      </c>
      <c r="D130" s="93" t="s">
        <v>1840</v>
      </c>
      <c r="E130" s="96" t="s">
        <v>37</v>
      </c>
      <c r="F130" s="96" t="s">
        <v>1846</v>
      </c>
      <c r="G130" s="93" t="s">
        <v>2094</v>
      </c>
      <c r="H130" s="97">
        <v>2025</v>
      </c>
      <c r="I130" s="188"/>
      <c r="J130" s="185"/>
      <c r="K130" s="92"/>
      <c r="L130" s="92"/>
      <c r="M130" s="25"/>
      <c r="N130" s="68"/>
    </row>
    <row r="131" spans="1:14" ht="30" x14ac:dyDescent="0.2">
      <c r="A131" s="96" t="s">
        <v>2095</v>
      </c>
      <c r="B131" s="93" t="s">
        <v>29</v>
      </c>
      <c r="C131" s="93" t="s">
        <v>30</v>
      </c>
      <c r="D131" s="93" t="s">
        <v>1840</v>
      </c>
      <c r="E131" s="96" t="s">
        <v>37</v>
      </c>
      <c r="F131" s="96" t="s">
        <v>1846</v>
      </c>
      <c r="G131" s="93" t="s">
        <v>2096</v>
      </c>
      <c r="H131" s="97">
        <v>2025</v>
      </c>
      <c r="I131" s="188"/>
      <c r="J131" s="185"/>
      <c r="K131" s="92"/>
      <c r="L131" s="92"/>
      <c r="M131" s="25"/>
      <c r="N131" s="68"/>
    </row>
    <row r="132" spans="1:14" ht="30" x14ac:dyDescent="0.2">
      <c r="A132" s="96" t="s">
        <v>2097</v>
      </c>
      <c r="B132" s="93" t="s">
        <v>29</v>
      </c>
      <c r="C132" s="93" t="s">
        <v>30</v>
      </c>
      <c r="D132" s="93" t="s">
        <v>1840</v>
      </c>
      <c r="E132" s="96" t="s">
        <v>37</v>
      </c>
      <c r="F132" s="96" t="s">
        <v>1846</v>
      </c>
      <c r="G132" s="93" t="s">
        <v>2098</v>
      </c>
      <c r="H132" s="97">
        <v>2025</v>
      </c>
      <c r="I132" s="188"/>
      <c r="J132" s="185"/>
      <c r="K132" s="92"/>
      <c r="L132" s="92"/>
      <c r="M132" s="25"/>
      <c r="N132" s="68"/>
    </row>
    <row r="133" spans="1:14" ht="30" x14ac:dyDescent="0.2">
      <c r="A133" s="96" t="s">
        <v>2099</v>
      </c>
      <c r="B133" s="93" t="s">
        <v>29</v>
      </c>
      <c r="C133" s="93" t="s">
        <v>30</v>
      </c>
      <c r="D133" s="93" t="s">
        <v>1840</v>
      </c>
      <c r="E133" s="96" t="s">
        <v>37</v>
      </c>
      <c r="F133" s="96" t="s">
        <v>1846</v>
      </c>
      <c r="G133" s="93" t="s">
        <v>2100</v>
      </c>
      <c r="H133" s="97">
        <v>2025</v>
      </c>
      <c r="I133" s="188"/>
      <c r="J133" s="185"/>
      <c r="K133" s="92"/>
      <c r="L133" s="92"/>
      <c r="M133" s="25"/>
      <c r="N133" s="68"/>
    </row>
    <row r="134" spans="1:14" ht="30" x14ac:dyDescent="0.2">
      <c r="A134" s="96" t="s">
        <v>2101</v>
      </c>
      <c r="B134" s="93" t="s">
        <v>29</v>
      </c>
      <c r="C134" s="93" t="s">
        <v>30</v>
      </c>
      <c r="D134" s="93" t="s">
        <v>1840</v>
      </c>
      <c r="E134" s="96" t="s">
        <v>37</v>
      </c>
      <c r="F134" s="96" t="s">
        <v>1846</v>
      </c>
      <c r="G134" s="93" t="s">
        <v>2102</v>
      </c>
      <c r="H134" s="97">
        <v>2025</v>
      </c>
      <c r="I134" s="188"/>
      <c r="J134" s="185"/>
      <c r="K134" s="92"/>
      <c r="L134" s="92"/>
      <c r="M134" s="25"/>
      <c r="N134" s="68"/>
    </row>
    <row r="135" spans="1:14" ht="30" x14ac:dyDescent="0.2">
      <c r="A135" s="96" t="s">
        <v>2103</v>
      </c>
      <c r="B135" s="93" t="s">
        <v>29</v>
      </c>
      <c r="C135" s="93" t="s">
        <v>30</v>
      </c>
      <c r="D135" s="93" t="s">
        <v>1840</v>
      </c>
      <c r="E135" s="96" t="s">
        <v>37</v>
      </c>
      <c r="F135" s="96" t="s">
        <v>1846</v>
      </c>
      <c r="G135" s="93" t="s">
        <v>2104</v>
      </c>
      <c r="H135" s="97">
        <v>2025</v>
      </c>
      <c r="I135" s="188"/>
      <c r="J135" s="185"/>
      <c r="K135" s="92"/>
      <c r="L135" s="92"/>
      <c r="M135" s="25"/>
      <c r="N135" s="68"/>
    </row>
    <row r="136" spans="1:14" ht="30" x14ac:dyDescent="0.2">
      <c r="A136" s="96" t="s">
        <v>2105</v>
      </c>
      <c r="B136" s="93" t="s">
        <v>29</v>
      </c>
      <c r="C136" s="93" t="s">
        <v>30</v>
      </c>
      <c r="D136" s="93" t="s">
        <v>1840</v>
      </c>
      <c r="E136" s="96" t="s">
        <v>37</v>
      </c>
      <c r="F136" s="96" t="s">
        <v>1846</v>
      </c>
      <c r="G136" s="93" t="s">
        <v>2106</v>
      </c>
      <c r="H136" s="97">
        <v>2025</v>
      </c>
      <c r="I136" s="188"/>
      <c r="J136" s="185"/>
      <c r="K136" s="92"/>
      <c r="L136" s="92"/>
      <c r="M136" s="25"/>
      <c r="N136" s="68"/>
    </row>
    <row r="137" spans="1:14" ht="30" x14ac:dyDescent="0.2">
      <c r="A137" s="96" t="s">
        <v>2107</v>
      </c>
      <c r="B137" s="93" t="s">
        <v>29</v>
      </c>
      <c r="C137" s="93" t="s">
        <v>30</v>
      </c>
      <c r="D137" s="93" t="s">
        <v>1884</v>
      </c>
      <c r="E137" s="96" t="s">
        <v>37</v>
      </c>
      <c r="F137" s="96" t="s">
        <v>1846</v>
      </c>
      <c r="G137" s="93" t="s">
        <v>2108</v>
      </c>
      <c r="H137" s="97">
        <v>2025</v>
      </c>
      <c r="I137" s="188"/>
      <c r="J137" s="185"/>
      <c r="K137" s="92"/>
      <c r="L137" s="92"/>
      <c r="M137" s="25"/>
      <c r="N137" s="68"/>
    </row>
    <row r="138" spans="1:14" ht="30" x14ac:dyDescent="0.2">
      <c r="A138" s="96" t="s">
        <v>2109</v>
      </c>
      <c r="B138" s="93" t="s">
        <v>29</v>
      </c>
      <c r="C138" s="93" t="s">
        <v>30</v>
      </c>
      <c r="D138" s="93" t="s">
        <v>1884</v>
      </c>
      <c r="E138" s="96" t="s">
        <v>37</v>
      </c>
      <c r="F138" s="96" t="s">
        <v>1846</v>
      </c>
      <c r="G138" s="93" t="s">
        <v>2110</v>
      </c>
      <c r="H138" s="97">
        <v>2025</v>
      </c>
      <c r="I138" s="188"/>
      <c r="J138" s="185"/>
      <c r="K138" s="92"/>
      <c r="L138" s="92"/>
      <c r="M138" s="25"/>
      <c r="N138" s="68"/>
    </row>
    <row r="139" spans="1:14" ht="30" x14ac:dyDescent="0.2">
      <c r="A139" s="96" t="s">
        <v>2111</v>
      </c>
      <c r="B139" s="93" t="s">
        <v>29</v>
      </c>
      <c r="C139" s="93" t="s">
        <v>30</v>
      </c>
      <c r="D139" s="93" t="s">
        <v>1884</v>
      </c>
      <c r="E139" s="96" t="s">
        <v>37</v>
      </c>
      <c r="F139" s="96" t="s">
        <v>1846</v>
      </c>
      <c r="G139" s="93" t="s">
        <v>2112</v>
      </c>
      <c r="H139" s="97">
        <v>2025</v>
      </c>
      <c r="I139" s="188"/>
      <c r="J139" s="185"/>
      <c r="K139" s="92"/>
      <c r="L139" s="92"/>
      <c r="M139" s="25"/>
      <c r="N139" s="68"/>
    </row>
    <row r="140" spans="1:14" ht="30" x14ac:dyDescent="0.2">
      <c r="A140" s="96" t="s">
        <v>2113</v>
      </c>
      <c r="B140" s="93" t="s">
        <v>29</v>
      </c>
      <c r="C140" s="93" t="s">
        <v>30</v>
      </c>
      <c r="D140" s="93" t="s">
        <v>1884</v>
      </c>
      <c r="E140" s="96" t="s">
        <v>37</v>
      </c>
      <c r="F140" s="96" t="s">
        <v>1846</v>
      </c>
      <c r="G140" s="93" t="s">
        <v>2114</v>
      </c>
      <c r="H140" s="97">
        <v>2025</v>
      </c>
      <c r="I140" s="188"/>
      <c r="J140" s="185"/>
      <c r="K140" s="92"/>
      <c r="L140" s="92"/>
      <c r="M140" s="25"/>
      <c r="N140" s="68"/>
    </row>
    <row r="141" spans="1:14" ht="30" x14ac:dyDescent="0.2">
      <c r="A141" s="96" t="s">
        <v>2115</v>
      </c>
      <c r="B141" s="93" t="s">
        <v>29</v>
      </c>
      <c r="C141" s="93" t="s">
        <v>30</v>
      </c>
      <c r="D141" s="93" t="s">
        <v>1884</v>
      </c>
      <c r="E141" s="96" t="s">
        <v>37</v>
      </c>
      <c r="F141" s="96" t="s">
        <v>1846</v>
      </c>
      <c r="G141" s="93" t="s">
        <v>2116</v>
      </c>
      <c r="H141" s="97">
        <v>2025</v>
      </c>
      <c r="I141" s="188"/>
      <c r="J141" s="185"/>
      <c r="K141" s="92"/>
      <c r="L141" s="92"/>
      <c r="M141" s="25"/>
      <c r="N141" s="68"/>
    </row>
    <row r="142" spans="1:14" ht="30" x14ac:dyDescent="0.2">
      <c r="A142" s="96" t="s">
        <v>2117</v>
      </c>
      <c r="B142" s="93" t="s">
        <v>29</v>
      </c>
      <c r="C142" s="93" t="s">
        <v>30</v>
      </c>
      <c r="D142" s="93" t="s">
        <v>1884</v>
      </c>
      <c r="E142" s="96" t="s">
        <v>37</v>
      </c>
      <c r="F142" s="96" t="s">
        <v>1846</v>
      </c>
      <c r="G142" s="93" t="s">
        <v>2118</v>
      </c>
      <c r="H142" s="97">
        <v>2025</v>
      </c>
      <c r="I142" s="188"/>
      <c r="J142" s="185"/>
      <c r="K142" s="92"/>
      <c r="L142" s="92"/>
      <c r="M142" s="25"/>
      <c r="N142" s="68"/>
    </row>
    <row r="143" spans="1:14" ht="30" x14ac:dyDescent="0.2">
      <c r="A143" s="96" t="s">
        <v>2119</v>
      </c>
      <c r="B143" s="93" t="s">
        <v>29</v>
      </c>
      <c r="C143" s="93" t="s">
        <v>30</v>
      </c>
      <c r="D143" s="93" t="s">
        <v>1910</v>
      </c>
      <c r="E143" s="96" t="s">
        <v>54</v>
      </c>
      <c r="F143" s="96" t="s">
        <v>165</v>
      </c>
      <c r="G143" s="93" t="s">
        <v>2120</v>
      </c>
      <c r="H143" s="97">
        <v>2025</v>
      </c>
      <c r="I143" s="188"/>
      <c r="J143" s="185"/>
      <c r="K143" s="92"/>
      <c r="L143" s="92"/>
      <c r="M143" s="25"/>
      <c r="N143" s="68"/>
    </row>
    <row r="144" spans="1:14" ht="30" x14ac:dyDescent="0.2">
      <c r="A144" s="96" t="s">
        <v>2121</v>
      </c>
      <c r="B144" s="93" t="s">
        <v>29</v>
      </c>
      <c r="C144" s="93" t="s">
        <v>30</v>
      </c>
      <c r="D144" s="93" t="s">
        <v>1910</v>
      </c>
      <c r="E144" s="96" t="s">
        <v>37</v>
      </c>
      <c r="F144" s="96" t="s">
        <v>148</v>
      </c>
      <c r="G144" s="93" t="s">
        <v>2122</v>
      </c>
      <c r="H144" s="97">
        <v>2025</v>
      </c>
      <c r="I144" s="188"/>
      <c r="J144" s="185"/>
      <c r="K144" s="92"/>
      <c r="L144" s="92"/>
      <c r="M144" s="25"/>
      <c r="N144" s="68"/>
    </row>
    <row r="145" spans="1:14" ht="30" x14ac:dyDescent="0.2">
      <c r="A145" s="96" t="s">
        <v>2123</v>
      </c>
      <c r="B145" s="93" t="s">
        <v>29</v>
      </c>
      <c r="C145" s="93" t="s">
        <v>30</v>
      </c>
      <c r="D145" s="93" t="s">
        <v>1910</v>
      </c>
      <c r="E145" s="96" t="s">
        <v>37</v>
      </c>
      <c r="F145" s="96" t="s">
        <v>148</v>
      </c>
      <c r="G145" s="93" t="s">
        <v>2124</v>
      </c>
      <c r="H145" s="97">
        <v>2025</v>
      </c>
      <c r="I145" s="188"/>
      <c r="J145" s="185"/>
      <c r="K145" s="92"/>
      <c r="L145" s="92"/>
      <c r="M145" s="25"/>
      <c r="N145" s="68"/>
    </row>
    <row r="146" spans="1:14" ht="60" x14ac:dyDescent="0.2">
      <c r="A146" s="96" t="s">
        <v>2125</v>
      </c>
      <c r="B146" s="93" t="s">
        <v>29</v>
      </c>
      <c r="C146" s="93" t="s">
        <v>30</v>
      </c>
      <c r="D146" s="93" t="s">
        <v>1910</v>
      </c>
      <c r="E146" s="96" t="s">
        <v>54</v>
      </c>
      <c r="F146" s="96" t="s">
        <v>165</v>
      </c>
      <c r="G146" s="93" t="s">
        <v>2126</v>
      </c>
      <c r="H146" s="97">
        <v>2025</v>
      </c>
      <c r="I146" s="188"/>
      <c r="J146" s="185"/>
      <c r="K146" s="92"/>
      <c r="L146" s="92"/>
      <c r="M146" s="25"/>
      <c r="N146" s="68"/>
    </row>
    <row r="147" spans="1:14" ht="30" x14ac:dyDescent="0.2">
      <c r="A147" s="96" t="s">
        <v>2127</v>
      </c>
      <c r="B147" s="93" t="s">
        <v>29</v>
      </c>
      <c r="C147" s="93" t="s">
        <v>30</v>
      </c>
      <c r="D147" s="93" t="s">
        <v>1840</v>
      </c>
      <c r="E147" s="96" t="s">
        <v>54</v>
      </c>
      <c r="F147" s="96" t="s">
        <v>165</v>
      </c>
      <c r="G147" s="93" t="s">
        <v>2128</v>
      </c>
      <c r="H147" s="97">
        <v>2026</v>
      </c>
      <c r="I147" s="188"/>
      <c r="J147" s="185"/>
      <c r="K147" s="92"/>
      <c r="L147" s="92"/>
      <c r="M147" s="25"/>
      <c r="N147" s="68"/>
    </row>
    <row r="148" spans="1:14" ht="30" x14ac:dyDescent="0.2">
      <c r="A148" s="96" t="s">
        <v>2129</v>
      </c>
      <c r="B148" s="93" t="s">
        <v>29</v>
      </c>
      <c r="C148" s="93" t="s">
        <v>30</v>
      </c>
      <c r="D148" s="93" t="s">
        <v>1840</v>
      </c>
      <c r="E148" s="96" t="s">
        <v>54</v>
      </c>
      <c r="F148" s="96" t="s">
        <v>165</v>
      </c>
      <c r="G148" s="93" t="s">
        <v>2130</v>
      </c>
      <c r="H148" s="97">
        <v>2026</v>
      </c>
      <c r="I148" s="188"/>
      <c r="J148" s="185"/>
      <c r="K148" s="92"/>
      <c r="L148" s="92"/>
      <c r="M148" s="25"/>
      <c r="N148" s="68"/>
    </row>
    <row r="149" spans="1:14" ht="30" x14ac:dyDescent="0.2">
      <c r="A149" s="96" t="s">
        <v>2131</v>
      </c>
      <c r="B149" s="93" t="s">
        <v>29</v>
      </c>
      <c r="C149" s="93" t="s">
        <v>30</v>
      </c>
      <c r="D149" s="93" t="s">
        <v>1840</v>
      </c>
      <c r="E149" s="96" t="s">
        <v>54</v>
      </c>
      <c r="F149" s="96" t="s">
        <v>165</v>
      </c>
      <c r="G149" s="93" t="s">
        <v>2132</v>
      </c>
      <c r="H149" s="97">
        <v>2026</v>
      </c>
      <c r="I149" s="188"/>
      <c r="J149" s="185"/>
      <c r="K149" s="92"/>
      <c r="L149" s="92"/>
      <c r="M149" s="25"/>
      <c r="N149" s="68"/>
    </row>
    <row r="150" spans="1:14" ht="30" x14ac:dyDescent="0.2">
      <c r="A150" s="96" t="s">
        <v>2133</v>
      </c>
      <c r="B150" s="93" t="s">
        <v>29</v>
      </c>
      <c r="C150" s="93" t="s">
        <v>30</v>
      </c>
      <c r="D150" s="93" t="s">
        <v>1840</v>
      </c>
      <c r="E150" s="96" t="s">
        <v>54</v>
      </c>
      <c r="F150" s="96" t="s">
        <v>165</v>
      </c>
      <c r="G150" s="93" t="s">
        <v>2134</v>
      </c>
      <c r="H150" s="97">
        <v>2026</v>
      </c>
      <c r="I150" s="188"/>
      <c r="J150" s="185"/>
      <c r="K150" s="92"/>
      <c r="L150" s="92"/>
      <c r="M150" s="25"/>
      <c r="N150" s="68"/>
    </row>
    <row r="151" spans="1:14" ht="30" x14ac:dyDescent="0.2">
      <c r="A151" s="96" t="s">
        <v>2135</v>
      </c>
      <c r="B151" s="93" t="s">
        <v>29</v>
      </c>
      <c r="C151" s="93" t="s">
        <v>30</v>
      </c>
      <c r="D151" s="93" t="s">
        <v>1840</v>
      </c>
      <c r="E151" s="96" t="s">
        <v>54</v>
      </c>
      <c r="F151" s="96" t="s">
        <v>165</v>
      </c>
      <c r="G151" s="93" t="s">
        <v>2136</v>
      </c>
      <c r="H151" s="97">
        <v>2026</v>
      </c>
      <c r="I151" s="188"/>
      <c r="J151" s="185"/>
      <c r="K151" s="92"/>
      <c r="L151" s="92"/>
      <c r="M151" s="25"/>
      <c r="N151" s="68"/>
    </row>
    <row r="152" spans="1:14" ht="30" x14ac:dyDescent="0.2">
      <c r="A152" s="96" t="s">
        <v>2137</v>
      </c>
      <c r="B152" s="93" t="s">
        <v>29</v>
      </c>
      <c r="C152" s="93" t="s">
        <v>30</v>
      </c>
      <c r="D152" s="93" t="s">
        <v>1840</v>
      </c>
      <c r="E152" s="96" t="s">
        <v>54</v>
      </c>
      <c r="F152" s="96" t="s">
        <v>165</v>
      </c>
      <c r="G152" s="93" t="s">
        <v>2138</v>
      </c>
      <c r="H152" s="97">
        <v>2026</v>
      </c>
      <c r="I152" s="188"/>
      <c r="J152" s="185"/>
      <c r="K152" s="92"/>
      <c r="L152" s="92"/>
      <c r="M152" s="25"/>
      <c r="N152" s="68"/>
    </row>
    <row r="153" spans="1:14" ht="30" x14ac:dyDescent="0.2">
      <c r="A153" s="96" t="s">
        <v>2139</v>
      </c>
      <c r="B153" s="93" t="s">
        <v>29</v>
      </c>
      <c r="C153" s="93" t="s">
        <v>30</v>
      </c>
      <c r="D153" s="93" t="s">
        <v>1840</v>
      </c>
      <c r="E153" s="96" t="s">
        <v>37</v>
      </c>
      <c r="F153" s="96" t="s">
        <v>1846</v>
      </c>
      <c r="G153" s="93" t="s">
        <v>2140</v>
      </c>
      <c r="H153" s="97">
        <v>2026</v>
      </c>
      <c r="I153" s="188"/>
      <c r="J153" s="185"/>
      <c r="K153" s="92"/>
      <c r="L153" s="92"/>
      <c r="M153" s="25"/>
      <c r="N153" s="68"/>
    </row>
    <row r="154" spans="1:14" ht="30" x14ac:dyDescent="0.2">
      <c r="A154" s="96" t="s">
        <v>2141</v>
      </c>
      <c r="B154" s="93" t="s">
        <v>29</v>
      </c>
      <c r="C154" s="93" t="s">
        <v>30</v>
      </c>
      <c r="D154" s="93" t="s">
        <v>1840</v>
      </c>
      <c r="E154" s="96" t="s">
        <v>37</v>
      </c>
      <c r="F154" s="96" t="s">
        <v>1846</v>
      </c>
      <c r="G154" s="93" t="s">
        <v>2142</v>
      </c>
      <c r="H154" s="97">
        <v>2026</v>
      </c>
      <c r="I154" s="188"/>
      <c r="J154" s="185"/>
      <c r="K154" s="92"/>
      <c r="L154" s="92"/>
      <c r="M154" s="25"/>
      <c r="N154" s="68"/>
    </row>
    <row r="155" spans="1:14" ht="30" x14ac:dyDescent="0.2">
      <c r="A155" s="96" t="s">
        <v>2143</v>
      </c>
      <c r="B155" s="93" t="s">
        <v>29</v>
      </c>
      <c r="C155" s="93" t="s">
        <v>30</v>
      </c>
      <c r="D155" s="93" t="s">
        <v>1840</v>
      </c>
      <c r="E155" s="96" t="s">
        <v>37</v>
      </c>
      <c r="F155" s="96" t="s">
        <v>1846</v>
      </c>
      <c r="G155" s="93" t="s">
        <v>2144</v>
      </c>
      <c r="H155" s="97">
        <v>2026</v>
      </c>
      <c r="I155" s="188"/>
      <c r="J155" s="185"/>
      <c r="K155" s="92"/>
      <c r="L155" s="92"/>
      <c r="M155" s="25"/>
      <c r="N155" s="68"/>
    </row>
    <row r="156" spans="1:14" ht="30" x14ac:dyDescent="0.2">
      <c r="A156" s="96" t="s">
        <v>2145</v>
      </c>
      <c r="B156" s="93" t="s">
        <v>29</v>
      </c>
      <c r="C156" s="93" t="s">
        <v>30</v>
      </c>
      <c r="D156" s="93" t="s">
        <v>1840</v>
      </c>
      <c r="E156" s="96" t="s">
        <v>37</v>
      </c>
      <c r="F156" s="96" t="s">
        <v>1846</v>
      </c>
      <c r="G156" s="93" t="s">
        <v>2146</v>
      </c>
      <c r="H156" s="97">
        <v>2026</v>
      </c>
      <c r="I156" s="188"/>
      <c r="J156" s="185"/>
      <c r="K156" s="92"/>
      <c r="L156" s="92"/>
      <c r="M156" s="25"/>
      <c r="N156" s="68"/>
    </row>
    <row r="157" spans="1:14" ht="30" x14ac:dyDescent="0.2">
      <c r="A157" s="96" t="s">
        <v>2147</v>
      </c>
      <c r="B157" s="93" t="s">
        <v>29</v>
      </c>
      <c r="C157" s="93" t="s">
        <v>30</v>
      </c>
      <c r="D157" s="93" t="s">
        <v>1840</v>
      </c>
      <c r="E157" s="96" t="s">
        <v>37</v>
      </c>
      <c r="F157" s="96" t="s">
        <v>1846</v>
      </c>
      <c r="G157" s="93" t="s">
        <v>2148</v>
      </c>
      <c r="H157" s="97">
        <v>2026</v>
      </c>
      <c r="I157" s="188"/>
      <c r="J157" s="185"/>
      <c r="K157" s="92"/>
      <c r="L157" s="92"/>
      <c r="M157" s="25"/>
      <c r="N157" s="68"/>
    </row>
    <row r="158" spans="1:14" ht="30" x14ac:dyDescent="0.2">
      <c r="A158" s="96" t="s">
        <v>2149</v>
      </c>
      <c r="B158" s="93" t="s">
        <v>29</v>
      </c>
      <c r="C158" s="93" t="s">
        <v>30</v>
      </c>
      <c r="D158" s="93" t="s">
        <v>1840</v>
      </c>
      <c r="E158" s="96" t="s">
        <v>37</v>
      </c>
      <c r="F158" s="96" t="s">
        <v>1846</v>
      </c>
      <c r="G158" s="93" t="s">
        <v>2150</v>
      </c>
      <c r="H158" s="97">
        <v>2026</v>
      </c>
      <c r="I158" s="188"/>
      <c r="J158" s="185"/>
      <c r="K158" s="92"/>
      <c r="L158" s="92"/>
      <c r="M158" s="25"/>
      <c r="N158" s="68"/>
    </row>
    <row r="159" spans="1:14" ht="30" x14ac:dyDescent="0.2">
      <c r="A159" s="96" t="s">
        <v>2151</v>
      </c>
      <c r="B159" s="93" t="s">
        <v>29</v>
      </c>
      <c r="C159" s="93" t="s">
        <v>30</v>
      </c>
      <c r="D159" s="93" t="s">
        <v>1840</v>
      </c>
      <c r="E159" s="96" t="s">
        <v>37</v>
      </c>
      <c r="F159" s="96" t="s">
        <v>1846</v>
      </c>
      <c r="G159" s="93" t="s">
        <v>2152</v>
      </c>
      <c r="H159" s="97">
        <v>2026</v>
      </c>
      <c r="I159" s="188"/>
      <c r="J159" s="185"/>
      <c r="K159" s="92"/>
      <c r="L159" s="92"/>
      <c r="M159" s="25"/>
      <c r="N159" s="68"/>
    </row>
    <row r="160" spans="1:14" ht="30" x14ac:dyDescent="0.2">
      <c r="A160" s="96" t="s">
        <v>2153</v>
      </c>
      <c r="B160" s="93" t="s">
        <v>29</v>
      </c>
      <c r="C160" s="93" t="s">
        <v>30</v>
      </c>
      <c r="D160" s="93" t="s">
        <v>1840</v>
      </c>
      <c r="E160" s="96" t="s">
        <v>37</v>
      </c>
      <c r="F160" s="96" t="s">
        <v>1846</v>
      </c>
      <c r="G160" s="93" t="s">
        <v>2154</v>
      </c>
      <c r="H160" s="97">
        <v>2026</v>
      </c>
      <c r="I160" s="188"/>
      <c r="J160" s="185"/>
      <c r="K160" s="92"/>
      <c r="L160" s="92"/>
      <c r="M160" s="25"/>
      <c r="N160" s="68"/>
    </row>
    <row r="161" spans="1:14" ht="30" x14ac:dyDescent="0.2">
      <c r="A161" s="96" t="s">
        <v>2155</v>
      </c>
      <c r="B161" s="93" t="s">
        <v>29</v>
      </c>
      <c r="C161" s="93" t="s">
        <v>30</v>
      </c>
      <c r="D161" s="93" t="s">
        <v>1910</v>
      </c>
      <c r="E161" s="96" t="s">
        <v>37</v>
      </c>
      <c r="F161" s="96" t="s">
        <v>148</v>
      </c>
      <c r="G161" s="93" t="s">
        <v>2156</v>
      </c>
      <c r="H161" s="97">
        <v>2026</v>
      </c>
      <c r="I161" s="188"/>
      <c r="J161" s="185"/>
      <c r="K161" s="92"/>
      <c r="L161" s="92"/>
      <c r="M161" s="25"/>
      <c r="N161" s="68"/>
    </row>
    <row r="162" spans="1:14" ht="30" x14ac:dyDescent="0.2">
      <c r="A162" s="96" t="s">
        <v>2157</v>
      </c>
      <c r="B162" s="93" t="s">
        <v>29</v>
      </c>
      <c r="C162" s="93" t="s">
        <v>30</v>
      </c>
      <c r="D162" s="93" t="s">
        <v>1910</v>
      </c>
      <c r="E162" s="96" t="s">
        <v>37</v>
      </c>
      <c r="F162" s="96" t="s">
        <v>148</v>
      </c>
      <c r="G162" s="93" t="s">
        <v>2158</v>
      </c>
      <c r="H162" s="97">
        <v>2026</v>
      </c>
      <c r="I162" s="188"/>
      <c r="J162" s="185"/>
      <c r="K162" s="92"/>
      <c r="L162" s="92"/>
      <c r="M162" s="25"/>
      <c r="N162" s="68"/>
    </row>
    <row r="163" spans="1:14" ht="75" x14ac:dyDescent="0.2">
      <c r="A163" s="96" t="s">
        <v>2159</v>
      </c>
      <c r="B163" s="93" t="s">
        <v>29</v>
      </c>
      <c r="C163" s="93" t="s">
        <v>30</v>
      </c>
      <c r="D163" s="93" t="s">
        <v>1910</v>
      </c>
      <c r="E163" s="96" t="s">
        <v>37</v>
      </c>
      <c r="F163" s="96" t="s">
        <v>1846</v>
      </c>
      <c r="G163" s="93" t="s">
        <v>2160</v>
      </c>
      <c r="H163" s="97">
        <v>2026</v>
      </c>
      <c r="I163" s="188"/>
      <c r="J163" s="185"/>
      <c r="K163" s="92"/>
      <c r="L163" s="92"/>
      <c r="M163" s="25"/>
      <c r="N163" s="68"/>
    </row>
  </sheetData>
  <sheetProtection formatCells="0" formatColumns="0" formatRows="0" sort="0" autoFilter="0" pivotTables="0"/>
  <sortState xmlns:xlrd2="http://schemas.microsoft.com/office/spreadsheetml/2017/richdata2" ref="A7:J163">
    <sortCondition ref="H7:H163"/>
    <sortCondition ref="D7:D163"/>
  </sortState>
  <mergeCells count="2">
    <mergeCell ref="A1:J1"/>
    <mergeCell ref="A2:J2"/>
  </mergeCells>
  <phoneticPr fontId="26" type="noConversion"/>
  <printOptions horizontalCentered="1"/>
  <pageMargins left="0.75" right="0.75" top="1" bottom="1" header="0.5" footer="0.5"/>
  <pageSetup scale="66" fitToHeight="0" orientation="landscape" r:id="rId1"/>
  <headerFooter scaleWithDoc="0">
    <oddHeader>&amp;RPetitioner's Exhibit No. 2
Attachment  &amp;A
CEI North
Page &amp;P of &amp;N</oddHeader>
  </headerFooter>
  <rowBreaks count="1" manualBreakCount="1">
    <brk id="14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1FF2F-F1C1-49C0-A040-DFFD566F3EEA}">
  <sheetPr>
    <pageSetUpPr fitToPage="1"/>
  </sheetPr>
  <dimension ref="A1:AI735"/>
  <sheetViews>
    <sheetView view="pageBreakPreview" zoomScale="85" zoomScaleNormal="10" zoomScaleSheetLayoutView="85" workbookViewId="0">
      <pane xSplit="4" ySplit="6" topLeftCell="E7" activePane="bottomRight" state="frozen"/>
      <selection pane="topRight" activeCell="A134" sqref="A134"/>
      <selection pane="bottomLeft" activeCell="A134" sqref="A134"/>
      <selection pane="bottomRight" activeCell="E7" sqref="E7"/>
    </sheetView>
  </sheetViews>
  <sheetFormatPr defaultRowHeight="12.75" x14ac:dyDescent="0.2"/>
  <cols>
    <col min="1" max="1" width="9.140625" style="104" customWidth="1"/>
    <col min="2" max="2" width="18.42578125" style="104" customWidth="1"/>
    <col min="3" max="3" width="15.28515625" style="104" customWidth="1"/>
    <col min="4" max="4" width="23.85546875" style="105" customWidth="1"/>
    <col min="5" max="5" width="28" style="105" customWidth="1"/>
    <col min="6" max="7" width="20.42578125" style="106" customWidth="1"/>
    <col min="8" max="8" width="12.28515625" style="106" customWidth="1"/>
    <col min="9" max="9" width="21.85546875" style="107" customWidth="1"/>
    <col min="10" max="10" width="21.85546875" style="106" customWidth="1"/>
    <col min="11" max="11" width="20.42578125" style="106" customWidth="1"/>
    <col min="12" max="12" width="22.5703125" style="106" customWidth="1"/>
    <col min="13" max="13" width="19.42578125" style="106" customWidth="1"/>
    <col min="14" max="14" width="16" style="106" customWidth="1"/>
    <col min="15" max="15" width="20.42578125" style="106" customWidth="1"/>
    <col min="16" max="16" width="18.42578125" style="107" customWidth="1"/>
    <col min="17" max="17" width="18.85546875" style="107" customWidth="1"/>
    <col min="18" max="18" width="17.7109375" style="107" customWidth="1"/>
    <col min="19" max="19" width="15.42578125" style="107" customWidth="1"/>
    <col min="20" max="20" width="15.7109375" style="107" bestFit="1" customWidth="1"/>
    <col min="21" max="21" width="16.5703125" style="107" customWidth="1"/>
    <col min="22" max="22" width="17.42578125" style="107" bestFit="1" customWidth="1"/>
    <col min="23" max="23" width="17" style="107" bestFit="1" customWidth="1"/>
    <col min="24" max="24" width="16.5703125" style="107" bestFit="1" customWidth="1"/>
    <col min="25" max="25" width="15.85546875" style="107" bestFit="1" customWidth="1"/>
    <col min="26" max="26" width="16.28515625" style="107" bestFit="1" customWidth="1"/>
    <col min="27" max="27" width="17" style="107" bestFit="1" customWidth="1"/>
    <col min="28" max="28" width="17" style="107" customWidth="1"/>
    <col min="29" max="29" width="19.42578125" style="107" bestFit="1" customWidth="1"/>
    <col min="30" max="30" width="16.5703125" style="105" customWidth="1"/>
    <col min="31" max="31" width="24" style="105" customWidth="1"/>
    <col min="32" max="32" width="14.28515625" style="105" bestFit="1" customWidth="1"/>
    <col min="33" max="254" width="9.140625" style="105"/>
    <col min="255" max="255" width="18.42578125" style="105" customWidth="1"/>
    <col min="256" max="256" width="15.28515625" style="105" customWidth="1"/>
    <col min="257" max="257" width="23.85546875" style="105" customWidth="1"/>
    <col min="258" max="258" width="28" style="105" customWidth="1"/>
    <col min="259" max="260" width="20.42578125" style="105" customWidth="1"/>
    <col min="261" max="261" width="12.28515625" style="105" customWidth="1"/>
    <col min="262" max="263" width="21.85546875" style="105" customWidth="1"/>
    <col min="264" max="264" width="20.42578125" style="105" customWidth="1"/>
    <col min="265" max="265" width="22.5703125" style="105" customWidth="1"/>
    <col min="266" max="266" width="19.42578125" style="105" customWidth="1"/>
    <col min="267" max="267" width="16" style="105" customWidth="1"/>
    <col min="268" max="268" width="20.42578125" style="105" customWidth="1"/>
    <col min="269" max="269" width="18.42578125" style="105" customWidth="1"/>
    <col min="270" max="270" width="18.85546875" style="105" customWidth="1"/>
    <col min="271" max="271" width="17.7109375" style="105" customWidth="1"/>
    <col min="272" max="272" width="15.42578125" style="105" customWidth="1"/>
    <col min="273" max="273" width="15.7109375" style="105" bestFit="1" customWidth="1"/>
    <col min="274" max="274" width="16.5703125" style="105" customWidth="1"/>
    <col min="275" max="275" width="17.42578125" style="105" bestFit="1" customWidth="1"/>
    <col min="276" max="276" width="17" style="105" bestFit="1" customWidth="1"/>
    <col min="277" max="277" width="16.5703125" style="105" bestFit="1" customWidth="1"/>
    <col min="278" max="278" width="15.85546875" style="105" bestFit="1" customWidth="1"/>
    <col min="279" max="279" width="16.28515625" style="105" bestFit="1" customWidth="1"/>
    <col min="280" max="280" width="17" style="105" bestFit="1" customWidth="1"/>
    <col min="281" max="281" width="17" style="105" customWidth="1"/>
    <col min="282" max="282" width="19.42578125" style="105" bestFit="1" customWidth="1"/>
    <col min="283" max="283" width="16.5703125" style="105" customWidth="1"/>
    <col min="284" max="284" width="24" style="105" customWidth="1"/>
    <col min="285" max="285" width="15.7109375" style="105" customWidth="1"/>
    <col min="286" max="286" width="20.5703125" style="105" customWidth="1"/>
    <col min="287" max="287" width="13.7109375" style="105" customWidth="1"/>
    <col min="288" max="288" width="14.28515625" style="105" bestFit="1" customWidth="1"/>
    <col min="289" max="510" width="9.140625" style="105"/>
    <col min="511" max="511" width="18.42578125" style="105" customWidth="1"/>
    <col min="512" max="512" width="15.28515625" style="105" customWidth="1"/>
    <col min="513" max="513" width="23.85546875" style="105" customWidth="1"/>
    <col min="514" max="514" width="28" style="105" customWidth="1"/>
    <col min="515" max="516" width="20.42578125" style="105" customWidth="1"/>
    <col min="517" max="517" width="12.28515625" style="105" customWidth="1"/>
    <col min="518" max="519" width="21.85546875" style="105" customWidth="1"/>
    <col min="520" max="520" width="20.42578125" style="105" customWidth="1"/>
    <col min="521" max="521" width="22.5703125" style="105" customWidth="1"/>
    <col min="522" max="522" width="19.42578125" style="105" customWidth="1"/>
    <col min="523" max="523" width="16" style="105" customWidth="1"/>
    <col min="524" max="524" width="20.42578125" style="105" customWidth="1"/>
    <col min="525" max="525" width="18.42578125" style="105" customWidth="1"/>
    <col min="526" max="526" width="18.85546875" style="105" customWidth="1"/>
    <col min="527" max="527" width="17.7109375" style="105" customWidth="1"/>
    <col min="528" max="528" width="15.42578125" style="105" customWidth="1"/>
    <col min="529" max="529" width="15.7109375" style="105" bestFit="1" customWidth="1"/>
    <col min="530" max="530" width="16.5703125" style="105" customWidth="1"/>
    <col min="531" max="531" width="17.42578125" style="105" bestFit="1" customWidth="1"/>
    <col min="532" max="532" width="17" style="105" bestFit="1" customWidth="1"/>
    <col min="533" max="533" width="16.5703125" style="105" bestFit="1" customWidth="1"/>
    <col min="534" max="534" width="15.85546875" style="105" bestFit="1" customWidth="1"/>
    <col min="535" max="535" width="16.28515625" style="105" bestFit="1" customWidth="1"/>
    <col min="536" max="536" width="17" style="105" bestFit="1" customWidth="1"/>
    <col min="537" max="537" width="17" style="105" customWidth="1"/>
    <col min="538" max="538" width="19.42578125" style="105" bestFit="1" customWidth="1"/>
    <col min="539" max="539" width="16.5703125" style="105" customWidth="1"/>
    <col min="540" max="540" width="24" style="105" customWidth="1"/>
    <col min="541" max="541" width="15.7109375" style="105" customWidth="1"/>
    <col min="542" max="542" width="20.5703125" style="105" customWidth="1"/>
    <col min="543" max="543" width="13.7109375" style="105" customWidth="1"/>
    <col min="544" max="544" width="14.28515625" style="105" bestFit="1" customWidth="1"/>
    <col min="545" max="766" width="9.140625" style="105"/>
    <col min="767" max="767" width="18.42578125" style="105" customWidth="1"/>
    <col min="768" max="768" width="15.28515625" style="105" customWidth="1"/>
    <col min="769" max="769" width="23.85546875" style="105" customWidth="1"/>
    <col min="770" max="770" width="28" style="105" customWidth="1"/>
    <col min="771" max="772" width="20.42578125" style="105" customWidth="1"/>
    <col min="773" max="773" width="12.28515625" style="105" customWidth="1"/>
    <col min="774" max="775" width="21.85546875" style="105" customWidth="1"/>
    <col min="776" max="776" width="20.42578125" style="105" customWidth="1"/>
    <col min="777" max="777" width="22.5703125" style="105" customWidth="1"/>
    <col min="778" max="778" width="19.42578125" style="105" customWidth="1"/>
    <col min="779" max="779" width="16" style="105" customWidth="1"/>
    <col min="780" max="780" width="20.42578125" style="105" customWidth="1"/>
    <col min="781" max="781" width="18.42578125" style="105" customWidth="1"/>
    <col min="782" max="782" width="18.85546875" style="105" customWidth="1"/>
    <col min="783" max="783" width="17.7109375" style="105" customWidth="1"/>
    <col min="784" max="784" width="15.42578125" style="105" customWidth="1"/>
    <col min="785" max="785" width="15.7109375" style="105" bestFit="1" customWidth="1"/>
    <col min="786" max="786" width="16.5703125" style="105" customWidth="1"/>
    <col min="787" max="787" width="17.42578125" style="105" bestFit="1" customWidth="1"/>
    <col min="788" max="788" width="17" style="105" bestFit="1" customWidth="1"/>
    <col min="789" max="789" width="16.5703125" style="105" bestFit="1" customWidth="1"/>
    <col min="790" max="790" width="15.85546875" style="105" bestFit="1" customWidth="1"/>
    <col min="791" max="791" width="16.28515625" style="105" bestFit="1" customWidth="1"/>
    <col min="792" max="792" width="17" style="105" bestFit="1" customWidth="1"/>
    <col min="793" max="793" width="17" style="105" customWidth="1"/>
    <col min="794" max="794" width="19.42578125" style="105" bestFit="1" customWidth="1"/>
    <col min="795" max="795" width="16.5703125" style="105" customWidth="1"/>
    <col min="796" max="796" width="24" style="105" customWidth="1"/>
    <col min="797" max="797" width="15.7109375" style="105" customWidth="1"/>
    <col min="798" max="798" width="20.5703125" style="105" customWidth="1"/>
    <col min="799" max="799" width="13.7109375" style="105" customWidth="1"/>
    <col min="800" max="800" width="14.28515625" style="105" bestFit="1" customWidth="1"/>
    <col min="801" max="1022" width="9.140625" style="105"/>
    <col min="1023" max="1023" width="18.42578125" style="105" customWidth="1"/>
    <col min="1024" max="1024" width="15.28515625" style="105" customWidth="1"/>
    <col min="1025" max="1025" width="23.85546875" style="105" customWidth="1"/>
    <col min="1026" max="1026" width="28" style="105" customWidth="1"/>
    <col min="1027" max="1028" width="20.42578125" style="105" customWidth="1"/>
    <col min="1029" max="1029" width="12.28515625" style="105" customWidth="1"/>
    <col min="1030" max="1031" width="21.85546875" style="105" customWidth="1"/>
    <col min="1032" max="1032" width="20.42578125" style="105" customWidth="1"/>
    <col min="1033" max="1033" width="22.5703125" style="105" customWidth="1"/>
    <col min="1034" max="1034" width="19.42578125" style="105" customWidth="1"/>
    <col min="1035" max="1035" width="16" style="105" customWidth="1"/>
    <col min="1036" max="1036" width="20.42578125" style="105" customWidth="1"/>
    <col min="1037" max="1037" width="18.42578125" style="105" customWidth="1"/>
    <col min="1038" max="1038" width="18.85546875" style="105" customWidth="1"/>
    <col min="1039" max="1039" width="17.7109375" style="105" customWidth="1"/>
    <col min="1040" max="1040" width="15.42578125" style="105" customWidth="1"/>
    <col min="1041" max="1041" width="15.7109375" style="105" bestFit="1" customWidth="1"/>
    <col min="1042" max="1042" width="16.5703125" style="105" customWidth="1"/>
    <col min="1043" max="1043" width="17.42578125" style="105" bestFit="1" customWidth="1"/>
    <col min="1044" max="1044" width="17" style="105" bestFit="1" customWidth="1"/>
    <col min="1045" max="1045" width="16.5703125" style="105" bestFit="1" customWidth="1"/>
    <col min="1046" max="1046" width="15.85546875" style="105" bestFit="1" customWidth="1"/>
    <col min="1047" max="1047" width="16.28515625" style="105" bestFit="1" customWidth="1"/>
    <col min="1048" max="1048" width="17" style="105" bestFit="1" customWidth="1"/>
    <col min="1049" max="1049" width="17" style="105" customWidth="1"/>
    <col min="1050" max="1050" width="19.42578125" style="105" bestFit="1" customWidth="1"/>
    <col min="1051" max="1051" width="16.5703125" style="105" customWidth="1"/>
    <col min="1052" max="1052" width="24" style="105" customWidth="1"/>
    <col min="1053" max="1053" width="15.7109375" style="105" customWidth="1"/>
    <col min="1054" max="1054" width="20.5703125" style="105" customWidth="1"/>
    <col min="1055" max="1055" width="13.7109375" style="105" customWidth="1"/>
    <col min="1056" max="1056" width="14.28515625" style="105" bestFit="1" customWidth="1"/>
    <col min="1057" max="1278" width="9.140625" style="105"/>
    <col min="1279" max="1279" width="18.42578125" style="105" customWidth="1"/>
    <col min="1280" max="1280" width="15.28515625" style="105" customWidth="1"/>
    <col min="1281" max="1281" width="23.85546875" style="105" customWidth="1"/>
    <col min="1282" max="1282" width="28" style="105" customWidth="1"/>
    <col min="1283" max="1284" width="20.42578125" style="105" customWidth="1"/>
    <col min="1285" max="1285" width="12.28515625" style="105" customWidth="1"/>
    <col min="1286" max="1287" width="21.85546875" style="105" customWidth="1"/>
    <col min="1288" max="1288" width="20.42578125" style="105" customWidth="1"/>
    <col min="1289" max="1289" width="22.5703125" style="105" customWidth="1"/>
    <col min="1290" max="1290" width="19.42578125" style="105" customWidth="1"/>
    <col min="1291" max="1291" width="16" style="105" customWidth="1"/>
    <col min="1292" max="1292" width="20.42578125" style="105" customWidth="1"/>
    <col min="1293" max="1293" width="18.42578125" style="105" customWidth="1"/>
    <col min="1294" max="1294" width="18.85546875" style="105" customWidth="1"/>
    <col min="1295" max="1295" width="17.7109375" style="105" customWidth="1"/>
    <col min="1296" max="1296" width="15.42578125" style="105" customWidth="1"/>
    <col min="1297" max="1297" width="15.7109375" style="105" bestFit="1" customWidth="1"/>
    <col min="1298" max="1298" width="16.5703125" style="105" customWidth="1"/>
    <col min="1299" max="1299" width="17.42578125" style="105" bestFit="1" customWidth="1"/>
    <col min="1300" max="1300" width="17" style="105" bestFit="1" customWidth="1"/>
    <col min="1301" max="1301" width="16.5703125" style="105" bestFit="1" customWidth="1"/>
    <col min="1302" max="1302" width="15.85546875" style="105" bestFit="1" customWidth="1"/>
    <col min="1303" max="1303" width="16.28515625" style="105" bestFit="1" customWidth="1"/>
    <col min="1304" max="1304" width="17" style="105" bestFit="1" customWidth="1"/>
    <col min="1305" max="1305" width="17" style="105" customWidth="1"/>
    <col min="1306" max="1306" width="19.42578125" style="105" bestFit="1" customWidth="1"/>
    <col min="1307" max="1307" width="16.5703125" style="105" customWidth="1"/>
    <col min="1308" max="1308" width="24" style="105" customWidth="1"/>
    <col min="1309" max="1309" width="15.7109375" style="105" customWidth="1"/>
    <col min="1310" max="1310" width="20.5703125" style="105" customWidth="1"/>
    <col min="1311" max="1311" width="13.7109375" style="105" customWidth="1"/>
    <col min="1312" max="1312" width="14.28515625" style="105" bestFit="1" customWidth="1"/>
    <col min="1313" max="1534" width="9.140625" style="105"/>
    <col min="1535" max="1535" width="18.42578125" style="105" customWidth="1"/>
    <col min="1536" max="1536" width="15.28515625" style="105" customWidth="1"/>
    <col min="1537" max="1537" width="23.85546875" style="105" customWidth="1"/>
    <col min="1538" max="1538" width="28" style="105" customWidth="1"/>
    <col min="1539" max="1540" width="20.42578125" style="105" customWidth="1"/>
    <col min="1541" max="1541" width="12.28515625" style="105" customWidth="1"/>
    <col min="1542" max="1543" width="21.85546875" style="105" customWidth="1"/>
    <col min="1544" max="1544" width="20.42578125" style="105" customWidth="1"/>
    <col min="1545" max="1545" width="22.5703125" style="105" customWidth="1"/>
    <col min="1546" max="1546" width="19.42578125" style="105" customWidth="1"/>
    <col min="1547" max="1547" width="16" style="105" customWidth="1"/>
    <col min="1548" max="1548" width="20.42578125" style="105" customWidth="1"/>
    <col min="1549" max="1549" width="18.42578125" style="105" customWidth="1"/>
    <col min="1550" max="1550" width="18.85546875" style="105" customWidth="1"/>
    <col min="1551" max="1551" width="17.7109375" style="105" customWidth="1"/>
    <col min="1552" max="1552" width="15.42578125" style="105" customWidth="1"/>
    <col min="1553" max="1553" width="15.7109375" style="105" bestFit="1" customWidth="1"/>
    <col min="1554" max="1554" width="16.5703125" style="105" customWidth="1"/>
    <col min="1555" max="1555" width="17.42578125" style="105" bestFit="1" customWidth="1"/>
    <col min="1556" max="1556" width="17" style="105" bestFit="1" customWidth="1"/>
    <col min="1557" max="1557" width="16.5703125" style="105" bestFit="1" customWidth="1"/>
    <col min="1558" max="1558" width="15.85546875" style="105" bestFit="1" customWidth="1"/>
    <col min="1559" max="1559" width="16.28515625" style="105" bestFit="1" customWidth="1"/>
    <col min="1560" max="1560" width="17" style="105" bestFit="1" customWidth="1"/>
    <col min="1561" max="1561" width="17" style="105" customWidth="1"/>
    <col min="1562" max="1562" width="19.42578125" style="105" bestFit="1" customWidth="1"/>
    <col min="1563" max="1563" width="16.5703125" style="105" customWidth="1"/>
    <col min="1564" max="1564" width="24" style="105" customWidth="1"/>
    <col min="1565" max="1565" width="15.7109375" style="105" customWidth="1"/>
    <col min="1566" max="1566" width="20.5703125" style="105" customWidth="1"/>
    <col min="1567" max="1567" width="13.7109375" style="105" customWidth="1"/>
    <col min="1568" max="1568" width="14.28515625" style="105" bestFit="1" customWidth="1"/>
    <col min="1569" max="1790" width="9.140625" style="105"/>
    <col min="1791" max="1791" width="18.42578125" style="105" customWidth="1"/>
    <col min="1792" max="1792" width="15.28515625" style="105" customWidth="1"/>
    <col min="1793" max="1793" width="23.85546875" style="105" customWidth="1"/>
    <col min="1794" max="1794" width="28" style="105" customWidth="1"/>
    <col min="1795" max="1796" width="20.42578125" style="105" customWidth="1"/>
    <col min="1797" max="1797" width="12.28515625" style="105" customWidth="1"/>
    <col min="1798" max="1799" width="21.85546875" style="105" customWidth="1"/>
    <col min="1800" max="1800" width="20.42578125" style="105" customWidth="1"/>
    <col min="1801" max="1801" width="22.5703125" style="105" customWidth="1"/>
    <col min="1802" max="1802" width="19.42578125" style="105" customWidth="1"/>
    <col min="1803" max="1803" width="16" style="105" customWidth="1"/>
    <col min="1804" max="1804" width="20.42578125" style="105" customWidth="1"/>
    <col min="1805" max="1805" width="18.42578125" style="105" customWidth="1"/>
    <col min="1806" max="1806" width="18.85546875" style="105" customWidth="1"/>
    <col min="1807" max="1807" width="17.7109375" style="105" customWidth="1"/>
    <col min="1808" max="1808" width="15.42578125" style="105" customWidth="1"/>
    <col min="1809" max="1809" width="15.7109375" style="105" bestFit="1" customWidth="1"/>
    <col min="1810" max="1810" width="16.5703125" style="105" customWidth="1"/>
    <col min="1811" max="1811" width="17.42578125" style="105" bestFit="1" customWidth="1"/>
    <col min="1812" max="1812" width="17" style="105" bestFit="1" customWidth="1"/>
    <col min="1813" max="1813" width="16.5703125" style="105" bestFit="1" customWidth="1"/>
    <col min="1814" max="1814" width="15.85546875" style="105" bestFit="1" customWidth="1"/>
    <col min="1815" max="1815" width="16.28515625" style="105" bestFit="1" customWidth="1"/>
    <col min="1816" max="1816" width="17" style="105" bestFit="1" customWidth="1"/>
    <col min="1817" max="1817" width="17" style="105" customWidth="1"/>
    <col min="1818" max="1818" width="19.42578125" style="105" bestFit="1" customWidth="1"/>
    <col min="1819" max="1819" width="16.5703125" style="105" customWidth="1"/>
    <col min="1820" max="1820" width="24" style="105" customWidth="1"/>
    <col min="1821" max="1821" width="15.7109375" style="105" customWidth="1"/>
    <col min="1822" max="1822" width="20.5703125" style="105" customWidth="1"/>
    <col min="1823" max="1823" width="13.7109375" style="105" customWidth="1"/>
    <col min="1824" max="1824" width="14.28515625" style="105" bestFit="1" customWidth="1"/>
    <col min="1825" max="2046" width="9.140625" style="105"/>
    <col min="2047" max="2047" width="18.42578125" style="105" customWidth="1"/>
    <col min="2048" max="2048" width="15.28515625" style="105" customWidth="1"/>
    <col min="2049" max="2049" width="23.85546875" style="105" customWidth="1"/>
    <col min="2050" max="2050" width="28" style="105" customWidth="1"/>
    <col min="2051" max="2052" width="20.42578125" style="105" customWidth="1"/>
    <col min="2053" max="2053" width="12.28515625" style="105" customWidth="1"/>
    <col min="2054" max="2055" width="21.85546875" style="105" customWidth="1"/>
    <col min="2056" max="2056" width="20.42578125" style="105" customWidth="1"/>
    <col min="2057" max="2057" width="22.5703125" style="105" customWidth="1"/>
    <col min="2058" max="2058" width="19.42578125" style="105" customWidth="1"/>
    <col min="2059" max="2059" width="16" style="105" customWidth="1"/>
    <col min="2060" max="2060" width="20.42578125" style="105" customWidth="1"/>
    <col min="2061" max="2061" width="18.42578125" style="105" customWidth="1"/>
    <col min="2062" max="2062" width="18.85546875" style="105" customWidth="1"/>
    <col min="2063" max="2063" width="17.7109375" style="105" customWidth="1"/>
    <col min="2064" max="2064" width="15.42578125" style="105" customWidth="1"/>
    <col min="2065" max="2065" width="15.7109375" style="105" bestFit="1" customWidth="1"/>
    <col min="2066" max="2066" width="16.5703125" style="105" customWidth="1"/>
    <col min="2067" max="2067" width="17.42578125" style="105" bestFit="1" customWidth="1"/>
    <col min="2068" max="2068" width="17" style="105" bestFit="1" customWidth="1"/>
    <col min="2069" max="2069" width="16.5703125" style="105" bestFit="1" customWidth="1"/>
    <col min="2070" max="2070" width="15.85546875" style="105" bestFit="1" customWidth="1"/>
    <col min="2071" max="2071" width="16.28515625" style="105" bestFit="1" customWidth="1"/>
    <col min="2072" max="2072" width="17" style="105" bestFit="1" customWidth="1"/>
    <col min="2073" max="2073" width="17" style="105" customWidth="1"/>
    <col min="2074" max="2074" width="19.42578125" style="105" bestFit="1" customWidth="1"/>
    <col min="2075" max="2075" width="16.5703125" style="105" customWidth="1"/>
    <col min="2076" max="2076" width="24" style="105" customWidth="1"/>
    <col min="2077" max="2077" width="15.7109375" style="105" customWidth="1"/>
    <col min="2078" max="2078" width="20.5703125" style="105" customWidth="1"/>
    <col min="2079" max="2079" width="13.7109375" style="105" customWidth="1"/>
    <col min="2080" max="2080" width="14.28515625" style="105" bestFit="1" customWidth="1"/>
    <col min="2081" max="2302" width="9.140625" style="105"/>
    <col min="2303" max="2303" width="18.42578125" style="105" customWidth="1"/>
    <col min="2304" max="2304" width="15.28515625" style="105" customWidth="1"/>
    <col min="2305" max="2305" width="23.85546875" style="105" customWidth="1"/>
    <col min="2306" max="2306" width="28" style="105" customWidth="1"/>
    <col min="2307" max="2308" width="20.42578125" style="105" customWidth="1"/>
    <col min="2309" max="2309" width="12.28515625" style="105" customWidth="1"/>
    <col min="2310" max="2311" width="21.85546875" style="105" customWidth="1"/>
    <col min="2312" max="2312" width="20.42578125" style="105" customWidth="1"/>
    <col min="2313" max="2313" width="22.5703125" style="105" customWidth="1"/>
    <col min="2314" max="2314" width="19.42578125" style="105" customWidth="1"/>
    <col min="2315" max="2315" width="16" style="105" customWidth="1"/>
    <col min="2316" max="2316" width="20.42578125" style="105" customWidth="1"/>
    <col min="2317" max="2317" width="18.42578125" style="105" customWidth="1"/>
    <col min="2318" max="2318" width="18.85546875" style="105" customWidth="1"/>
    <col min="2319" max="2319" width="17.7109375" style="105" customWidth="1"/>
    <col min="2320" max="2320" width="15.42578125" style="105" customWidth="1"/>
    <col min="2321" max="2321" width="15.7109375" style="105" bestFit="1" customWidth="1"/>
    <col min="2322" max="2322" width="16.5703125" style="105" customWidth="1"/>
    <col min="2323" max="2323" width="17.42578125" style="105" bestFit="1" customWidth="1"/>
    <col min="2324" max="2324" width="17" style="105" bestFit="1" customWidth="1"/>
    <col min="2325" max="2325" width="16.5703125" style="105" bestFit="1" customWidth="1"/>
    <col min="2326" max="2326" width="15.85546875" style="105" bestFit="1" customWidth="1"/>
    <col min="2327" max="2327" width="16.28515625" style="105" bestFit="1" customWidth="1"/>
    <col min="2328" max="2328" width="17" style="105" bestFit="1" customWidth="1"/>
    <col min="2329" max="2329" width="17" style="105" customWidth="1"/>
    <col min="2330" max="2330" width="19.42578125" style="105" bestFit="1" customWidth="1"/>
    <col min="2331" max="2331" width="16.5703125" style="105" customWidth="1"/>
    <col min="2332" max="2332" width="24" style="105" customWidth="1"/>
    <col min="2333" max="2333" width="15.7109375" style="105" customWidth="1"/>
    <col min="2334" max="2334" width="20.5703125" style="105" customWidth="1"/>
    <col min="2335" max="2335" width="13.7109375" style="105" customWidth="1"/>
    <col min="2336" max="2336" width="14.28515625" style="105" bestFit="1" customWidth="1"/>
    <col min="2337" max="2558" width="9.140625" style="105"/>
    <col min="2559" max="2559" width="18.42578125" style="105" customWidth="1"/>
    <col min="2560" max="2560" width="15.28515625" style="105" customWidth="1"/>
    <col min="2561" max="2561" width="23.85546875" style="105" customWidth="1"/>
    <col min="2562" max="2562" width="28" style="105" customWidth="1"/>
    <col min="2563" max="2564" width="20.42578125" style="105" customWidth="1"/>
    <col min="2565" max="2565" width="12.28515625" style="105" customWidth="1"/>
    <col min="2566" max="2567" width="21.85546875" style="105" customWidth="1"/>
    <col min="2568" max="2568" width="20.42578125" style="105" customWidth="1"/>
    <col min="2569" max="2569" width="22.5703125" style="105" customWidth="1"/>
    <col min="2570" max="2570" width="19.42578125" style="105" customWidth="1"/>
    <col min="2571" max="2571" width="16" style="105" customWidth="1"/>
    <col min="2572" max="2572" width="20.42578125" style="105" customWidth="1"/>
    <col min="2573" max="2573" width="18.42578125" style="105" customWidth="1"/>
    <col min="2574" max="2574" width="18.85546875" style="105" customWidth="1"/>
    <col min="2575" max="2575" width="17.7109375" style="105" customWidth="1"/>
    <col min="2576" max="2576" width="15.42578125" style="105" customWidth="1"/>
    <col min="2577" max="2577" width="15.7109375" style="105" bestFit="1" customWidth="1"/>
    <col min="2578" max="2578" width="16.5703125" style="105" customWidth="1"/>
    <col min="2579" max="2579" width="17.42578125" style="105" bestFit="1" customWidth="1"/>
    <col min="2580" max="2580" width="17" style="105" bestFit="1" customWidth="1"/>
    <col min="2581" max="2581" width="16.5703125" style="105" bestFit="1" customWidth="1"/>
    <col min="2582" max="2582" width="15.85546875" style="105" bestFit="1" customWidth="1"/>
    <col min="2583" max="2583" width="16.28515625" style="105" bestFit="1" customWidth="1"/>
    <col min="2584" max="2584" width="17" style="105" bestFit="1" customWidth="1"/>
    <col min="2585" max="2585" width="17" style="105" customWidth="1"/>
    <col min="2586" max="2586" width="19.42578125" style="105" bestFit="1" customWidth="1"/>
    <col min="2587" max="2587" width="16.5703125" style="105" customWidth="1"/>
    <col min="2588" max="2588" width="24" style="105" customWidth="1"/>
    <col min="2589" max="2589" width="15.7109375" style="105" customWidth="1"/>
    <col min="2590" max="2590" width="20.5703125" style="105" customWidth="1"/>
    <col min="2591" max="2591" width="13.7109375" style="105" customWidth="1"/>
    <col min="2592" max="2592" width="14.28515625" style="105" bestFit="1" customWidth="1"/>
    <col min="2593" max="2814" width="9.140625" style="105"/>
    <col min="2815" max="2815" width="18.42578125" style="105" customWidth="1"/>
    <col min="2816" max="2816" width="15.28515625" style="105" customWidth="1"/>
    <col min="2817" max="2817" width="23.85546875" style="105" customWidth="1"/>
    <col min="2818" max="2818" width="28" style="105" customWidth="1"/>
    <col min="2819" max="2820" width="20.42578125" style="105" customWidth="1"/>
    <col min="2821" max="2821" width="12.28515625" style="105" customWidth="1"/>
    <col min="2822" max="2823" width="21.85546875" style="105" customWidth="1"/>
    <col min="2824" max="2824" width="20.42578125" style="105" customWidth="1"/>
    <col min="2825" max="2825" width="22.5703125" style="105" customWidth="1"/>
    <col min="2826" max="2826" width="19.42578125" style="105" customWidth="1"/>
    <col min="2827" max="2827" width="16" style="105" customWidth="1"/>
    <col min="2828" max="2828" width="20.42578125" style="105" customWidth="1"/>
    <col min="2829" max="2829" width="18.42578125" style="105" customWidth="1"/>
    <col min="2830" max="2830" width="18.85546875" style="105" customWidth="1"/>
    <col min="2831" max="2831" width="17.7109375" style="105" customWidth="1"/>
    <col min="2832" max="2832" width="15.42578125" style="105" customWidth="1"/>
    <col min="2833" max="2833" width="15.7109375" style="105" bestFit="1" customWidth="1"/>
    <col min="2834" max="2834" width="16.5703125" style="105" customWidth="1"/>
    <col min="2835" max="2835" width="17.42578125" style="105" bestFit="1" customWidth="1"/>
    <col min="2836" max="2836" width="17" style="105" bestFit="1" customWidth="1"/>
    <col min="2837" max="2837" width="16.5703125" style="105" bestFit="1" customWidth="1"/>
    <col min="2838" max="2838" width="15.85546875" style="105" bestFit="1" customWidth="1"/>
    <col min="2839" max="2839" width="16.28515625" style="105" bestFit="1" customWidth="1"/>
    <col min="2840" max="2840" width="17" style="105" bestFit="1" customWidth="1"/>
    <col min="2841" max="2841" width="17" style="105" customWidth="1"/>
    <col min="2842" max="2842" width="19.42578125" style="105" bestFit="1" customWidth="1"/>
    <col min="2843" max="2843" width="16.5703125" style="105" customWidth="1"/>
    <col min="2844" max="2844" width="24" style="105" customWidth="1"/>
    <col min="2845" max="2845" width="15.7109375" style="105" customWidth="1"/>
    <col min="2846" max="2846" width="20.5703125" style="105" customWidth="1"/>
    <col min="2847" max="2847" width="13.7109375" style="105" customWidth="1"/>
    <col min="2848" max="2848" width="14.28515625" style="105" bestFit="1" customWidth="1"/>
    <col min="2849" max="3070" width="9.140625" style="105"/>
    <col min="3071" max="3071" width="18.42578125" style="105" customWidth="1"/>
    <col min="3072" max="3072" width="15.28515625" style="105" customWidth="1"/>
    <col min="3073" max="3073" width="23.85546875" style="105" customWidth="1"/>
    <col min="3074" max="3074" width="28" style="105" customWidth="1"/>
    <col min="3075" max="3076" width="20.42578125" style="105" customWidth="1"/>
    <col min="3077" max="3077" width="12.28515625" style="105" customWidth="1"/>
    <col min="3078" max="3079" width="21.85546875" style="105" customWidth="1"/>
    <col min="3080" max="3080" width="20.42578125" style="105" customWidth="1"/>
    <col min="3081" max="3081" width="22.5703125" style="105" customWidth="1"/>
    <col min="3082" max="3082" width="19.42578125" style="105" customWidth="1"/>
    <col min="3083" max="3083" width="16" style="105" customWidth="1"/>
    <col min="3084" max="3084" width="20.42578125" style="105" customWidth="1"/>
    <col min="3085" max="3085" width="18.42578125" style="105" customWidth="1"/>
    <col min="3086" max="3086" width="18.85546875" style="105" customWidth="1"/>
    <col min="3087" max="3087" width="17.7109375" style="105" customWidth="1"/>
    <col min="3088" max="3088" width="15.42578125" style="105" customWidth="1"/>
    <col min="3089" max="3089" width="15.7109375" style="105" bestFit="1" customWidth="1"/>
    <col min="3090" max="3090" width="16.5703125" style="105" customWidth="1"/>
    <col min="3091" max="3091" width="17.42578125" style="105" bestFit="1" customWidth="1"/>
    <col min="3092" max="3092" width="17" style="105" bestFit="1" customWidth="1"/>
    <col min="3093" max="3093" width="16.5703125" style="105" bestFit="1" customWidth="1"/>
    <col min="3094" max="3094" width="15.85546875" style="105" bestFit="1" customWidth="1"/>
    <col min="3095" max="3095" width="16.28515625" style="105" bestFit="1" customWidth="1"/>
    <col min="3096" max="3096" width="17" style="105" bestFit="1" customWidth="1"/>
    <col min="3097" max="3097" width="17" style="105" customWidth="1"/>
    <col min="3098" max="3098" width="19.42578125" style="105" bestFit="1" customWidth="1"/>
    <col min="3099" max="3099" width="16.5703125" style="105" customWidth="1"/>
    <col min="3100" max="3100" width="24" style="105" customWidth="1"/>
    <col min="3101" max="3101" width="15.7109375" style="105" customWidth="1"/>
    <col min="3102" max="3102" width="20.5703125" style="105" customWidth="1"/>
    <col min="3103" max="3103" width="13.7109375" style="105" customWidth="1"/>
    <col min="3104" max="3104" width="14.28515625" style="105" bestFit="1" customWidth="1"/>
    <col min="3105" max="3326" width="9.140625" style="105"/>
    <col min="3327" max="3327" width="18.42578125" style="105" customWidth="1"/>
    <col min="3328" max="3328" width="15.28515625" style="105" customWidth="1"/>
    <col min="3329" max="3329" width="23.85546875" style="105" customWidth="1"/>
    <col min="3330" max="3330" width="28" style="105" customWidth="1"/>
    <col min="3331" max="3332" width="20.42578125" style="105" customWidth="1"/>
    <col min="3333" max="3333" width="12.28515625" style="105" customWidth="1"/>
    <col min="3334" max="3335" width="21.85546875" style="105" customWidth="1"/>
    <col min="3336" max="3336" width="20.42578125" style="105" customWidth="1"/>
    <col min="3337" max="3337" width="22.5703125" style="105" customWidth="1"/>
    <col min="3338" max="3338" width="19.42578125" style="105" customWidth="1"/>
    <col min="3339" max="3339" width="16" style="105" customWidth="1"/>
    <col min="3340" max="3340" width="20.42578125" style="105" customWidth="1"/>
    <col min="3341" max="3341" width="18.42578125" style="105" customWidth="1"/>
    <col min="3342" max="3342" width="18.85546875" style="105" customWidth="1"/>
    <col min="3343" max="3343" width="17.7109375" style="105" customWidth="1"/>
    <col min="3344" max="3344" width="15.42578125" style="105" customWidth="1"/>
    <col min="3345" max="3345" width="15.7109375" style="105" bestFit="1" customWidth="1"/>
    <col min="3346" max="3346" width="16.5703125" style="105" customWidth="1"/>
    <col min="3347" max="3347" width="17.42578125" style="105" bestFit="1" customWidth="1"/>
    <col min="3348" max="3348" width="17" style="105" bestFit="1" customWidth="1"/>
    <col min="3349" max="3349" width="16.5703125" style="105" bestFit="1" customWidth="1"/>
    <col min="3350" max="3350" width="15.85546875" style="105" bestFit="1" customWidth="1"/>
    <col min="3351" max="3351" width="16.28515625" style="105" bestFit="1" customWidth="1"/>
    <col min="3352" max="3352" width="17" style="105" bestFit="1" customWidth="1"/>
    <col min="3353" max="3353" width="17" style="105" customWidth="1"/>
    <col min="3354" max="3354" width="19.42578125" style="105" bestFit="1" customWidth="1"/>
    <col min="3355" max="3355" width="16.5703125" style="105" customWidth="1"/>
    <col min="3356" max="3356" width="24" style="105" customWidth="1"/>
    <col min="3357" max="3357" width="15.7109375" style="105" customWidth="1"/>
    <col min="3358" max="3358" width="20.5703125" style="105" customWidth="1"/>
    <col min="3359" max="3359" width="13.7109375" style="105" customWidth="1"/>
    <col min="3360" max="3360" width="14.28515625" style="105" bestFit="1" customWidth="1"/>
    <col min="3361" max="3582" width="9.140625" style="105"/>
    <col min="3583" max="3583" width="18.42578125" style="105" customWidth="1"/>
    <col min="3584" max="3584" width="15.28515625" style="105" customWidth="1"/>
    <col min="3585" max="3585" width="23.85546875" style="105" customWidth="1"/>
    <col min="3586" max="3586" width="28" style="105" customWidth="1"/>
    <col min="3587" max="3588" width="20.42578125" style="105" customWidth="1"/>
    <col min="3589" max="3589" width="12.28515625" style="105" customWidth="1"/>
    <col min="3590" max="3591" width="21.85546875" style="105" customWidth="1"/>
    <col min="3592" max="3592" width="20.42578125" style="105" customWidth="1"/>
    <col min="3593" max="3593" width="22.5703125" style="105" customWidth="1"/>
    <col min="3594" max="3594" width="19.42578125" style="105" customWidth="1"/>
    <col min="3595" max="3595" width="16" style="105" customWidth="1"/>
    <col min="3596" max="3596" width="20.42578125" style="105" customWidth="1"/>
    <col min="3597" max="3597" width="18.42578125" style="105" customWidth="1"/>
    <col min="3598" max="3598" width="18.85546875" style="105" customWidth="1"/>
    <col min="3599" max="3599" width="17.7109375" style="105" customWidth="1"/>
    <col min="3600" max="3600" width="15.42578125" style="105" customWidth="1"/>
    <col min="3601" max="3601" width="15.7109375" style="105" bestFit="1" customWidth="1"/>
    <col min="3602" max="3602" width="16.5703125" style="105" customWidth="1"/>
    <col min="3603" max="3603" width="17.42578125" style="105" bestFit="1" customWidth="1"/>
    <col min="3604" max="3604" width="17" style="105" bestFit="1" customWidth="1"/>
    <col min="3605" max="3605" width="16.5703125" style="105" bestFit="1" customWidth="1"/>
    <col min="3606" max="3606" width="15.85546875" style="105" bestFit="1" customWidth="1"/>
    <col min="3607" max="3607" width="16.28515625" style="105" bestFit="1" customWidth="1"/>
    <col min="3608" max="3608" width="17" style="105" bestFit="1" customWidth="1"/>
    <col min="3609" max="3609" width="17" style="105" customWidth="1"/>
    <col min="3610" max="3610" width="19.42578125" style="105" bestFit="1" customWidth="1"/>
    <col min="3611" max="3611" width="16.5703125" style="105" customWidth="1"/>
    <col min="3612" max="3612" width="24" style="105" customWidth="1"/>
    <col min="3613" max="3613" width="15.7109375" style="105" customWidth="1"/>
    <col min="3614" max="3614" width="20.5703125" style="105" customWidth="1"/>
    <col min="3615" max="3615" width="13.7109375" style="105" customWidth="1"/>
    <col min="3616" max="3616" width="14.28515625" style="105" bestFit="1" customWidth="1"/>
    <col min="3617" max="3838" width="9.140625" style="105"/>
    <col min="3839" max="3839" width="18.42578125" style="105" customWidth="1"/>
    <col min="3840" max="3840" width="15.28515625" style="105" customWidth="1"/>
    <col min="3841" max="3841" width="23.85546875" style="105" customWidth="1"/>
    <col min="3842" max="3842" width="28" style="105" customWidth="1"/>
    <col min="3843" max="3844" width="20.42578125" style="105" customWidth="1"/>
    <col min="3845" max="3845" width="12.28515625" style="105" customWidth="1"/>
    <col min="3846" max="3847" width="21.85546875" style="105" customWidth="1"/>
    <col min="3848" max="3848" width="20.42578125" style="105" customWidth="1"/>
    <col min="3849" max="3849" width="22.5703125" style="105" customWidth="1"/>
    <col min="3850" max="3850" width="19.42578125" style="105" customWidth="1"/>
    <col min="3851" max="3851" width="16" style="105" customWidth="1"/>
    <col min="3852" max="3852" width="20.42578125" style="105" customWidth="1"/>
    <col min="3853" max="3853" width="18.42578125" style="105" customWidth="1"/>
    <col min="3854" max="3854" width="18.85546875" style="105" customWidth="1"/>
    <col min="3855" max="3855" width="17.7109375" style="105" customWidth="1"/>
    <col min="3856" max="3856" width="15.42578125" style="105" customWidth="1"/>
    <col min="3857" max="3857" width="15.7109375" style="105" bestFit="1" customWidth="1"/>
    <col min="3858" max="3858" width="16.5703125" style="105" customWidth="1"/>
    <col min="3859" max="3859" width="17.42578125" style="105" bestFit="1" customWidth="1"/>
    <col min="3860" max="3860" width="17" style="105" bestFit="1" customWidth="1"/>
    <col min="3861" max="3861" width="16.5703125" style="105" bestFit="1" customWidth="1"/>
    <col min="3862" max="3862" width="15.85546875" style="105" bestFit="1" customWidth="1"/>
    <col min="3863" max="3863" width="16.28515625" style="105" bestFit="1" customWidth="1"/>
    <col min="3864" max="3864" width="17" style="105" bestFit="1" customWidth="1"/>
    <col min="3865" max="3865" width="17" style="105" customWidth="1"/>
    <col min="3866" max="3866" width="19.42578125" style="105" bestFit="1" customWidth="1"/>
    <col min="3867" max="3867" width="16.5703125" style="105" customWidth="1"/>
    <col min="3868" max="3868" width="24" style="105" customWidth="1"/>
    <col min="3869" max="3869" width="15.7109375" style="105" customWidth="1"/>
    <col min="3870" max="3870" width="20.5703125" style="105" customWidth="1"/>
    <col min="3871" max="3871" width="13.7109375" style="105" customWidth="1"/>
    <col min="3872" max="3872" width="14.28515625" style="105" bestFit="1" customWidth="1"/>
    <col min="3873" max="4094" width="9.140625" style="105"/>
    <col min="4095" max="4095" width="18.42578125" style="105" customWidth="1"/>
    <col min="4096" max="4096" width="15.28515625" style="105" customWidth="1"/>
    <col min="4097" max="4097" width="23.85546875" style="105" customWidth="1"/>
    <col min="4098" max="4098" width="28" style="105" customWidth="1"/>
    <col min="4099" max="4100" width="20.42578125" style="105" customWidth="1"/>
    <col min="4101" max="4101" width="12.28515625" style="105" customWidth="1"/>
    <col min="4102" max="4103" width="21.85546875" style="105" customWidth="1"/>
    <col min="4104" max="4104" width="20.42578125" style="105" customWidth="1"/>
    <col min="4105" max="4105" width="22.5703125" style="105" customWidth="1"/>
    <col min="4106" max="4106" width="19.42578125" style="105" customWidth="1"/>
    <col min="4107" max="4107" width="16" style="105" customWidth="1"/>
    <col min="4108" max="4108" width="20.42578125" style="105" customWidth="1"/>
    <col min="4109" max="4109" width="18.42578125" style="105" customWidth="1"/>
    <col min="4110" max="4110" width="18.85546875" style="105" customWidth="1"/>
    <col min="4111" max="4111" width="17.7109375" style="105" customWidth="1"/>
    <col min="4112" max="4112" width="15.42578125" style="105" customWidth="1"/>
    <col min="4113" max="4113" width="15.7109375" style="105" bestFit="1" customWidth="1"/>
    <col min="4114" max="4114" width="16.5703125" style="105" customWidth="1"/>
    <col min="4115" max="4115" width="17.42578125" style="105" bestFit="1" customWidth="1"/>
    <col min="4116" max="4116" width="17" style="105" bestFit="1" customWidth="1"/>
    <col min="4117" max="4117" width="16.5703125" style="105" bestFit="1" customWidth="1"/>
    <col min="4118" max="4118" width="15.85546875" style="105" bestFit="1" customWidth="1"/>
    <col min="4119" max="4119" width="16.28515625" style="105" bestFit="1" customWidth="1"/>
    <col min="4120" max="4120" width="17" style="105" bestFit="1" customWidth="1"/>
    <col min="4121" max="4121" width="17" style="105" customWidth="1"/>
    <col min="4122" max="4122" width="19.42578125" style="105" bestFit="1" customWidth="1"/>
    <col min="4123" max="4123" width="16.5703125" style="105" customWidth="1"/>
    <col min="4124" max="4124" width="24" style="105" customWidth="1"/>
    <col min="4125" max="4125" width="15.7109375" style="105" customWidth="1"/>
    <col min="4126" max="4126" width="20.5703125" style="105" customWidth="1"/>
    <col min="4127" max="4127" width="13.7109375" style="105" customWidth="1"/>
    <col min="4128" max="4128" width="14.28515625" style="105" bestFit="1" customWidth="1"/>
    <col min="4129" max="4350" width="9.140625" style="105"/>
    <col min="4351" max="4351" width="18.42578125" style="105" customWidth="1"/>
    <col min="4352" max="4352" width="15.28515625" style="105" customWidth="1"/>
    <col min="4353" max="4353" width="23.85546875" style="105" customWidth="1"/>
    <col min="4354" max="4354" width="28" style="105" customWidth="1"/>
    <col min="4355" max="4356" width="20.42578125" style="105" customWidth="1"/>
    <col min="4357" max="4357" width="12.28515625" style="105" customWidth="1"/>
    <col min="4358" max="4359" width="21.85546875" style="105" customWidth="1"/>
    <col min="4360" max="4360" width="20.42578125" style="105" customWidth="1"/>
    <col min="4361" max="4361" width="22.5703125" style="105" customWidth="1"/>
    <col min="4362" max="4362" width="19.42578125" style="105" customWidth="1"/>
    <col min="4363" max="4363" width="16" style="105" customWidth="1"/>
    <col min="4364" max="4364" width="20.42578125" style="105" customWidth="1"/>
    <col min="4365" max="4365" width="18.42578125" style="105" customWidth="1"/>
    <col min="4366" max="4366" width="18.85546875" style="105" customWidth="1"/>
    <col min="4367" max="4367" width="17.7109375" style="105" customWidth="1"/>
    <col min="4368" max="4368" width="15.42578125" style="105" customWidth="1"/>
    <col min="4369" max="4369" width="15.7109375" style="105" bestFit="1" customWidth="1"/>
    <col min="4370" max="4370" width="16.5703125" style="105" customWidth="1"/>
    <col min="4371" max="4371" width="17.42578125" style="105" bestFit="1" customWidth="1"/>
    <col min="4372" max="4372" width="17" style="105" bestFit="1" customWidth="1"/>
    <col min="4373" max="4373" width="16.5703125" style="105" bestFit="1" customWidth="1"/>
    <col min="4374" max="4374" width="15.85546875" style="105" bestFit="1" customWidth="1"/>
    <col min="4375" max="4375" width="16.28515625" style="105" bestFit="1" customWidth="1"/>
    <col min="4376" max="4376" width="17" style="105" bestFit="1" customWidth="1"/>
    <col min="4377" max="4377" width="17" style="105" customWidth="1"/>
    <col min="4378" max="4378" width="19.42578125" style="105" bestFit="1" customWidth="1"/>
    <col min="4379" max="4379" width="16.5703125" style="105" customWidth="1"/>
    <col min="4380" max="4380" width="24" style="105" customWidth="1"/>
    <col min="4381" max="4381" width="15.7109375" style="105" customWidth="1"/>
    <col min="4382" max="4382" width="20.5703125" style="105" customWidth="1"/>
    <col min="4383" max="4383" width="13.7109375" style="105" customWidth="1"/>
    <col min="4384" max="4384" width="14.28515625" style="105" bestFit="1" customWidth="1"/>
    <col min="4385" max="4606" width="9.140625" style="105"/>
    <col min="4607" max="4607" width="18.42578125" style="105" customWidth="1"/>
    <col min="4608" max="4608" width="15.28515625" style="105" customWidth="1"/>
    <col min="4609" max="4609" width="23.85546875" style="105" customWidth="1"/>
    <col min="4610" max="4610" width="28" style="105" customWidth="1"/>
    <col min="4611" max="4612" width="20.42578125" style="105" customWidth="1"/>
    <col min="4613" max="4613" width="12.28515625" style="105" customWidth="1"/>
    <col min="4614" max="4615" width="21.85546875" style="105" customWidth="1"/>
    <col min="4616" max="4616" width="20.42578125" style="105" customWidth="1"/>
    <col min="4617" max="4617" width="22.5703125" style="105" customWidth="1"/>
    <col min="4618" max="4618" width="19.42578125" style="105" customWidth="1"/>
    <col min="4619" max="4619" width="16" style="105" customWidth="1"/>
    <col min="4620" max="4620" width="20.42578125" style="105" customWidth="1"/>
    <col min="4621" max="4621" width="18.42578125" style="105" customWidth="1"/>
    <col min="4622" max="4622" width="18.85546875" style="105" customWidth="1"/>
    <col min="4623" max="4623" width="17.7109375" style="105" customWidth="1"/>
    <col min="4624" max="4624" width="15.42578125" style="105" customWidth="1"/>
    <col min="4625" max="4625" width="15.7109375" style="105" bestFit="1" customWidth="1"/>
    <col min="4626" max="4626" width="16.5703125" style="105" customWidth="1"/>
    <col min="4627" max="4627" width="17.42578125" style="105" bestFit="1" customWidth="1"/>
    <col min="4628" max="4628" width="17" style="105" bestFit="1" customWidth="1"/>
    <col min="4629" max="4629" width="16.5703125" style="105" bestFit="1" customWidth="1"/>
    <col min="4630" max="4630" width="15.85546875" style="105" bestFit="1" customWidth="1"/>
    <col min="4631" max="4631" width="16.28515625" style="105" bestFit="1" customWidth="1"/>
    <col min="4632" max="4632" width="17" style="105" bestFit="1" customWidth="1"/>
    <col min="4633" max="4633" width="17" style="105" customWidth="1"/>
    <col min="4634" max="4634" width="19.42578125" style="105" bestFit="1" customWidth="1"/>
    <col min="4635" max="4635" width="16.5703125" style="105" customWidth="1"/>
    <col min="4636" max="4636" width="24" style="105" customWidth="1"/>
    <col min="4637" max="4637" width="15.7109375" style="105" customWidth="1"/>
    <col min="4638" max="4638" width="20.5703125" style="105" customWidth="1"/>
    <col min="4639" max="4639" width="13.7109375" style="105" customWidth="1"/>
    <col min="4640" max="4640" width="14.28515625" style="105" bestFit="1" customWidth="1"/>
    <col min="4641" max="4862" width="9.140625" style="105"/>
    <col min="4863" max="4863" width="18.42578125" style="105" customWidth="1"/>
    <col min="4864" max="4864" width="15.28515625" style="105" customWidth="1"/>
    <col min="4865" max="4865" width="23.85546875" style="105" customWidth="1"/>
    <col min="4866" max="4866" width="28" style="105" customWidth="1"/>
    <col min="4867" max="4868" width="20.42578125" style="105" customWidth="1"/>
    <col min="4869" max="4869" width="12.28515625" style="105" customWidth="1"/>
    <col min="4870" max="4871" width="21.85546875" style="105" customWidth="1"/>
    <col min="4872" max="4872" width="20.42578125" style="105" customWidth="1"/>
    <col min="4873" max="4873" width="22.5703125" style="105" customWidth="1"/>
    <col min="4874" max="4874" width="19.42578125" style="105" customWidth="1"/>
    <col min="4875" max="4875" width="16" style="105" customWidth="1"/>
    <col min="4876" max="4876" width="20.42578125" style="105" customWidth="1"/>
    <col min="4877" max="4877" width="18.42578125" style="105" customWidth="1"/>
    <col min="4878" max="4878" width="18.85546875" style="105" customWidth="1"/>
    <col min="4879" max="4879" width="17.7109375" style="105" customWidth="1"/>
    <col min="4880" max="4880" width="15.42578125" style="105" customWidth="1"/>
    <col min="4881" max="4881" width="15.7109375" style="105" bestFit="1" customWidth="1"/>
    <col min="4882" max="4882" width="16.5703125" style="105" customWidth="1"/>
    <col min="4883" max="4883" width="17.42578125" style="105" bestFit="1" customWidth="1"/>
    <col min="4884" max="4884" width="17" style="105" bestFit="1" customWidth="1"/>
    <col min="4885" max="4885" width="16.5703125" style="105" bestFit="1" customWidth="1"/>
    <col min="4886" max="4886" width="15.85546875" style="105" bestFit="1" customWidth="1"/>
    <col min="4887" max="4887" width="16.28515625" style="105" bestFit="1" customWidth="1"/>
    <col min="4888" max="4888" width="17" style="105" bestFit="1" customWidth="1"/>
    <col min="4889" max="4889" width="17" style="105" customWidth="1"/>
    <col min="4890" max="4890" width="19.42578125" style="105" bestFit="1" customWidth="1"/>
    <col min="4891" max="4891" width="16.5703125" style="105" customWidth="1"/>
    <col min="4892" max="4892" width="24" style="105" customWidth="1"/>
    <col min="4893" max="4893" width="15.7109375" style="105" customWidth="1"/>
    <col min="4894" max="4894" width="20.5703125" style="105" customWidth="1"/>
    <col min="4895" max="4895" width="13.7109375" style="105" customWidth="1"/>
    <col min="4896" max="4896" width="14.28515625" style="105" bestFit="1" customWidth="1"/>
    <col min="4897" max="5118" width="9.140625" style="105"/>
    <col min="5119" max="5119" width="18.42578125" style="105" customWidth="1"/>
    <col min="5120" max="5120" width="15.28515625" style="105" customWidth="1"/>
    <col min="5121" max="5121" width="23.85546875" style="105" customWidth="1"/>
    <col min="5122" max="5122" width="28" style="105" customWidth="1"/>
    <col min="5123" max="5124" width="20.42578125" style="105" customWidth="1"/>
    <col min="5125" max="5125" width="12.28515625" style="105" customWidth="1"/>
    <col min="5126" max="5127" width="21.85546875" style="105" customWidth="1"/>
    <col min="5128" max="5128" width="20.42578125" style="105" customWidth="1"/>
    <col min="5129" max="5129" width="22.5703125" style="105" customWidth="1"/>
    <col min="5130" max="5130" width="19.42578125" style="105" customWidth="1"/>
    <col min="5131" max="5131" width="16" style="105" customWidth="1"/>
    <col min="5132" max="5132" width="20.42578125" style="105" customWidth="1"/>
    <col min="5133" max="5133" width="18.42578125" style="105" customWidth="1"/>
    <col min="5134" max="5134" width="18.85546875" style="105" customWidth="1"/>
    <col min="5135" max="5135" width="17.7109375" style="105" customWidth="1"/>
    <col min="5136" max="5136" width="15.42578125" style="105" customWidth="1"/>
    <col min="5137" max="5137" width="15.7109375" style="105" bestFit="1" customWidth="1"/>
    <col min="5138" max="5138" width="16.5703125" style="105" customWidth="1"/>
    <col min="5139" max="5139" width="17.42578125" style="105" bestFit="1" customWidth="1"/>
    <col min="5140" max="5140" width="17" style="105" bestFit="1" customWidth="1"/>
    <col min="5141" max="5141" width="16.5703125" style="105" bestFit="1" customWidth="1"/>
    <col min="5142" max="5142" width="15.85546875" style="105" bestFit="1" customWidth="1"/>
    <col min="5143" max="5143" width="16.28515625" style="105" bestFit="1" customWidth="1"/>
    <col min="5144" max="5144" width="17" style="105" bestFit="1" customWidth="1"/>
    <col min="5145" max="5145" width="17" style="105" customWidth="1"/>
    <col min="5146" max="5146" width="19.42578125" style="105" bestFit="1" customWidth="1"/>
    <col min="5147" max="5147" width="16.5703125" style="105" customWidth="1"/>
    <col min="5148" max="5148" width="24" style="105" customWidth="1"/>
    <col min="5149" max="5149" width="15.7109375" style="105" customWidth="1"/>
    <col min="5150" max="5150" width="20.5703125" style="105" customWidth="1"/>
    <col min="5151" max="5151" width="13.7109375" style="105" customWidth="1"/>
    <col min="5152" max="5152" width="14.28515625" style="105" bestFit="1" customWidth="1"/>
    <col min="5153" max="5374" width="9.140625" style="105"/>
    <col min="5375" max="5375" width="18.42578125" style="105" customWidth="1"/>
    <col min="5376" max="5376" width="15.28515625" style="105" customWidth="1"/>
    <col min="5377" max="5377" width="23.85546875" style="105" customWidth="1"/>
    <col min="5378" max="5378" width="28" style="105" customWidth="1"/>
    <col min="5379" max="5380" width="20.42578125" style="105" customWidth="1"/>
    <col min="5381" max="5381" width="12.28515625" style="105" customWidth="1"/>
    <col min="5382" max="5383" width="21.85546875" style="105" customWidth="1"/>
    <col min="5384" max="5384" width="20.42578125" style="105" customWidth="1"/>
    <col min="5385" max="5385" width="22.5703125" style="105" customWidth="1"/>
    <col min="5386" max="5386" width="19.42578125" style="105" customWidth="1"/>
    <col min="5387" max="5387" width="16" style="105" customWidth="1"/>
    <col min="5388" max="5388" width="20.42578125" style="105" customWidth="1"/>
    <col min="5389" max="5389" width="18.42578125" style="105" customWidth="1"/>
    <col min="5390" max="5390" width="18.85546875" style="105" customWidth="1"/>
    <col min="5391" max="5391" width="17.7109375" style="105" customWidth="1"/>
    <col min="5392" max="5392" width="15.42578125" style="105" customWidth="1"/>
    <col min="5393" max="5393" width="15.7109375" style="105" bestFit="1" customWidth="1"/>
    <col min="5394" max="5394" width="16.5703125" style="105" customWidth="1"/>
    <col min="5395" max="5395" width="17.42578125" style="105" bestFit="1" customWidth="1"/>
    <col min="5396" max="5396" width="17" style="105" bestFit="1" customWidth="1"/>
    <col min="5397" max="5397" width="16.5703125" style="105" bestFit="1" customWidth="1"/>
    <col min="5398" max="5398" width="15.85546875" style="105" bestFit="1" customWidth="1"/>
    <col min="5399" max="5399" width="16.28515625" style="105" bestFit="1" customWidth="1"/>
    <col min="5400" max="5400" width="17" style="105" bestFit="1" customWidth="1"/>
    <col min="5401" max="5401" width="17" style="105" customWidth="1"/>
    <col min="5402" max="5402" width="19.42578125" style="105" bestFit="1" customWidth="1"/>
    <col min="5403" max="5403" width="16.5703125" style="105" customWidth="1"/>
    <col min="5404" max="5404" width="24" style="105" customWidth="1"/>
    <col min="5405" max="5405" width="15.7109375" style="105" customWidth="1"/>
    <col min="5406" max="5406" width="20.5703125" style="105" customWidth="1"/>
    <col min="5407" max="5407" width="13.7109375" style="105" customWidth="1"/>
    <col min="5408" max="5408" width="14.28515625" style="105" bestFit="1" customWidth="1"/>
    <col min="5409" max="5630" width="9.140625" style="105"/>
    <col min="5631" max="5631" width="18.42578125" style="105" customWidth="1"/>
    <col min="5632" max="5632" width="15.28515625" style="105" customWidth="1"/>
    <col min="5633" max="5633" width="23.85546875" style="105" customWidth="1"/>
    <col min="5634" max="5634" width="28" style="105" customWidth="1"/>
    <col min="5635" max="5636" width="20.42578125" style="105" customWidth="1"/>
    <col min="5637" max="5637" width="12.28515625" style="105" customWidth="1"/>
    <col min="5638" max="5639" width="21.85546875" style="105" customWidth="1"/>
    <col min="5640" max="5640" width="20.42578125" style="105" customWidth="1"/>
    <col min="5641" max="5641" width="22.5703125" style="105" customWidth="1"/>
    <col min="5642" max="5642" width="19.42578125" style="105" customWidth="1"/>
    <col min="5643" max="5643" width="16" style="105" customWidth="1"/>
    <col min="5644" max="5644" width="20.42578125" style="105" customWidth="1"/>
    <col min="5645" max="5645" width="18.42578125" style="105" customWidth="1"/>
    <col min="5646" max="5646" width="18.85546875" style="105" customWidth="1"/>
    <col min="5647" max="5647" width="17.7109375" style="105" customWidth="1"/>
    <col min="5648" max="5648" width="15.42578125" style="105" customWidth="1"/>
    <col min="5649" max="5649" width="15.7109375" style="105" bestFit="1" customWidth="1"/>
    <col min="5650" max="5650" width="16.5703125" style="105" customWidth="1"/>
    <col min="5651" max="5651" width="17.42578125" style="105" bestFit="1" customWidth="1"/>
    <col min="5652" max="5652" width="17" style="105" bestFit="1" customWidth="1"/>
    <col min="5653" max="5653" width="16.5703125" style="105" bestFit="1" customWidth="1"/>
    <col min="5654" max="5654" width="15.85546875" style="105" bestFit="1" customWidth="1"/>
    <col min="5655" max="5655" width="16.28515625" style="105" bestFit="1" customWidth="1"/>
    <col min="5656" max="5656" width="17" style="105" bestFit="1" customWidth="1"/>
    <col min="5657" max="5657" width="17" style="105" customWidth="1"/>
    <col min="5658" max="5658" width="19.42578125" style="105" bestFit="1" customWidth="1"/>
    <col min="5659" max="5659" width="16.5703125" style="105" customWidth="1"/>
    <col min="5660" max="5660" width="24" style="105" customWidth="1"/>
    <col min="5661" max="5661" width="15.7109375" style="105" customWidth="1"/>
    <col min="5662" max="5662" width="20.5703125" style="105" customWidth="1"/>
    <col min="5663" max="5663" width="13.7109375" style="105" customWidth="1"/>
    <col min="5664" max="5664" width="14.28515625" style="105" bestFit="1" customWidth="1"/>
    <col min="5665" max="5886" width="9.140625" style="105"/>
    <col min="5887" max="5887" width="18.42578125" style="105" customWidth="1"/>
    <col min="5888" max="5888" width="15.28515625" style="105" customWidth="1"/>
    <col min="5889" max="5889" width="23.85546875" style="105" customWidth="1"/>
    <col min="5890" max="5890" width="28" style="105" customWidth="1"/>
    <col min="5891" max="5892" width="20.42578125" style="105" customWidth="1"/>
    <col min="5893" max="5893" width="12.28515625" style="105" customWidth="1"/>
    <col min="5894" max="5895" width="21.85546875" style="105" customWidth="1"/>
    <col min="5896" max="5896" width="20.42578125" style="105" customWidth="1"/>
    <col min="5897" max="5897" width="22.5703125" style="105" customWidth="1"/>
    <col min="5898" max="5898" width="19.42578125" style="105" customWidth="1"/>
    <col min="5899" max="5899" width="16" style="105" customWidth="1"/>
    <col min="5900" max="5900" width="20.42578125" style="105" customWidth="1"/>
    <col min="5901" max="5901" width="18.42578125" style="105" customWidth="1"/>
    <col min="5902" max="5902" width="18.85546875" style="105" customWidth="1"/>
    <col min="5903" max="5903" width="17.7109375" style="105" customWidth="1"/>
    <col min="5904" max="5904" width="15.42578125" style="105" customWidth="1"/>
    <col min="5905" max="5905" width="15.7109375" style="105" bestFit="1" customWidth="1"/>
    <col min="5906" max="5906" width="16.5703125" style="105" customWidth="1"/>
    <col min="5907" max="5907" width="17.42578125" style="105" bestFit="1" customWidth="1"/>
    <col min="5908" max="5908" width="17" style="105" bestFit="1" customWidth="1"/>
    <col min="5909" max="5909" width="16.5703125" style="105" bestFit="1" customWidth="1"/>
    <col min="5910" max="5910" width="15.85546875" style="105" bestFit="1" customWidth="1"/>
    <col min="5911" max="5911" width="16.28515625" style="105" bestFit="1" customWidth="1"/>
    <col min="5912" max="5912" width="17" style="105" bestFit="1" customWidth="1"/>
    <col min="5913" max="5913" width="17" style="105" customWidth="1"/>
    <col min="5914" max="5914" width="19.42578125" style="105" bestFit="1" customWidth="1"/>
    <col min="5915" max="5915" width="16.5703125" style="105" customWidth="1"/>
    <col min="5916" max="5916" width="24" style="105" customWidth="1"/>
    <col min="5917" max="5917" width="15.7109375" style="105" customWidth="1"/>
    <col min="5918" max="5918" width="20.5703125" style="105" customWidth="1"/>
    <col min="5919" max="5919" width="13.7109375" style="105" customWidth="1"/>
    <col min="5920" max="5920" width="14.28515625" style="105" bestFit="1" customWidth="1"/>
    <col min="5921" max="6142" width="9.140625" style="105"/>
    <col min="6143" max="6143" width="18.42578125" style="105" customWidth="1"/>
    <col min="6144" max="6144" width="15.28515625" style="105" customWidth="1"/>
    <col min="6145" max="6145" width="23.85546875" style="105" customWidth="1"/>
    <col min="6146" max="6146" width="28" style="105" customWidth="1"/>
    <col min="6147" max="6148" width="20.42578125" style="105" customWidth="1"/>
    <col min="6149" max="6149" width="12.28515625" style="105" customWidth="1"/>
    <col min="6150" max="6151" width="21.85546875" style="105" customWidth="1"/>
    <col min="6152" max="6152" width="20.42578125" style="105" customWidth="1"/>
    <col min="6153" max="6153" width="22.5703125" style="105" customWidth="1"/>
    <col min="6154" max="6154" width="19.42578125" style="105" customWidth="1"/>
    <col min="6155" max="6155" width="16" style="105" customWidth="1"/>
    <col min="6156" max="6156" width="20.42578125" style="105" customWidth="1"/>
    <col min="6157" max="6157" width="18.42578125" style="105" customWidth="1"/>
    <col min="6158" max="6158" width="18.85546875" style="105" customWidth="1"/>
    <col min="6159" max="6159" width="17.7109375" style="105" customWidth="1"/>
    <col min="6160" max="6160" width="15.42578125" style="105" customWidth="1"/>
    <col min="6161" max="6161" width="15.7109375" style="105" bestFit="1" customWidth="1"/>
    <col min="6162" max="6162" width="16.5703125" style="105" customWidth="1"/>
    <col min="6163" max="6163" width="17.42578125" style="105" bestFit="1" customWidth="1"/>
    <col min="6164" max="6164" width="17" style="105" bestFit="1" customWidth="1"/>
    <col min="6165" max="6165" width="16.5703125" style="105" bestFit="1" customWidth="1"/>
    <col min="6166" max="6166" width="15.85546875" style="105" bestFit="1" customWidth="1"/>
    <col min="6167" max="6167" width="16.28515625" style="105" bestFit="1" customWidth="1"/>
    <col min="6168" max="6168" width="17" style="105" bestFit="1" customWidth="1"/>
    <col min="6169" max="6169" width="17" style="105" customWidth="1"/>
    <col min="6170" max="6170" width="19.42578125" style="105" bestFit="1" customWidth="1"/>
    <col min="6171" max="6171" width="16.5703125" style="105" customWidth="1"/>
    <col min="6172" max="6172" width="24" style="105" customWidth="1"/>
    <col min="6173" max="6173" width="15.7109375" style="105" customWidth="1"/>
    <col min="6174" max="6174" width="20.5703125" style="105" customWidth="1"/>
    <col min="6175" max="6175" width="13.7109375" style="105" customWidth="1"/>
    <col min="6176" max="6176" width="14.28515625" style="105" bestFit="1" customWidth="1"/>
    <col min="6177" max="6398" width="9.140625" style="105"/>
    <col min="6399" max="6399" width="18.42578125" style="105" customWidth="1"/>
    <col min="6400" max="6400" width="15.28515625" style="105" customWidth="1"/>
    <col min="6401" max="6401" width="23.85546875" style="105" customWidth="1"/>
    <col min="6402" max="6402" width="28" style="105" customWidth="1"/>
    <col min="6403" max="6404" width="20.42578125" style="105" customWidth="1"/>
    <col min="6405" max="6405" width="12.28515625" style="105" customWidth="1"/>
    <col min="6406" max="6407" width="21.85546875" style="105" customWidth="1"/>
    <col min="6408" max="6408" width="20.42578125" style="105" customWidth="1"/>
    <col min="6409" max="6409" width="22.5703125" style="105" customWidth="1"/>
    <col min="6410" max="6410" width="19.42578125" style="105" customWidth="1"/>
    <col min="6411" max="6411" width="16" style="105" customWidth="1"/>
    <col min="6412" max="6412" width="20.42578125" style="105" customWidth="1"/>
    <col min="6413" max="6413" width="18.42578125" style="105" customWidth="1"/>
    <col min="6414" max="6414" width="18.85546875" style="105" customWidth="1"/>
    <col min="6415" max="6415" width="17.7109375" style="105" customWidth="1"/>
    <col min="6416" max="6416" width="15.42578125" style="105" customWidth="1"/>
    <col min="6417" max="6417" width="15.7109375" style="105" bestFit="1" customWidth="1"/>
    <col min="6418" max="6418" width="16.5703125" style="105" customWidth="1"/>
    <col min="6419" max="6419" width="17.42578125" style="105" bestFit="1" customWidth="1"/>
    <col min="6420" max="6420" width="17" style="105" bestFit="1" customWidth="1"/>
    <col min="6421" max="6421" width="16.5703125" style="105" bestFit="1" customWidth="1"/>
    <col min="6422" max="6422" width="15.85546875" style="105" bestFit="1" customWidth="1"/>
    <col min="6423" max="6423" width="16.28515625" style="105" bestFit="1" customWidth="1"/>
    <col min="6424" max="6424" width="17" style="105" bestFit="1" customWidth="1"/>
    <col min="6425" max="6425" width="17" style="105" customWidth="1"/>
    <col min="6426" max="6426" width="19.42578125" style="105" bestFit="1" customWidth="1"/>
    <col min="6427" max="6427" width="16.5703125" style="105" customWidth="1"/>
    <col min="6428" max="6428" width="24" style="105" customWidth="1"/>
    <col min="6429" max="6429" width="15.7109375" style="105" customWidth="1"/>
    <col min="6430" max="6430" width="20.5703125" style="105" customWidth="1"/>
    <col min="6431" max="6431" width="13.7109375" style="105" customWidth="1"/>
    <col min="6432" max="6432" width="14.28515625" style="105" bestFit="1" customWidth="1"/>
    <col min="6433" max="6654" width="9.140625" style="105"/>
    <col min="6655" max="6655" width="18.42578125" style="105" customWidth="1"/>
    <col min="6656" max="6656" width="15.28515625" style="105" customWidth="1"/>
    <col min="6657" max="6657" width="23.85546875" style="105" customWidth="1"/>
    <col min="6658" max="6658" width="28" style="105" customWidth="1"/>
    <col min="6659" max="6660" width="20.42578125" style="105" customWidth="1"/>
    <col min="6661" max="6661" width="12.28515625" style="105" customWidth="1"/>
    <col min="6662" max="6663" width="21.85546875" style="105" customWidth="1"/>
    <col min="6664" max="6664" width="20.42578125" style="105" customWidth="1"/>
    <col min="6665" max="6665" width="22.5703125" style="105" customWidth="1"/>
    <col min="6666" max="6666" width="19.42578125" style="105" customWidth="1"/>
    <col min="6667" max="6667" width="16" style="105" customWidth="1"/>
    <col min="6668" max="6668" width="20.42578125" style="105" customWidth="1"/>
    <col min="6669" max="6669" width="18.42578125" style="105" customWidth="1"/>
    <col min="6670" max="6670" width="18.85546875" style="105" customWidth="1"/>
    <col min="6671" max="6671" width="17.7109375" style="105" customWidth="1"/>
    <col min="6672" max="6672" width="15.42578125" style="105" customWidth="1"/>
    <col min="6673" max="6673" width="15.7109375" style="105" bestFit="1" customWidth="1"/>
    <col min="6674" max="6674" width="16.5703125" style="105" customWidth="1"/>
    <col min="6675" max="6675" width="17.42578125" style="105" bestFit="1" customWidth="1"/>
    <col min="6676" max="6676" width="17" style="105" bestFit="1" customWidth="1"/>
    <col min="6677" max="6677" width="16.5703125" style="105" bestFit="1" customWidth="1"/>
    <col min="6678" max="6678" width="15.85546875" style="105" bestFit="1" customWidth="1"/>
    <col min="6679" max="6679" width="16.28515625" style="105" bestFit="1" customWidth="1"/>
    <col min="6680" max="6680" width="17" style="105" bestFit="1" customWidth="1"/>
    <col min="6681" max="6681" width="17" style="105" customWidth="1"/>
    <col min="6682" max="6682" width="19.42578125" style="105" bestFit="1" customWidth="1"/>
    <col min="6683" max="6683" width="16.5703125" style="105" customWidth="1"/>
    <col min="6684" max="6684" width="24" style="105" customWidth="1"/>
    <col min="6685" max="6685" width="15.7109375" style="105" customWidth="1"/>
    <col min="6686" max="6686" width="20.5703125" style="105" customWidth="1"/>
    <col min="6687" max="6687" width="13.7109375" style="105" customWidth="1"/>
    <col min="6688" max="6688" width="14.28515625" style="105" bestFit="1" customWidth="1"/>
    <col min="6689" max="6910" width="9.140625" style="105"/>
    <col min="6911" max="6911" width="18.42578125" style="105" customWidth="1"/>
    <col min="6912" max="6912" width="15.28515625" style="105" customWidth="1"/>
    <col min="6913" max="6913" width="23.85546875" style="105" customWidth="1"/>
    <col min="6914" max="6914" width="28" style="105" customWidth="1"/>
    <col min="6915" max="6916" width="20.42578125" style="105" customWidth="1"/>
    <col min="6917" max="6917" width="12.28515625" style="105" customWidth="1"/>
    <col min="6918" max="6919" width="21.85546875" style="105" customWidth="1"/>
    <col min="6920" max="6920" width="20.42578125" style="105" customWidth="1"/>
    <col min="6921" max="6921" width="22.5703125" style="105" customWidth="1"/>
    <col min="6922" max="6922" width="19.42578125" style="105" customWidth="1"/>
    <col min="6923" max="6923" width="16" style="105" customWidth="1"/>
    <col min="6924" max="6924" width="20.42578125" style="105" customWidth="1"/>
    <col min="6925" max="6925" width="18.42578125" style="105" customWidth="1"/>
    <col min="6926" max="6926" width="18.85546875" style="105" customWidth="1"/>
    <col min="6927" max="6927" width="17.7109375" style="105" customWidth="1"/>
    <col min="6928" max="6928" width="15.42578125" style="105" customWidth="1"/>
    <col min="6929" max="6929" width="15.7109375" style="105" bestFit="1" customWidth="1"/>
    <col min="6930" max="6930" width="16.5703125" style="105" customWidth="1"/>
    <col min="6931" max="6931" width="17.42578125" style="105" bestFit="1" customWidth="1"/>
    <col min="6932" max="6932" width="17" style="105" bestFit="1" customWidth="1"/>
    <col min="6933" max="6933" width="16.5703125" style="105" bestFit="1" customWidth="1"/>
    <col min="6934" max="6934" width="15.85546875" style="105" bestFit="1" customWidth="1"/>
    <col min="6935" max="6935" width="16.28515625" style="105" bestFit="1" customWidth="1"/>
    <col min="6936" max="6936" width="17" style="105" bestFit="1" customWidth="1"/>
    <col min="6937" max="6937" width="17" style="105" customWidth="1"/>
    <col min="6938" max="6938" width="19.42578125" style="105" bestFit="1" customWidth="1"/>
    <col min="6939" max="6939" width="16.5703125" style="105" customWidth="1"/>
    <col min="6940" max="6940" width="24" style="105" customWidth="1"/>
    <col min="6941" max="6941" width="15.7109375" style="105" customWidth="1"/>
    <col min="6942" max="6942" width="20.5703125" style="105" customWidth="1"/>
    <col min="6943" max="6943" width="13.7109375" style="105" customWidth="1"/>
    <col min="6944" max="6944" width="14.28515625" style="105" bestFit="1" customWidth="1"/>
    <col min="6945" max="7166" width="9.140625" style="105"/>
    <col min="7167" max="7167" width="18.42578125" style="105" customWidth="1"/>
    <col min="7168" max="7168" width="15.28515625" style="105" customWidth="1"/>
    <col min="7169" max="7169" width="23.85546875" style="105" customWidth="1"/>
    <col min="7170" max="7170" width="28" style="105" customWidth="1"/>
    <col min="7171" max="7172" width="20.42578125" style="105" customWidth="1"/>
    <col min="7173" max="7173" width="12.28515625" style="105" customWidth="1"/>
    <col min="7174" max="7175" width="21.85546875" style="105" customWidth="1"/>
    <col min="7176" max="7176" width="20.42578125" style="105" customWidth="1"/>
    <col min="7177" max="7177" width="22.5703125" style="105" customWidth="1"/>
    <col min="7178" max="7178" width="19.42578125" style="105" customWidth="1"/>
    <col min="7179" max="7179" width="16" style="105" customWidth="1"/>
    <col min="7180" max="7180" width="20.42578125" style="105" customWidth="1"/>
    <col min="7181" max="7181" width="18.42578125" style="105" customWidth="1"/>
    <col min="7182" max="7182" width="18.85546875" style="105" customWidth="1"/>
    <col min="7183" max="7183" width="17.7109375" style="105" customWidth="1"/>
    <col min="7184" max="7184" width="15.42578125" style="105" customWidth="1"/>
    <col min="7185" max="7185" width="15.7109375" style="105" bestFit="1" customWidth="1"/>
    <col min="7186" max="7186" width="16.5703125" style="105" customWidth="1"/>
    <col min="7187" max="7187" width="17.42578125" style="105" bestFit="1" customWidth="1"/>
    <col min="7188" max="7188" width="17" style="105" bestFit="1" customWidth="1"/>
    <col min="7189" max="7189" width="16.5703125" style="105" bestFit="1" customWidth="1"/>
    <col min="7190" max="7190" width="15.85546875" style="105" bestFit="1" customWidth="1"/>
    <col min="7191" max="7191" width="16.28515625" style="105" bestFit="1" customWidth="1"/>
    <col min="7192" max="7192" width="17" style="105" bestFit="1" customWidth="1"/>
    <col min="7193" max="7193" width="17" style="105" customWidth="1"/>
    <col min="7194" max="7194" width="19.42578125" style="105" bestFit="1" customWidth="1"/>
    <col min="7195" max="7195" width="16.5703125" style="105" customWidth="1"/>
    <col min="7196" max="7196" width="24" style="105" customWidth="1"/>
    <col min="7197" max="7197" width="15.7109375" style="105" customWidth="1"/>
    <col min="7198" max="7198" width="20.5703125" style="105" customWidth="1"/>
    <col min="7199" max="7199" width="13.7109375" style="105" customWidth="1"/>
    <col min="7200" max="7200" width="14.28515625" style="105" bestFit="1" customWidth="1"/>
    <col min="7201" max="7422" width="9.140625" style="105"/>
    <col min="7423" max="7423" width="18.42578125" style="105" customWidth="1"/>
    <col min="7424" max="7424" width="15.28515625" style="105" customWidth="1"/>
    <col min="7425" max="7425" width="23.85546875" style="105" customWidth="1"/>
    <col min="7426" max="7426" width="28" style="105" customWidth="1"/>
    <col min="7427" max="7428" width="20.42578125" style="105" customWidth="1"/>
    <col min="7429" max="7429" width="12.28515625" style="105" customWidth="1"/>
    <col min="7430" max="7431" width="21.85546875" style="105" customWidth="1"/>
    <col min="7432" max="7432" width="20.42578125" style="105" customWidth="1"/>
    <col min="7433" max="7433" width="22.5703125" style="105" customWidth="1"/>
    <col min="7434" max="7434" width="19.42578125" style="105" customWidth="1"/>
    <col min="7435" max="7435" width="16" style="105" customWidth="1"/>
    <col min="7436" max="7436" width="20.42578125" style="105" customWidth="1"/>
    <col min="7437" max="7437" width="18.42578125" style="105" customWidth="1"/>
    <col min="7438" max="7438" width="18.85546875" style="105" customWidth="1"/>
    <col min="7439" max="7439" width="17.7109375" style="105" customWidth="1"/>
    <col min="7440" max="7440" width="15.42578125" style="105" customWidth="1"/>
    <col min="7441" max="7441" width="15.7109375" style="105" bestFit="1" customWidth="1"/>
    <col min="7442" max="7442" width="16.5703125" style="105" customWidth="1"/>
    <col min="7443" max="7443" width="17.42578125" style="105" bestFit="1" customWidth="1"/>
    <col min="7444" max="7444" width="17" style="105" bestFit="1" customWidth="1"/>
    <col min="7445" max="7445" width="16.5703125" style="105" bestFit="1" customWidth="1"/>
    <col min="7446" max="7446" width="15.85546875" style="105" bestFit="1" customWidth="1"/>
    <col min="7447" max="7447" width="16.28515625" style="105" bestFit="1" customWidth="1"/>
    <col min="7448" max="7448" width="17" style="105" bestFit="1" customWidth="1"/>
    <col min="7449" max="7449" width="17" style="105" customWidth="1"/>
    <col min="7450" max="7450" width="19.42578125" style="105" bestFit="1" customWidth="1"/>
    <col min="7451" max="7451" width="16.5703125" style="105" customWidth="1"/>
    <col min="7452" max="7452" width="24" style="105" customWidth="1"/>
    <col min="7453" max="7453" width="15.7109375" style="105" customWidth="1"/>
    <col min="7454" max="7454" width="20.5703125" style="105" customWidth="1"/>
    <col min="7455" max="7455" width="13.7109375" style="105" customWidth="1"/>
    <col min="7456" max="7456" width="14.28515625" style="105" bestFit="1" customWidth="1"/>
    <col min="7457" max="7678" width="9.140625" style="105"/>
    <col min="7679" max="7679" width="18.42578125" style="105" customWidth="1"/>
    <col min="7680" max="7680" width="15.28515625" style="105" customWidth="1"/>
    <col min="7681" max="7681" width="23.85546875" style="105" customWidth="1"/>
    <col min="7682" max="7682" width="28" style="105" customWidth="1"/>
    <col min="7683" max="7684" width="20.42578125" style="105" customWidth="1"/>
    <col min="7685" max="7685" width="12.28515625" style="105" customWidth="1"/>
    <col min="7686" max="7687" width="21.85546875" style="105" customWidth="1"/>
    <col min="7688" max="7688" width="20.42578125" style="105" customWidth="1"/>
    <col min="7689" max="7689" width="22.5703125" style="105" customWidth="1"/>
    <col min="7690" max="7690" width="19.42578125" style="105" customWidth="1"/>
    <col min="7691" max="7691" width="16" style="105" customWidth="1"/>
    <col min="7692" max="7692" width="20.42578125" style="105" customWidth="1"/>
    <col min="7693" max="7693" width="18.42578125" style="105" customWidth="1"/>
    <col min="7694" max="7694" width="18.85546875" style="105" customWidth="1"/>
    <col min="7695" max="7695" width="17.7109375" style="105" customWidth="1"/>
    <col min="7696" max="7696" width="15.42578125" style="105" customWidth="1"/>
    <col min="7697" max="7697" width="15.7109375" style="105" bestFit="1" customWidth="1"/>
    <col min="7698" max="7698" width="16.5703125" style="105" customWidth="1"/>
    <col min="7699" max="7699" width="17.42578125" style="105" bestFit="1" customWidth="1"/>
    <col min="7700" max="7700" width="17" style="105" bestFit="1" customWidth="1"/>
    <col min="7701" max="7701" width="16.5703125" style="105" bestFit="1" customWidth="1"/>
    <col min="7702" max="7702" width="15.85546875" style="105" bestFit="1" customWidth="1"/>
    <col min="7703" max="7703" width="16.28515625" style="105" bestFit="1" customWidth="1"/>
    <col min="7704" max="7704" width="17" style="105" bestFit="1" customWidth="1"/>
    <col min="7705" max="7705" width="17" style="105" customWidth="1"/>
    <col min="7706" max="7706" width="19.42578125" style="105" bestFit="1" customWidth="1"/>
    <col min="7707" max="7707" width="16.5703125" style="105" customWidth="1"/>
    <col min="7708" max="7708" width="24" style="105" customWidth="1"/>
    <col min="7709" max="7709" width="15.7109375" style="105" customWidth="1"/>
    <col min="7710" max="7710" width="20.5703125" style="105" customWidth="1"/>
    <col min="7711" max="7711" width="13.7109375" style="105" customWidth="1"/>
    <col min="7712" max="7712" width="14.28515625" style="105" bestFit="1" customWidth="1"/>
    <col min="7713" max="7934" width="9.140625" style="105"/>
    <col min="7935" max="7935" width="18.42578125" style="105" customWidth="1"/>
    <col min="7936" max="7936" width="15.28515625" style="105" customWidth="1"/>
    <col min="7937" max="7937" width="23.85546875" style="105" customWidth="1"/>
    <col min="7938" max="7938" width="28" style="105" customWidth="1"/>
    <col min="7939" max="7940" width="20.42578125" style="105" customWidth="1"/>
    <col min="7941" max="7941" width="12.28515625" style="105" customWidth="1"/>
    <col min="7942" max="7943" width="21.85546875" style="105" customWidth="1"/>
    <col min="7944" max="7944" width="20.42578125" style="105" customWidth="1"/>
    <col min="7945" max="7945" width="22.5703125" style="105" customWidth="1"/>
    <col min="7946" max="7946" width="19.42578125" style="105" customWidth="1"/>
    <col min="7947" max="7947" width="16" style="105" customWidth="1"/>
    <col min="7948" max="7948" width="20.42578125" style="105" customWidth="1"/>
    <col min="7949" max="7949" width="18.42578125" style="105" customWidth="1"/>
    <col min="7950" max="7950" width="18.85546875" style="105" customWidth="1"/>
    <col min="7951" max="7951" width="17.7109375" style="105" customWidth="1"/>
    <col min="7952" max="7952" width="15.42578125" style="105" customWidth="1"/>
    <col min="7953" max="7953" width="15.7109375" style="105" bestFit="1" customWidth="1"/>
    <col min="7954" max="7954" width="16.5703125" style="105" customWidth="1"/>
    <col min="7955" max="7955" width="17.42578125" style="105" bestFit="1" customWidth="1"/>
    <col min="7956" max="7956" width="17" style="105" bestFit="1" customWidth="1"/>
    <col min="7957" max="7957" width="16.5703125" style="105" bestFit="1" customWidth="1"/>
    <col min="7958" max="7958" width="15.85546875" style="105" bestFit="1" customWidth="1"/>
    <col min="7959" max="7959" width="16.28515625" style="105" bestFit="1" customWidth="1"/>
    <col min="7960" max="7960" width="17" style="105" bestFit="1" customWidth="1"/>
    <col min="7961" max="7961" width="17" style="105" customWidth="1"/>
    <col min="7962" max="7962" width="19.42578125" style="105" bestFit="1" customWidth="1"/>
    <col min="7963" max="7963" width="16.5703125" style="105" customWidth="1"/>
    <col min="7964" max="7964" width="24" style="105" customWidth="1"/>
    <col min="7965" max="7965" width="15.7109375" style="105" customWidth="1"/>
    <col min="7966" max="7966" width="20.5703125" style="105" customWidth="1"/>
    <col min="7967" max="7967" width="13.7109375" style="105" customWidth="1"/>
    <col min="7968" max="7968" width="14.28515625" style="105" bestFit="1" customWidth="1"/>
    <col min="7969" max="8190" width="9.140625" style="105"/>
    <col min="8191" max="8191" width="18.42578125" style="105" customWidth="1"/>
    <col min="8192" max="8192" width="15.28515625" style="105" customWidth="1"/>
    <col min="8193" max="8193" width="23.85546875" style="105" customWidth="1"/>
    <col min="8194" max="8194" width="28" style="105" customWidth="1"/>
    <col min="8195" max="8196" width="20.42578125" style="105" customWidth="1"/>
    <col min="8197" max="8197" width="12.28515625" style="105" customWidth="1"/>
    <col min="8198" max="8199" width="21.85546875" style="105" customWidth="1"/>
    <col min="8200" max="8200" width="20.42578125" style="105" customWidth="1"/>
    <col min="8201" max="8201" width="22.5703125" style="105" customWidth="1"/>
    <col min="8202" max="8202" width="19.42578125" style="105" customWidth="1"/>
    <col min="8203" max="8203" width="16" style="105" customWidth="1"/>
    <col min="8204" max="8204" width="20.42578125" style="105" customWidth="1"/>
    <col min="8205" max="8205" width="18.42578125" style="105" customWidth="1"/>
    <col min="8206" max="8206" width="18.85546875" style="105" customWidth="1"/>
    <col min="8207" max="8207" width="17.7109375" style="105" customWidth="1"/>
    <col min="8208" max="8208" width="15.42578125" style="105" customWidth="1"/>
    <col min="8209" max="8209" width="15.7109375" style="105" bestFit="1" customWidth="1"/>
    <col min="8210" max="8210" width="16.5703125" style="105" customWidth="1"/>
    <col min="8211" max="8211" width="17.42578125" style="105" bestFit="1" customWidth="1"/>
    <col min="8212" max="8212" width="17" style="105" bestFit="1" customWidth="1"/>
    <col min="8213" max="8213" width="16.5703125" style="105" bestFit="1" customWidth="1"/>
    <col min="8214" max="8214" width="15.85546875" style="105" bestFit="1" customWidth="1"/>
    <col min="8215" max="8215" width="16.28515625" style="105" bestFit="1" customWidth="1"/>
    <col min="8216" max="8216" width="17" style="105" bestFit="1" customWidth="1"/>
    <col min="8217" max="8217" width="17" style="105" customWidth="1"/>
    <col min="8218" max="8218" width="19.42578125" style="105" bestFit="1" customWidth="1"/>
    <col min="8219" max="8219" width="16.5703125" style="105" customWidth="1"/>
    <col min="8220" max="8220" width="24" style="105" customWidth="1"/>
    <col min="8221" max="8221" width="15.7109375" style="105" customWidth="1"/>
    <col min="8222" max="8222" width="20.5703125" style="105" customWidth="1"/>
    <col min="8223" max="8223" width="13.7109375" style="105" customWidth="1"/>
    <col min="8224" max="8224" width="14.28515625" style="105" bestFit="1" customWidth="1"/>
    <col min="8225" max="8446" width="9.140625" style="105"/>
    <col min="8447" max="8447" width="18.42578125" style="105" customWidth="1"/>
    <col min="8448" max="8448" width="15.28515625" style="105" customWidth="1"/>
    <col min="8449" max="8449" width="23.85546875" style="105" customWidth="1"/>
    <col min="8450" max="8450" width="28" style="105" customWidth="1"/>
    <col min="8451" max="8452" width="20.42578125" style="105" customWidth="1"/>
    <col min="8453" max="8453" width="12.28515625" style="105" customWidth="1"/>
    <col min="8454" max="8455" width="21.85546875" style="105" customWidth="1"/>
    <col min="8456" max="8456" width="20.42578125" style="105" customWidth="1"/>
    <col min="8457" max="8457" width="22.5703125" style="105" customWidth="1"/>
    <col min="8458" max="8458" width="19.42578125" style="105" customWidth="1"/>
    <col min="8459" max="8459" width="16" style="105" customWidth="1"/>
    <col min="8460" max="8460" width="20.42578125" style="105" customWidth="1"/>
    <col min="8461" max="8461" width="18.42578125" style="105" customWidth="1"/>
    <col min="8462" max="8462" width="18.85546875" style="105" customWidth="1"/>
    <col min="8463" max="8463" width="17.7109375" style="105" customWidth="1"/>
    <col min="8464" max="8464" width="15.42578125" style="105" customWidth="1"/>
    <col min="8465" max="8465" width="15.7109375" style="105" bestFit="1" customWidth="1"/>
    <col min="8466" max="8466" width="16.5703125" style="105" customWidth="1"/>
    <col min="8467" max="8467" width="17.42578125" style="105" bestFit="1" customWidth="1"/>
    <col min="8468" max="8468" width="17" style="105" bestFit="1" customWidth="1"/>
    <col min="8469" max="8469" width="16.5703125" style="105" bestFit="1" customWidth="1"/>
    <col min="8470" max="8470" width="15.85546875" style="105" bestFit="1" customWidth="1"/>
    <col min="8471" max="8471" width="16.28515625" style="105" bestFit="1" customWidth="1"/>
    <col min="8472" max="8472" width="17" style="105" bestFit="1" customWidth="1"/>
    <col min="8473" max="8473" width="17" style="105" customWidth="1"/>
    <col min="8474" max="8474" width="19.42578125" style="105" bestFit="1" customWidth="1"/>
    <col min="8475" max="8475" width="16.5703125" style="105" customWidth="1"/>
    <col min="8476" max="8476" width="24" style="105" customWidth="1"/>
    <col min="8477" max="8477" width="15.7109375" style="105" customWidth="1"/>
    <col min="8478" max="8478" width="20.5703125" style="105" customWidth="1"/>
    <col min="8479" max="8479" width="13.7109375" style="105" customWidth="1"/>
    <col min="8480" max="8480" width="14.28515625" style="105" bestFit="1" customWidth="1"/>
    <col min="8481" max="8702" width="9.140625" style="105"/>
    <col min="8703" max="8703" width="18.42578125" style="105" customWidth="1"/>
    <col min="8704" max="8704" width="15.28515625" style="105" customWidth="1"/>
    <col min="8705" max="8705" width="23.85546875" style="105" customWidth="1"/>
    <col min="8706" max="8706" width="28" style="105" customWidth="1"/>
    <col min="8707" max="8708" width="20.42578125" style="105" customWidth="1"/>
    <col min="8709" max="8709" width="12.28515625" style="105" customWidth="1"/>
    <col min="8710" max="8711" width="21.85546875" style="105" customWidth="1"/>
    <col min="8712" max="8712" width="20.42578125" style="105" customWidth="1"/>
    <col min="8713" max="8713" width="22.5703125" style="105" customWidth="1"/>
    <col min="8714" max="8714" width="19.42578125" style="105" customWidth="1"/>
    <col min="8715" max="8715" width="16" style="105" customWidth="1"/>
    <col min="8716" max="8716" width="20.42578125" style="105" customWidth="1"/>
    <col min="8717" max="8717" width="18.42578125" style="105" customWidth="1"/>
    <col min="8718" max="8718" width="18.85546875" style="105" customWidth="1"/>
    <col min="8719" max="8719" width="17.7109375" style="105" customWidth="1"/>
    <col min="8720" max="8720" width="15.42578125" style="105" customWidth="1"/>
    <col min="8721" max="8721" width="15.7109375" style="105" bestFit="1" customWidth="1"/>
    <col min="8722" max="8722" width="16.5703125" style="105" customWidth="1"/>
    <col min="8723" max="8723" width="17.42578125" style="105" bestFit="1" customWidth="1"/>
    <col min="8724" max="8724" width="17" style="105" bestFit="1" customWidth="1"/>
    <col min="8725" max="8725" width="16.5703125" style="105" bestFit="1" customWidth="1"/>
    <col min="8726" max="8726" width="15.85546875" style="105" bestFit="1" customWidth="1"/>
    <col min="8727" max="8727" width="16.28515625" style="105" bestFit="1" customWidth="1"/>
    <col min="8728" max="8728" width="17" style="105" bestFit="1" customWidth="1"/>
    <col min="8729" max="8729" width="17" style="105" customWidth="1"/>
    <col min="8730" max="8730" width="19.42578125" style="105" bestFit="1" customWidth="1"/>
    <col min="8731" max="8731" width="16.5703125" style="105" customWidth="1"/>
    <col min="8732" max="8732" width="24" style="105" customWidth="1"/>
    <col min="8733" max="8733" width="15.7109375" style="105" customWidth="1"/>
    <col min="8734" max="8734" width="20.5703125" style="105" customWidth="1"/>
    <col min="8735" max="8735" width="13.7109375" style="105" customWidth="1"/>
    <col min="8736" max="8736" width="14.28515625" style="105" bestFit="1" customWidth="1"/>
    <col min="8737" max="8958" width="9.140625" style="105"/>
    <col min="8959" max="8959" width="18.42578125" style="105" customWidth="1"/>
    <col min="8960" max="8960" width="15.28515625" style="105" customWidth="1"/>
    <col min="8961" max="8961" width="23.85546875" style="105" customWidth="1"/>
    <col min="8962" max="8962" width="28" style="105" customWidth="1"/>
    <col min="8963" max="8964" width="20.42578125" style="105" customWidth="1"/>
    <col min="8965" max="8965" width="12.28515625" style="105" customWidth="1"/>
    <col min="8966" max="8967" width="21.85546875" style="105" customWidth="1"/>
    <col min="8968" max="8968" width="20.42578125" style="105" customWidth="1"/>
    <col min="8969" max="8969" width="22.5703125" style="105" customWidth="1"/>
    <col min="8970" max="8970" width="19.42578125" style="105" customWidth="1"/>
    <col min="8971" max="8971" width="16" style="105" customWidth="1"/>
    <col min="8972" max="8972" width="20.42578125" style="105" customWidth="1"/>
    <col min="8973" max="8973" width="18.42578125" style="105" customWidth="1"/>
    <col min="8974" max="8974" width="18.85546875" style="105" customWidth="1"/>
    <col min="8975" max="8975" width="17.7109375" style="105" customWidth="1"/>
    <col min="8976" max="8976" width="15.42578125" style="105" customWidth="1"/>
    <col min="8977" max="8977" width="15.7109375" style="105" bestFit="1" customWidth="1"/>
    <col min="8978" max="8978" width="16.5703125" style="105" customWidth="1"/>
    <col min="8979" max="8979" width="17.42578125" style="105" bestFit="1" customWidth="1"/>
    <col min="8980" max="8980" width="17" style="105" bestFit="1" customWidth="1"/>
    <col min="8981" max="8981" width="16.5703125" style="105" bestFit="1" customWidth="1"/>
    <col min="8982" max="8982" width="15.85546875" style="105" bestFit="1" customWidth="1"/>
    <col min="8983" max="8983" width="16.28515625" style="105" bestFit="1" customWidth="1"/>
    <col min="8984" max="8984" width="17" style="105" bestFit="1" customWidth="1"/>
    <col min="8985" max="8985" width="17" style="105" customWidth="1"/>
    <col min="8986" max="8986" width="19.42578125" style="105" bestFit="1" customWidth="1"/>
    <col min="8987" max="8987" width="16.5703125" style="105" customWidth="1"/>
    <col min="8988" max="8988" width="24" style="105" customWidth="1"/>
    <col min="8989" max="8989" width="15.7109375" style="105" customWidth="1"/>
    <col min="8990" max="8990" width="20.5703125" style="105" customWidth="1"/>
    <col min="8991" max="8991" width="13.7109375" style="105" customWidth="1"/>
    <col min="8992" max="8992" width="14.28515625" style="105" bestFit="1" customWidth="1"/>
    <col min="8993" max="9214" width="9.140625" style="105"/>
    <col min="9215" max="9215" width="18.42578125" style="105" customWidth="1"/>
    <col min="9216" max="9216" width="15.28515625" style="105" customWidth="1"/>
    <col min="9217" max="9217" width="23.85546875" style="105" customWidth="1"/>
    <col min="9218" max="9218" width="28" style="105" customWidth="1"/>
    <col min="9219" max="9220" width="20.42578125" style="105" customWidth="1"/>
    <col min="9221" max="9221" width="12.28515625" style="105" customWidth="1"/>
    <col min="9222" max="9223" width="21.85546875" style="105" customWidth="1"/>
    <col min="9224" max="9224" width="20.42578125" style="105" customWidth="1"/>
    <col min="9225" max="9225" width="22.5703125" style="105" customWidth="1"/>
    <col min="9226" max="9226" width="19.42578125" style="105" customWidth="1"/>
    <col min="9227" max="9227" width="16" style="105" customWidth="1"/>
    <col min="9228" max="9228" width="20.42578125" style="105" customWidth="1"/>
    <col min="9229" max="9229" width="18.42578125" style="105" customWidth="1"/>
    <col min="9230" max="9230" width="18.85546875" style="105" customWidth="1"/>
    <col min="9231" max="9231" width="17.7109375" style="105" customWidth="1"/>
    <col min="9232" max="9232" width="15.42578125" style="105" customWidth="1"/>
    <col min="9233" max="9233" width="15.7109375" style="105" bestFit="1" customWidth="1"/>
    <col min="9234" max="9234" width="16.5703125" style="105" customWidth="1"/>
    <col min="9235" max="9235" width="17.42578125" style="105" bestFit="1" customWidth="1"/>
    <col min="9236" max="9236" width="17" style="105" bestFit="1" customWidth="1"/>
    <col min="9237" max="9237" width="16.5703125" style="105" bestFit="1" customWidth="1"/>
    <col min="9238" max="9238" width="15.85546875" style="105" bestFit="1" customWidth="1"/>
    <col min="9239" max="9239" width="16.28515625" style="105" bestFit="1" customWidth="1"/>
    <col min="9240" max="9240" width="17" style="105" bestFit="1" customWidth="1"/>
    <col min="9241" max="9241" width="17" style="105" customWidth="1"/>
    <col min="9242" max="9242" width="19.42578125" style="105" bestFit="1" customWidth="1"/>
    <col min="9243" max="9243" width="16.5703125" style="105" customWidth="1"/>
    <col min="9244" max="9244" width="24" style="105" customWidth="1"/>
    <col min="9245" max="9245" width="15.7109375" style="105" customWidth="1"/>
    <col min="9246" max="9246" width="20.5703125" style="105" customWidth="1"/>
    <col min="9247" max="9247" width="13.7109375" style="105" customWidth="1"/>
    <col min="9248" max="9248" width="14.28515625" style="105" bestFit="1" customWidth="1"/>
    <col min="9249" max="9470" width="9.140625" style="105"/>
    <col min="9471" max="9471" width="18.42578125" style="105" customWidth="1"/>
    <col min="9472" max="9472" width="15.28515625" style="105" customWidth="1"/>
    <col min="9473" max="9473" width="23.85546875" style="105" customWidth="1"/>
    <col min="9474" max="9474" width="28" style="105" customWidth="1"/>
    <col min="9475" max="9476" width="20.42578125" style="105" customWidth="1"/>
    <col min="9477" max="9477" width="12.28515625" style="105" customWidth="1"/>
    <col min="9478" max="9479" width="21.85546875" style="105" customWidth="1"/>
    <col min="9480" max="9480" width="20.42578125" style="105" customWidth="1"/>
    <col min="9481" max="9481" width="22.5703125" style="105" customWidth="1"/>
    <col min="9482" max="9482" width="19.42578125" style="105" customWidth="1"/>
    <col min="9483" max="9483" width="16" style="105" customWidth="1"/>
    <col min="9484" max="9484" width="20.42578125" style="105" customWidth="1"/>
    <col min="9485" max="9485" width="18.42578125" style="105" customWidth="1"/>
    <col min="9486" max="9486" width="18.85546875" style="105" customWidth="1"/>
    <col min="9487" max="9487" width="17.7109375" style="105" customWidth="1"/>
    <col min="9488" max="9488" width="15.42578125" style="105" customWidth="1"/>
    <col min="9489" max="9489" width="15.7109375" style="105" bestFit="1" customWidth="1"/>
    <col min="9490" max="9490" width="16.5703125" style="105" customWidth="1"/>
    <col min="9491" max="9491" width="17.42578125" style="105" bestFit="1" customWidth="1"/>
    <col min="9492" max="9492" width="17" style="105" bestFit="1" customWidth="1"/>
    <col min="9493" max="9493" width="16.5703125" style="105" bestFit="1" customWidth="1"/>
    <col min="9494" max="9494" width="15.85546875" style="105" bestFit="1" customWidth="1"/>
    <col min="9495" max="9495" width="16.28515625" style="105" bestFit="1" customWidth="1"/>
    <col min="9496" max="9496" width="17" style="105" bestFit="1" customWidth="1"/>
    <col min="9497" max="9497" width="17" style="105" customWidth="1"/>
    <col min="9498" max="9498" width="19.42578125" style="105" bestFit="1" customWidth="1"/>
    <col min="9499" max="9499" width="16.5703125" style="105" customWidth="1"/>
    <col min="9500" max="9500" width="24" style="105" customWidth="1"/>
    <col min="9501" max="9501" width="15.7109375" style="105" customWidth="1"/>
    <col min="9502" max="9502" width="20.5703125" style="105" customWidth="1"/>
    <col min="9503" max="9503" width="13.7109375" style="105" customWidth="1"/>
    <col min="9504" max="9504" width="14.28515625" style="105" bestFit="1" customWidth="1"/>
    <col min="9505" max="9726" width="9.140625" style="105"/>
    <col min="9727" max="9727" width="18.42578125" style="105" customWidth="1"/>
    <col min="9728" max="9728" width="15.28515625" style="105" customWidth="1"/>
    <col min="9729" max="9729" width="23.85546875" style="105" customWidth="1"/>
    <col min="9730" max="9730" width="28" style="105" customWidth="1"/>
    <col min="9731" max="9732" width="20.42578125" style="105" customWidth="1"/>
    <col min="9733" max="9733" width="12.28515625" style="105" customWidth="1"/>
    <col min="9734" max="9735" width="21.85546875" style="105" customWidth="1"/>
    <col min="9736" max="9736" width="20.42578125" style="105" customWidth="1"/>
    <col min="9737" max="9737" width="22.5703125" style="105" customWidth="1"/>
    <col min="9738" max="9738" width="19.42578125" style="105" customWidth="1"/>
    <col min="9739" max="9739" width="16" style="105" customWidth="1"/>
    <col min="9740" max="9740" width="20.42578125" style="105" customWidth="1"/>
    <col min="9741" max="9741" width="18.42578125" style="105" customWidth="1"/>
    <col min="9742" max="9742" width="18.85546875" style="105" customWidth="1"/>
    <col min="9743" max="9743" width="17.7109375" style="105" customWidth="1"/>
    <col min="9744" max="9744" width="15.42578125" style="105" customWidth="1"/>
    <col min="9745" max="9745" width="15.7109375" style="105" bestFit="1" customWidth="1"/>
    <col min="9746" max="9746" width="16.5703125" style="105" customWidth="1"/>
    <col min="9747" max="9747" width="17.42578125" style="105" bestFit="1" customWidth="1"/>
    <col min="9748" max="9748" width="17" style="105" bestFit="1" customWidth="1"/>
    <col min="9749" max="9749" width="16.5703125" style="105" bestFit="1" customWidth="1"/>
    <col min="9750" max="9750" width="15.85546875" style="105" bestFit="1" customWidth="1"/>
    <col min="9751" max="9751" width="16.28515625" style="105" bestFit="1" customWidth="1"/>
    <col min="9752" max="9752" width="17" style="105" bestFit="1" customWidth="1"/>
    <col min="9753" max="9753" width="17" style="105" customWidth="1"/>
    <col min="9754" max="9754" width="19.42578125" style="105" bestFit="1" customWidth="1"/>
    <col min="9755" max="9755" width="16.5703125" style="105" customWidth="1"/>
    <col min="9756" max="9756" width="24" style="105" customWidth="1"/>
    <col min="9757" max="9757" width="15.7109375" style="105" customWidth="1"/>
    <col min="9758" max="9758" width="20.5703125" style="105" customWidth="1"/>
    <col min="9759" max="9759" width="13.7109375" style="105" customWidth="1"/>
    <col min="9760" max="9760" width="14.28515625" style="105" bestFit="1" customWidth="1"/>
    <col min="9761" max="9982" width="9.140625" style="105"/>
    <col min="9983" max="9983" width="18.42578125" style="105" customWidth="1"/>
    <col min="9984" max="9984" width="15.28515625" style="105" customWidth="1"/>
    <col min="9985" max="9985" width="23.85546875" style="105" customWidth="1"/>
    <col min="9986" max="9986" width="28" style="105" customWidth="1"/>
    <col min="9987" max="9988" width="20.42578125" style="105" customWidth="1"/>
    <col min="9989" max="9989" width="12.28515625" style="105" customWidth="1"/>
    <col min="9990" max="9991" width="21.85546875" style="105" customWidth="1"/>
    <col min="9992" max="9992" width="20.42578125" style="105" customWidth="1"/>
    <col min="9993" max="9993" width="22.5703125" style="105" customWidth="1"/>
    <col min="9994" max="9994" width="19.42578125" style="105" customWidth="1"/>
    <col min="9995" max="9995" width="16" style="105" customWidth="1"/>
    <col min="9996" max="9996" width="20.42578125" style="105" customWidth="1"/>
    <col min="9997" max="9997" width="18.42578125" style="105" customWidth="1"/>
    <col min="9998" max="9998" width="18.85546875" style="105" customWidth="1"/>
    <col min="9999" max="9999" width="17.7109375" style="105" customWidth="1"/>
    <col min="10000" max="10000" width="15.42578125" style="105" customWidth="1"/>
    <col min="10001" max="10001" width="15.7109375" style="105" bestFit="1" customWidth="1"/>
    <col min="10002" max="10002" width="16.5703125" style="105" customWidth="1"/>
    <col min="10003" max="10003" width="17.42578125" style="105" bestFit="1" customWidth="1"/>
    <col min="10004" max="10004" width="17" style="105" bestFit="1" customWidth="1"/>
    <col min="10005" max="10005" width="16.5703125" style="105" bestFit="1" customWidth="1"/>
    <col min="10006" max="10006" width="15.85546875" style="105" bestFit="1" customWidth="1"/>
    <col min="10007" max="10007" width="16.28515625" style="105" bestFit="1" customWidth="1"/>
    <col min="10008" max="10008" width="17" style="105" bestFit="1" customWidth="1"/>
    <col min="10009" max="10009" width="17" style="105" customWidth="1"/>
    <col min="10010" max="10010" width="19.42578125" style="105" bestFit="1" customWidth="1"/>
    <col min="10011" max="10011" width="16.5703125" style="105" customWidth="1"/>
    <col min="10012" max="10012" width="24" style="105" customWidth="1"/>
    <col min="10013" max="10013" width="15.7109375" style="105" customWidth="1"/>
    <col min="10014" max="10014" width="20.5703125" style="105" customWidth="1"/>
    <col min="10015" max="10015" width="13.7109375" style="105" customWidth="1"/>
    <col min="10016" max="10016" width="14.28515625" style="105" bestFit="1" customWidth="1"/>
    <col min="10017" max="10238" width="9.140625" style="105"/>
    <col min="10239" max="10239" width="18.42578125" style="105" customWidth="1"/>
    <col min="10240" max="10240" width="15.28515625" style="105" customWidth="1"/>
    <col min="10241" max="10241" width="23.85546875" style="105" customWidth="1"/>
    <col min="10242" max="10242" width="28" style="105" customWidth="1"/>
    <col min="10243" max="10244" width="20.42578125" style="105" customWidth="1"/>
    <col min="10245" max="10245" width="12.28515625" style="105" customWidth="1"/>
    <col min="10246" max="10247" width="21.85546875" style="105" customWidth="1"/>
    <col min="10248" max="10248" width="20.42578125" style="105" customWidth="1"/>
    <col min="10249" max="10249" width="22.5703125" style="105" customWidth="1"/>
    <col min="10250" max="10250" width="19.42578125" style="105" customWidth="1"/>
    <col min="10251" max="10251" width="16" style="105" customWidth="1"/>
    <col min="10252" max="10252" width="20.42578125" style="105" customWidth="1"/>
    <col min="10253" max="10253" width="18.42578125" style="105" customWidth="1"/>
    <col min="10254" max="10254" width="18.85546875" style="105" customWidth="1"/>
    <col min="10255" max="10255" width="17.7109375" style="105" customWidth="1"/>
    <col min="10256" max="10256" width="15.42578125" style="105" customWidth="1"/>
    <col min="10257" max="10257" width="15.7109375" style="105" bestFit="1" customWidth="1"/>
    <col min="10258" max="10258" width="16.5703125" style="105" customWidth="1"/>
    <col min="10259" max="10259" width="17.42578125" style="105" bestFit="1" customWidth="1"/>
    <col min="10260" max="10260" width="17" style="105" bestFit="1" customWidth="1"/>
    <col min="10261" max="10261" width="16.5703125" style="105" bestFit="1" customWidth="1"/>
    <col min="10262" max="10262" width="15.85546875" style="105" bestFit="1" customWidth="1"/>
    <col min="10263" max="10263" width="16.28515625" style="105" bestFit="1" customWidth="1"/>
    <col min="10264" max="10264" width="17" style="105" bestFit="1" customWidth="1"/>
    <col min="10265" max="10265" width="17" style="105" customWidth="1"/>
    <col min="10266" max="10266" width="19.42578125" style="105" bestFit="1" customWidth="1"/>
    <col min="10267" max="10267" width="16.5703125" style="105" customWidth="1"/>
    <col min="10268" max="10268" width="24" style="105" customWidth="1"/>
    <col min="10269" max="10269" width="15.7109375" style="105" customWidth="1"/>
    <col min="10270" max="10270" width="20.5703125" style="105" customWidth="1"/>
    <col min="10271" max="10271" width="13.7109375" style="105" customWidth="1"/>
    <col min="10272" max="10272" width="14.28515625" style="105" bestFit="1" customWidth="1"/>
    <col min="10273" max="10494" width="9.140625" style="105"/>
    <col min="10495" max="10495" width="18.42578125" style="105" customWidth="1"/>
    <col min="10496" max="10496" width="15.28515625" style="105" customWidth="1"/>
    <col min="10497" max="10497" width="23.85546875" style="105" customWidth="1"/>
    <col min="10498" max="10498" width="28" style="105" customWidth="1"/>
    <col min="10499" max="10500" width="20.42578125" style="105" customWidth="1"/>
    <col min="10501" max="10501" width="12.28515625" style="105" customWidth="1"/>
    <col min="10502" max="10503" width="21.85546875" style="105" customWidth="1"/>
    <col min="10504" max="10504" width="20.42578125" style="105" customWidth="1"/>
    <col min="10505" max="10505" width="22.5703125" style="105" customWidth="1"/>
    <col min="10506" max="10506" width="19.42578125" style="105" customWidth="1"/>
    <col min="10507" max="10507" width="16" style="105" customWidth="1"/>
    <col min="10508" max="10508" width="20.42578125" style="105" customWidth="1"/>
    <col min="10509" max="10509" width="18.42578125" style="105" customWidth="1"/>
    <col min="10510" max="10510" width="18.85546875" style="105" customWidth="1"/>
    <col min="10511" max="10511" width="17.7109375" style="105" customWidth="1"/>
    <col min="10512" max="10512" width="15.42578125" style="105" customWidth="1"/>
    <col min="10513" max="10513" width="15.7109375" style="105" bestFit="1" customWidth="1"/>
    <col min="10514" max="10514" width="16.5703125" style="105" customWidth="1"/>
    <col min="10515" max="10515" width="17.42578125" style="105" bestFit="1" customWidth="1"/>
    <col min="10516" max="10516" width="17" style="105" bestFit="1" customWidth="1"/>
    <col min="10517" max="10517" width="16.5703125" style="105" bestFit="1" customWidth="1"/>
    <col min="10518" max="10518" width="15.85546875" style="105" bestFit="1" customWidth="1"/>
    <col min="10519" max="10519" width="16.28515625" style="105" bestFit="1" customWidth="1"/>
    <col min="10520" max="10520" width="17" style="105" bestFit="1" customWidth="1"/>
    <col min="10521" max="10521" width="17" style="105" customWidth="1"/>
    <col min="10522" max="10522" width="19.42578125" style="105" bestFit="1" customWidth="1"/>
    <col min="10523" max="10523" width="16.5703125" style="105" customWidth="1"/>
    <col min="10524" max="10524" width="24" style="105" customWidth="1"/>
    <col min="10525" max="10525" width="15.7109375" style="105" customWidth="1"/>
    <col min="10526" max="10526" width="20.5703125" style="105" customWidth="1"/>
    <col min="10527" max="10527" width="13.7109375" style="105" customWidth="1"/>
    <col min="10528" max="10528" width="14.28515625" style="105" bestFit="1" customWidth="1"/>
    <col min="10529" max="10750" width="9.140625" style="105"/>
    <col min="10751" max="10751" width="18.42578125" style="105" customWidth="1"/>
    <col min="10752" max="10752" width="15.28515625" style="105" customWidth="1"/>
    <col min="10753" max="10753" width="23.85546875" style="105" customWidth="1"/>
    <col min="10754" max="10754" width="28" style="105" customWidth="1"/>
    <col min="10755" max="10756" width="20.42578125" style="105" customWidth="1"/>
    <col min="10757" max="10757" width="12.28515625" style="105" customWidth="1"/>
    <col min="10758" max="10759" width="21.85546875" style="105" customWidth="1"/>
    <col min="10760" max="10760" width="20.42578125" style="105" customWidth="1"/>
    <col min="10761" max="10761" width="22.5703125" style="105" customWidth="1"/>
    <col min="10762" max="10762" width="19.42578125" style="105" customWidth="1"/>
    <col min="10763" max="10763" width="16" style="105" customWidth="1"/>
    <col min="10764" max="10764" width="20.42578125" style="105" customWidth="1"/>
    <col min="10765" max="10765" width="18.42578125" style="105" customWidth="1"/>
    <col min="10766" max="10766" width="18.85546875" style="105" customWidth="1"/>
    <col min="10767" max="10767" width="17.7109375" style="105" customWidth="1"/>
    <col min="10768" max="10768" width="15.42578125" style="105" customWidth="1"/>
    <col min="10769" max="10769" width="15.7109375" style="105" bestFit="1" customWidth="1"/>
    <col min="10770" max="10770" width="16.5703125" style="105" customWidth="1"/>
    <col min="10771" max="10771" width="17.42578125" style="105" bestFit="1" customWidth="1"/>
    <col min="10772" max="10772" width="17" style="105" bestFit="1" customWidth="1"/>
    <col min="10773" max="10773" width="16.5703125" style="105" bestFit="1" customWidth="1"/>
    <col min="10774" max="10774" width="15.85546875" style="105" bestFit="1" customWidth="1"/>
    <col min="10775" max="10775" width="16.28515625" style="105" bestFit="1" customWidth="1"/>
    <col min="10776" max="10776" width="17" style="105" bestFit="1" customWidth="1"/>
    <col min="10777" max="10777" width="17" style="105" customWidth="1"/>
    <col min="10778" max="10778" width="19.42578125" style="105" bestFit="1" customWidth="1"/>
    <col min="10779" max="10779" width="16.5703125" style="105" customWidth="1"/>
    <col min="10780" max="10780" width="24" style="105" customWidth="1"/>
    <col min="10781" max="10781" width="15.7109375" style="105" customWidth="1"/>
    <col min="10782" max="10782" width="20.5703125" style="105" customWidth="1"/>
    <col min="10783" max="10783" width="13.7109375" style="105" customWidth="1"/>
    <col min="10784" max="10784" width="14.28515625" style="105" bestFit="1" customWidth="1"/>
    <col min="10785" max="11006" width="9.140625" style="105"/>
    <col min="11007" max="11007" width="18.42578125" style="105" customWidth="1"/>
    <col min="11008" max="11008" width="15.28515625" style="105" customWidth="1"/>
    <col min="11009" max="11009" width="23.85546875" style="105" customWidth="1"/>
    <col min="11010" max="11010" width="28" style="105" customWidth="1"/>
    <col min="11011" max="11012" width="20.42578125" style="105" customWidth="1"/>
    <col min="11013" max="11013" width="12.28515625" style="105" customWidth="1"/>
    <col min="11014" max="11015" width="21.85546875" style="105" customWidth="1"/>
    <col min="11016" max="11016" width="20.42578125" style="105" customWidth="1"/>
    <col min="11017" max="11017" width="22.5703125" style="105" customWidth="1"/>
    <col min="11018" max="11018" width="19.42578125" style="105" customWidth="1"/>
    <col min="11019" max="11019" width="16" style="105" customWidth="1"/>
    <col min="11020" max="11020" width="20.42578125" style="105" customWidth="1"/>
    <col min="11021" max="11021" width="18.42578125" style="105" customWidth="1"/>
    <col min="11022" max="11022" width="18.85546875" style="105" customWidth="1"/>
    <col min="11023" max="11023" width="17.7109375" style="105" customWidth="1"/>
    <col min="11024" max="11024" width="15.42578125" style="105" customWidth="1"/>
    <col min="11025" max="11025" width="15.7109375" style="105" bestFit="1" customWidth="1"/>
    <col min="11026" max="11026" width="16.5703125" style="105" customWidth="1"/>
    <col min="11027" max="11027" width="17.42578125" style="105" bestFit="1" customWidth="1"/>
    <col min="11028" max="11028" width="17" style="105" bestFit="1" customWidth="1"/>
    <col min="11029" max="11029" width="16.5703125" style="105" bestFit="1" customWidth="1"/>
    <col min="11030" max="11030" width="15.85546875" style="105" bestFit="1" customWidth="1"/>
    <col min="11031" max="11031" width="16.28515625" style="105" bestFit="1" customWidth="1"/>
    <col min="11032" max="11032" width="17" style="105" bestFit="1" customWidth="1"/>
    <col min="11033" max="11033" width="17" style="105" customWidth="1"/>
    <col min="11034" max="11034" width="19.42578125" style="105" bestFit="1" customWidth="1"/>
    <col min="11035" max="11035" width="16.5703125" style="105" customWidth="1"/>
    <col min="11036" max="11036" width="24" style="105" customWidth="1"/>
    <col min="11037" max="11037" width="15.7109375" style="105" customWidth="1"/>
    <col min="11038" max="11038" width="20.5703125" style="105" customWidth="1"/>
    <col min="11039" max="11039" width="13.7109375" style="105" customWidth="1"/>
    <col min="11040" max="11040" width="14.28515625" style="105" bestFit="1" customWidth="1"/>
    <col min="11041" max="11262" width="9.140625" style="105"/>
    <col min="11263" max="11263" width="18.42578125" style="105" customWidth="1"/>
    <col min="11264" max="11264" width="15.28515625" style="105" customWidth="1"/>
    <col min="11265" max="11265" width="23.85546875" style="105" customWidth="1"/>
    <col min="11266" max="11266" width="28" style="105" customWidth="1"/>
    <col min="11267" max="11268" width="20.42578125" style="105" customWidth="1"/>
    <col min="11269" max="11269" width="12.28515625" style="105" customWidth="1"/>
    <col min="11270" max="11271" width="21.85546875" style="105" customWidth="1"/>
    <col min="11272" max="11272" width="20.42578125" style="105" customWidth="1"/>
    <col min="11273" max="11273" width="22.5703125" style="105" customWidth="1"/>
    <col min="11274" max="11274" width="19.42578125" style="105" customWidth="1"/>
    <col min="11275" max="11275" width="16" style="105" customWidth="1"/>
    <col min="11276" max="11276" width="20.42578125" style="105" customWidth="1"/>
    <col min="11277" max="11277" width="18.42578125" style="105" customWidth="1"/>
    <col min="11278" max="11278" width="18.85546875" style="105" customWidth="1"/>
    <col min="11279" max="11279" width="17.7109375" style="105" customWidth="1"/>
    <col min="11280" max="11280" width="15.42578125" style="105" customWidth="1"/>
    <col min="11281" max="11281" width="15.7109375" style="105" bestFit="1" customWidth="1"/>
    <col min="11282" max="11282" width="16.5703125" style="105" customWidth="1"/>
    <col min="11283" max="11283" width="17.42578125" style="105" bestFit="1" customWidth="1"/>
    <col min="11284" max="11284" width="17" style="105" bestFit="1" customWidth="1"/>
    <col min="11285" max="11285" width="16.5703125" style="105" bestFit="1" customWidth="1"/>
    <col min="11286" max="11286" width="15.85546875" style="105" bestFit="1" customWidth="1"/>
    <col min="11287" max="11287" width="16.28515625" style="105" bestFit="1" customWidth="1"/>
    <col min="11288" max="11288" width="17" style="105" bestFit="1" customWidth="1"/>
    <col min="11289" max="11289" width="17" style="105" customWidth="1"/>
    <col min="11290" max="11290" width="19.42578125" style="105" bestFit="1" customWidth="1"/>
    <col min="11291" max="11291" width="16.5703125" style="105" customWidth="1"/>
    <col min="11292" max="11292" width="24" style="105" customWidth="1"/>
    <col min="11293" max="11293" width="15.7109375" style="105" customWidth="1"/>
    <col min="11294" max="11294" width="20.5703125" style="105" customWidth="1"/>
    <col min="11295" max="11295" width="13.7109375" style="105" customWidth="1"/>
    <col min="11296" max="11296" width="14.28515625" style="105" bestFit="1" customWidth="1"/>
    <col min="11297" max="11518" width="9.140625" style="105"/>
    <col min="11519" max="11519" width="18.42578125" style="105" customWidth="1"/>
    <col min="11520" max="11520" width="15.28515625" style="105" customWidth="1"/>
    <col min="11521" max="11521" width="23.85546875" style="105" customWidth="1"/>
    <col min="11522" max="11522" width="28" style="105" customWidth="1"/>
    <col min="11523" max="11524" width="20.42578125" style="105" customWidth="1"/>
    <col min="11525" max="11525" width="12.28515625" style="105" customWidth="1"/>
    <col min="11526" max="11527" width="21.85546875" style="105" customWidth="1"/>
    <col min="11528" max="11528" width="20.42578125" style="105" customWidth="1"/>
    <col min="11529" max="11529" width="22.5703125" style="105" customWidth="1"/>
    <col min="11530" max="11530" width="19.42578125" style="105" customWidth="1"/>
    <col min="11531" max="11531" width="16" style="105" customWidth="1"/>
    <col min="11532" max="11532" width="20.42578125" style="105" customWidth="1"/>
    <col min="11533" max="11533" width="18.42578125" style="105" customWidth="1"/>
    <col min="11534" max="11534" width="18.85546875" style="105" customWidth="1"/>
    <col min="11535" max="11535" width="17.7109375" style="105" customWidth="1"/>
    <col min="11536" max="11536" width="15.42578125" style="105" customWidth="1"/>
    <col min="11537" max="11537" width="15.7109375" style="105" bestFit="1" customWidth="1"/>
    <col min="11538" max="11538" width="16.5703125" style="105" customWidth="1"/>
    <col min="11539" max="11539" width="17.42578125" style="105" bestFit="1" customWidth="1"/>
    <col min="11540" max="11540" width="17" style="105" bestFit="1" customWidth="1"/>
    <col min="11541" max="11541" width="16.5703125" style="105" bestFit="1" customWidth="1"/>
    <col min="11542" max="11542" width="15.85546875" style="105" bestFit="1" customWidth="1"/>
    <col min="11543" max="11543" width="16.28515625" style="105" bestFit="1" customWidth="1"/>
    <col min="11544" max="11544" width="17" style="105" bestFit="1" customWidth="1"/>
    <col min="11545" max="11545" width="17" style="105" customWidth="1"/>
    <col min="11546" max="11546" width="19.42578125" style="105" bestFit="1" customWidth="1"/>
    <col min="11547" max="11547" width="16.5703125" style="105" customWidth="1"/>
    <col min="11548" max="11548" width="24" style="105" customWidth="1"/>
    <col min="11549" max="11549" width="15.7109375" style="105" customWidth="1"/>
    <col min="11550" max="11550" width="20.5703125" style="105" customWidth="1"/>
    <col min="11551" max="11551" width="13.7109375" style="105" customWidth="1"/>
    <col min="11552" max="11552" width="14.28515625" style="105" bestFit="1" customWidth="1"/>
    <col min="11553" max="11774" width="9.140625" style="105"/>
    <col min="11775" max="11775" width="18.42578125" style="105" customWidth="1"/>
    <col min="11776" max="11776" width="15.28515625" style="105" customWidth="1"/>
    <col min="11777" max="11777" width="23.85546875" style="105" customWidth="1"/>
    <col min="11778" max="11778" width="28" style="105" customWidth="1"/>
    <col min="11779" max="11780" width="20.42578125" style="105" customWidth="1"/>
    <col min="11781" max="11781" width="12.28515625" style="105" customWidth="1"/>
    <col min="11782" max="11783" width="21.85546875" style="105" customWidth="1"/>
    <col min="11784" max="11784" width="20.42578125" style="105" customWidth="1"/>
    <col min="11785" max="11785" width="22.5703125" style="105" customWidth="1"/>
    <col min="11786" max="11786" width="19.42578125" style="105" customWidth="1"/>
    <col min="11787" max="11787" width="16" style="105" customWidth="1"/>
    <col min="11788" max="11788" width="20.42578125" style="105" customWidth="1"/>
    <col min="11789" max="11789" width="18.42578125" style="105" customWidth="1"/>
    <col min="11790" max="11790" width="18.85546875" style="105" customWidth="1"/>
    <col min="11791" max="11791" width="17.7109375" style="105" customWidth="1"/>
    <col min="11792" max="11792" width="15.42578125" style="105" customWidth="1"/>
    <col min="11793" max="11793" width="15.7109375" style="105" bestFit="1" customWidth="1"/>
    <col min="11794" max="11794" width="16.5703125" style="105" customWidth="1"/>
    <col min="11795" max="11795" width="17.42578125" style="105" bestFit="1" customWidth="1"/>
    <col min="11796" max="11796" width="17" style="105" bestFit="1" customWidth="1"/>
    <col min="11797" max="11797" width="16.5703125" style="105" bestFit="1" customWidth="1"/>
    <col min="11798" max="11798" width="15.85546875" style="105" bestFit="1" customWidth="1"/>
    <col min="11799" max="11799" width="16.28515625" style="105" bestFit="1" customWidth="1"/>
    <col min="11800" max="11800" width="17" style="105" bestFit="1" customWidth="1"/>
    <col min="11801" max="11801" width="17" style="105" customWidth="1"/>
    <col min="11802" max="11802" width="19.42578125" style="105" bestFit="1" customWidth="1"/>
    <col min="11803" max="11803" width="16.5703125" style="105" customWidth="1"/>
    <col min="11804" max="11804" width="24" style="105" customWidth="1"/>
    <col min="11805" max="11805" width="15.7109375" style="105" customWidth="1"/>
    <col min="11806" max="11806" width="20.5703125" style="105" customWidth="1"/>
    <col min="11807" max="11807" width="13.7109375" style="105" customWidth="1"/>
    <col min="11808" max="11808" width="14.28515625" style="105" bestFit="1" customWidth="1"/>
    <col min="11809" max="12030" width="9.140625" style="105"/>
    <col min="12031" max="12031" width="18.42578125" style="105" customWidth="1"/>
    <col min="12032" max="12032" width="15.28515625" style="105" customWidth="1"/>
    <col min="12033" max="12033" width="23.85546875" style="105" customWidth="1"/>
    <col min="12034" max="12034" width="28" style="105" customWidth="1"/>
    <col min="12035" max="12036" width="20.42578125" style="105" customWidth="1"/>
    <col min="12037" max="12037" width="12.28515625" style="105" customWidth="1"/>
    <col min="12038" max="12039" width="21.85546875" style="105" customWidth="1"/>
    <col min="12040" max="12040" width="20.42578125" style="105" customWidth="1"/>
    <col min="12041" max="12041" width="22.5703125" style="105" customWidth="1"/>
    <col min="12042" max="12042" width="19.42578125" style="105" customWidth="1"/>
    <col min="12043" max="12043" width="16" style="105" customWidth="1"/>
    <col min="12044" max="12044" width="20.42578125" style="105" customWidth="1"/>
    <col min="12045" max="12045" width="18.42578125" style="105" customWidth="1"/>
    <col min="12046" max="12046" width="18.85546875" style="105" customWidth="1"/>
    <col min="12047" max="12047" width="17.7109375" style="105" customWidth="1"/>
    <col min="12048" max="12048" width="15.42578125" style="105" customWidth="1"/>
    <col min="12049" max="12049" width="15.7109375" style="105" bestFit="1" customWidth="1"/>
    <col min="12050" max="12050" width="16.5703125" style="105" customWidth="1"/>
    <col min="12051" max="12051" width="17.42578125" style="105" bestFit="1" customWidth="1"/>
    <col min="12052" max="12052" width="17" style="105" bestFit="1" customWidth="1"/>
    <col min="12053" max="12053" width="16.5703125" style="105" bestFit="1" customWidth="1"/>
    <col min="12054" max="12054" width="15.85546875" style="105" bestFit="1" customWidth="1"/>
    <col min="12055" max="12055" width="16.28515625" style="105" bestFit="1" customWidth="1"/>
    <col min="12056" max="12056" width="17" style="105" bestFit="1" customWidth="1"/>
    <col min="12057" max="12057" width="17" style="105" customWidth="1"/>
    <col min="12058" max="12058" width="19.42578125" style="105" bestFit="1" customWidth="1"/>
    <col min="12059" max="12059" width="16.5703125" style="105" customWidth="1"/>
    <col min="12060" max="12060" width="24" style="105" customWidth="1"/>
    <col min="12061" max="12061" width="15.7109375" style="105" customWidth="1"/>
    <col min="12062" max="12062" width="20.5703125" style="105" customWidth="1"/>
    <col min="12063" max="12063" width="13.7109375" style="105" customWidth="1"/>
    <col min="12064" max="12064" width="14.28515625" style="105" bestFit="1" customWidth="1"/>
    <col min="12065" max="12286" width="9.140625" style="105"/>
    <col min="12287" max="12287" width="18.42578125" style="105" customWidth="1"/>
    <col min="12288" max="12288" width="15.28515625" style="105" customWidth="1"/>
    <col min="12289" max="12289" width="23.85546875" style="105" customWidth="1"/>
    <col min="12290" max="12290" width="28" style="105" customWidth="1"/>
    <col min="12291" max="12292" width="20.42578125" style="105" customWidth="1"/>
    <col min="12293" max="12293" width="12.28515625" style="105" customWidth="1"/>
    <col min="12294" max="12295" width="21.85546875" style="105" customWidth="1"/>
    <col min="12296" max="12296" width="20.42578125" style="105" customWidth="1"/>
    <col min="12297" max="12297" width="22.5703125" style="105" customWidth="1"/>
    <col min="12298" max="12298" width="19.42578125" style="105" customWidth="1"/>
    <col min="12299" max="12299" width="16" style="105" customWidth="1"/>
    <col min="12300" max="12300" width="20.42578125" style="105" customWidth="1"/>
    <col min="12301" max="12301" width="18.42578125" style="105" customWidth="1"/>
    <col min="12302" max="12302" width="18.85546875" style="105" customWidth="1"/>
    <col min="12303" max="12303" width="17.7109375" style="105" customWidth="1"/>
    <col min="12304" max="12304" width="15.42578125" style="105" customWidth="1"/>
    <col min="12305" max="12305" width="15.7109375" style="105" bestFit="1" customWidth="1"/>
    <col min="12306" max="12306" width="16.5703125" style="105" customWidth="1"/>
    <col min="12307" max="12307" width="17.42578125" style="105" bestFit="1" customWidth="1"/>
    <col min="12308" max="12308" width="17" style="105" bestFit="1" customWidth="1"/>
    <col min="12309" max="12309" width="16.5703125" style="105" bestFit="1" customWidth="1"/>
    <col min="12310" max="12310" width="15.85546875" style="105" bestFit="1" customWidth="1"/>
    <col min="12311" max="12311" width="16.28515625" style="105" bestFit="1" customWidth="1"/>
    <col min="12312" max="12312" width="17" style="105" bestFit="1" customWidth="1"/>
    <col min="12313" max="12313" width="17" style="105" customWidth="1"/>
    <col min="12314" max="12314" width="19.42578125" style="105" bestFit="1" customWidth="1"/>
    <col min="12315" max="12315" width="16.5703125" style="105" customWidth="1"/>
    <col min="12316" max="12316" width="24" style="105" customWidth="1"/>
    <col min="12317" max="12317" width="15.7109375" style="105" customWidth="1"/>
    <col min="12318" max="12318" width="20.5703125" style="105" customWidth="1"/>
    <col min="12319" max="12319" width="13.7109375" style="105" customWidth="1"/>
    <col min="12320" max="12320" width="14.28515625" style="105" bestFit="1" customWidth="1"/>
    <col min="12321" max="12542" width="9.140625" style="105"/>
    <col min="12543" max="12543" width="18.42578125" style="105" customWidth="1"/>
    <col min="12544" max="12544" width="15.28515625" style="105" customWidth="1"/>
    <col min="12545" max="12545" width="23.85546875" style="105" customWidth="1"/>
    <col min="12546" max="12546" width="28" style="105" customWidth="1"/>
    <col min="12547" max="12548" width="20.42578125" style="105" customWidth="1"/>
    <col min="12549" max="12549" width="12.28515625" style="105" customWidth="1"/>
    <col min="12550" max="12551" width="21.85546875" style="105" customWidth="1"/>
    <col min="12552" max="12552" width="20.42578125" style="105" customWidth="1"/>
    <col min="12553" max="12553" width="22.5703125" style="105" customWidth="1"/>
    <col min="12554" max="12554" width="19.42578125" style="105" customWidth="1"/>
    <col min="12555" max="12555" width="16" style="105" customWidth="1"/>
    <col min="12556" max="12556" width="20.42578125" style="105" customWidth="1"/>
    <col min="12557" max="12557" width="18.42578125" style="105" customWidth="1"/>
    <col min="12558" max="12558" width="18.85546875" style="105" customWidth="1"/>
    <col min="12559" max="12559" width="17.7109375" style="105" customWidth="1"/>
    <col min="12560" max="12560" width="15.42578125" style="105" customWidth="1"/>
    <col min="12561" max="12561" width="15.7109375" style="105" bestFit="1" customWidth="1"/>
    <col min="12562" max="12562" width="16.5703125" style="105" customWidth="1"/>
    <col min="12563" max="12563" width="17.42578125" style="105" bestFit="1" customWidth="1"/>
    <col min="12564" max="12564" width="17" style="105" bestFit="1" customWidth="1"/>
    <col min="12565" max="12565" width="16.5703125" style="105" bestFit="1" customWidth="1"/>
    <col min="12566" max="12566" width="15.85546875" style="105" bestFit="1" customWidth="1"/>
    <col min="12567" max="12567" width="16.28515625" style="105" bestFit="1" customWidth="1"/>
    <col min="12568" max="12568" width="17" style="105" bestFit="1" customWidth="1"/>
    <col min="12569" max="12569" width="17" style="105" customWidth="1"/>
    <col min="12570" max="12570" width="19.42578125" style="105" bestFit="1" customWidth="1"/>
    <col min="12571" max="12571" width="16.5703125" style="105" customWidth="1"/>
    <col min="12572" max="12572" width="24" style="105" customWidth="1"/>
    <col min="12573" max="12573" width="15.7109375" style="105" customWidth="1"/>
    <col min="12574" max="12574" width="20.5703125" style="105" customWidth="1"/>
    <col min="12575" max="12575" width="13.7109375" style="105" customWidth="1"/>
    <col min="12576" max="12576" width="14.28515625" style="105" bestFit="1" customWidth="1"/>
    <col min="12577" max="12798" width="9.140625" style="105"/>
    <col min="12799" max="12799" width="18.42578125" style="105" customWidth="1"/>
    <col min="12800" max="12800" width="15.28515625" style="105" customWidth="1"/>
    <col min="12801" max="12801" width="23.85546875" style="105" customWidth="1"/>
    <col min="12802" max="12802" width="28" style="105" customWidth="1"/>
    <col min="12803" max="12804" width="20.42578125" style="105" customWidth="1"/>
    <col min="12805" max="12805" width="12.28515625" style="105" customWidth="1"/>
    <col min="12806" max="12807" width="21.85546875" style="105" customWidth="1"/>
    <col min="12808" max="12808" width="20.42578125" style="105" customWidth="1"/>
    <col min="12809" max="12809" width="22.5703125" style="105" customWidth="1"/>
    <col min="12810" max="12810" width="19.42578125" style="105" customWidth="1"/>
    <col min="12811" max="12811" width="16" style="105" customWidth="1"/>
    <col min="12812" max="12812" width="20.42578125" style="105" customWidth="1"/>
    <col min="12813" max="12813" width="18.42578125" style="105" customWidth="1"/>
    <col min="12814" max="12814" width="18.85546875" style="105" customWidth="1"/>
    <col min="12815" max="12815" width="17.7109375" style="105" customWidth="1"/>
    <col min="12816" max="12816" width="15.42578125" style="105" customWidth="1"/>
    <col min="12817" max="12817" width="15.7109375" style="105" bestFit="1" customWidth="1"/>
    <col min="12818" max="12818" width="16.5703125" style="105" customWidth="1"/>
    <col min="12819" max="12819" width="17.42578125" style="105" bestFit="1" customWidth="1"/>
    <col min="12820" max="12820" width="17" style="105" bestFit="1" customWidth="1"/>
    <col min="12821" max="12821" width="16.5703125" style="105" bestFit="1" customWidth="1"/>
    <col min="12822" max="12822" width="15.85546875" style="105" bestFit="1" customWidth="1"/>
    <col min="12823" max="12823" width="16.28515625" style="105" bestFit="1" customWidth="1"/>
    <col min="12824" max="12824" width="17" style="105" bestFit="1" customWidth="1"/>
    <col min="12825" max="12825" width="17" style="105" customWidth="1"/>
    <col min="12826" max="12826" width="19.42578125" style="105" bestFit="1" customWidth="1"/>
    <col min="12827" max="12827" width="16.5703125" style="105" customWidth="1"/>
    <col min="12828" max="12828" width="24" style="105" customWidth="1"/>
    <col min="12829" max="12829" width="15.7109375" style="105" customWidth="1"/>
    <col min="12830" max="12830" width="20.5703125" style="105" customWidth="1"/>
    <col min="12831" max="12831" width="13.7109375" style="105" customWidth="1"/>
    <col min="12832" max="12832" width="14.28515625" style="105" bestFit="1" customWidth="1"/>
    <col min="12833" max="13054" width="9.140625" style="105"/>
    <col min="13055" max="13055" width="18.42578125" style="105" customWidth="1"/>
    <col min="13056" max="13056" width="15.28515625" style="105" customWidth="1"/>
    <col min="13057" max="13057" width="23.85546875" style="105" customWidth="1"/>
    <col min="13058" max="13058" width="28" style="105" customWidth="1"/>
    <col min="13059" max="13060" width="20.42578125" style="105" customWidth="1"/>
    <col min="13061" max="13061" width="12.28515625" style="105" customWidth="1"/>
    <col min="13062" max="13063" width="21.85546875" style="105" customWidth="1"/>
    <col min="13064" max="13064" width="20.42578125" style="105" customWidth="1"/>
    <col min="13065" max="13065" width="22.5703125" style="105" customWidth="1"/>
    <col min="13066" max="13066" width="19.42578125" style="105" customWidth="1"/>
    <col min="13067" max="13067" width="16" style="105" customWidth="1"/>
    <col min="13068" max="13068" width="20.42578125" style="105" customWidth="1"/>
    <col min="13069" max="13069" width="18.42578125" style="105" customWidth="1"/>
    <col min="13070" max="13070" width="18.85546875" style="105" customWidth="1"/>
    <col min="13071" max="13071" width="17.7109375" style="105" customWidth="1"/>
    <col min="13072" max="13072" width="15.42578125" style="105" customWidth="1"/>
    <col min="13073" max="13073" width="15.7109375" style="105" bestFit="1" customWidth="1"/>
    <col min="13074" max="13074" width="16.5703125" style="105" customWidth="1"/>
    <col min="13075" max="13075" width="17.42578125" style="105" bestFit="1" customWidth="1"/>
    <col min="13076" max="13076" width="17" style="105" bestFit="1" customWidth="1"/>
    <col min="13077" max="13077" width="16.5703125" style="105" bestFit="1" customWidth="1"/>
    <col min="13078" max="13078" width="15.85546875" style="105" bestFit="1" customWidth="1"/>
    <col min="13079" max="13079" width="16.28515625" style="105" bestFit="1" customWidth="1"/>
    <col min="13080" max="13080" width="17" style="105" bestFit="1" customWidth="1"/>
    <col min="13081" max="13081" width="17" style="105" customWidth="1"/>
    <col min="13082" max="13082" width="19.42578125" style="105" bestFit="1" customWidth="1"/>
    <col min="13083" max="13083" width="16.5703125" style="105" customWidth="1"/>
    <col min="13084" max="13084" width="24" style="105" customWidth="1"/>
    <col min="13085" max="13085" width="15.7109375" style="105" customWidth="1"/>
    <col min="13086" max="13086" width="20.5703125" style="105" customWidth="1"/>
    <col min="13087" max="13087" width="13.7109375" style="105" customWidth="1"/>
    <col min="13088" max="13088" width="14.28515625" style="105" bestFit="1" customWidth="1"/>
    <col min="13089" max="13310" width="9.140625" style="105"/>
    <col min="13311" max="13311" width="18.42578125" style="105" customWidth="1"/>
    <col min="13312" max="13312" width="15.28515625" style="105" customWidth="1"/>
    <col min="13313" max="13313" width="23.85546875" style="105" customWidth="1"/>
    <col min="13314" max="13314" width="28" style="105" customWidth="1"/>
    <col min="13315" max="13316" width="20.42578125" style="105" customWidth="1"/>
    <col min="13317" max="13317" width="12.28515625" style="105" customWidth="1"/>
    <col min="13318" max="13319" width="21.85546875" style="105" customWidth="1"/>
    <col min="13320" max="13320" width="20.42578125" style="105" customWidth="1"/>
    <col min="13321" max="13321" width="22.5703125" style="105" customWidth="1"/>
    <col min="13322" max="13322" width="19.42578125" style="105" customWidth="1"/>
    <col min="13323" max="13323" width="16" style="105" customWidth="1"/>
    <col min="13324" max="13324" width="20.42578125" style="105" customWidth="1"/>
    <col min="13325" max="13325" width="18.42578125" style="105" customWidth="1"/>
    <col min="13326" max="13326" width="18.85546875" style="105" customWidth="1"/>
    <col min="13327" max="13327" width="17.7109375" style="105" customWidth="1"/>
    <col min="13328" max="13328" width="15.42578125" style="105" customWidth="1"/>
    <col min="13329" max="13329" width="15.7109375" style="105" bestFit="1" customWidth="1"/>
    <col min="13330" max="13330" width="16.5703125" style="105" customWidth="1"/>
    <col min="13331" max="13331" width="17.42578125" style="105" bestFit="1" customWidth="1"/>
    <col min="13332" max="13332" width="17" style="105" bestFit="1" customWidth="1"/>
    <col min="13333" max="13333" width="16.5703125" style="105" bestFit="1" customWidth="1"/>
    <col min="13334" max="13334" width="15.85546875" style="105" bestFit="1" customWidth="1"/>
    <col min="13335" max="13335" width="16.28515625" style="105" bestFit="1" customWidth="1"/>
    <col min="13336" max="13336" width="17" style="105" bestFit="1" customWidth="1"/>
    <col min="13337" max="13337" width="17" style="105" customWidth="1"/>
    <col min="13338" max="13338" width="19.42578125" style="105" bestFit="1" customWidth="1"/>
    <col min="13339" max="13339" width="16.5703125" style="105" customWidth="1"/>
    <col min="13340" max="13340" width="24" style="105" customWidth="1"/>
    <col min="13341" max="13341" width="15.7109375" style="105" customWidth="1"/>
    <col min="13342" max="13342" width="20.5703125" style="105" customWidth="1"/>
    <col min="13343" max="13343" width="13.7109375" style="105" customWidth="1"/>
    <col min="13344" max="13344" width="14.28515625" style="105" bestFit="1" customWidth="1"/>
    <col min="13345" max="13566" width="9.140625" style="105"/>
    <col min="13567" max="13567" width="18.42578125" style="105" customWidth="1"/>
    <col min="13568" max="13568" width="15.28515625" style="105" customWidth="1"/>
    <col min="13569" max="13569" width="23.85546875" style="105" customWidth="1"/>
    <col min="13570" max="13570" width="28" style="105" customWidth="1"/>
    <col min="13571" max="13572" width="20.42578125" style="105" customWidth="1"/>
    <col min="13573" max="13573" width="12.28515625" style="105" customWidth="1"/>
    <col min="13574" max="13575" width="21.85546875" style="105" customWidth="1"/>
    <col min="13576" max="13576" width="20.42578125" style="105" customWidth="1"/>
    <col min="13577" max="13577" width="22.5703125" style="105" customWidth="1"/>
    <col min="13578" max="13578" width="19.42578125" style="105" customWidth="1"/>
    <col min="13579" max="13579" width="16" style="105" customWidth="1"/>
    <col min="13580" max="13580" width="20.42578125" style="105" customWidth="1"/>
    <col min="13581" max="13581" width="18.42578125" style="105" customWidth="1"/>
    <col min="13582" max="13582" width="18.85546875" style="105" customWidth="1"/>
    <col min="13583" max="13583" width="17.7109375" style="105" customWidth="1"/>
    <col min="13584" max="13584" width="15.42578125" style="105" customWidth="1"/>
    <col min="13585" max="13585" width="15.7109375" style="105" bestFit="1" customWidth="1"/>
    <col min="13586" max="13586" width="16.5703125" style="105" customWidth="1"/>
    <col min="13587" max="13587" width="17.42578125" style="105" bestFit="1" customWidth="1"/>
    <col min="13588" max="13588" width="17" style="105" bestFit="1" customWidth="1"/>
    <col min="13589" max="13589" width="16.5703125" style="105" bestFit="1" customWidth="1"/>
    <col min="13590" max="13590" width="15.85546875" style="105" bestFit="1" customWidth="1"/>
    <col min="13591" max="13591" width="16.28515625" style="105" bestFit="1" customWidth="1"/>
    <col min="13592" max="13592" width="17" style="105" bestFit="1" customWidth="1"/>
    <col min="13593" max="13593" width="17" style="105" customWidth="1"/>
    <col min="13594" max="13594" width="19.42578125" style="105" bestFit="1" customWidth="1"/>
    <col min="13595" max="13595" width="16.5703125" style="105" customWidth="1"/>
    <col min="13596" max="13596" width="24" style="105" customWidth="1"/>
    <col min="13597" max="13597" width="15.7109375" style="105" customWidth="1"/>
    <col min="13598" max="13598" width="20.5703125" style="105" customWidth="1"/>
    <col min="13599" max="13599" width="13.7109375" style="105" customWidth="1"/>
    <col min="13600" max="13600" width="14.28515625" style="105" bestFit="1" customWidth="1"/>
    <col min="13601" max="13822" width="9.140625" style="105"/>
    <col min="13823" max="13823" width="18.42578125" style="105" customWidth="1"/>
    <col min="13824" max="13824" width="15.28515625" style="105" customWidth="1"/>
    <col min="13825" max="13825" width="23.85546875" style="105" customWidth="1"/>
    <col min="13826" max="13826" width="28" style="105" customWidth="1"/>
    <col min="13827" max="13828" width="20.42578125" style="105" customWidth="1"/>
    <col min="13829" max="13829" width="12.28515625" style="105" customWidth="1"/>
    <col min="13830" max="13831" width="21.85546875" style="105" customWidth="1"/>
    <col min="13832" max="13832" width="20.42578125" style="105" customWidth="1"/>
    <col min="13833" max="13833" width="22.5703125" style="105" customWidth="1"/>
    <col min="13834" max="13834" width="19.42578125" style="105" customWidth="1"/>
    <col min="13835" max="13835" width="16" style="105" customWidth="1"/>
    <col min="13836" max="13836" width="20.42578125" style="105" customWidth="1"/>
    <col min="13837" max="13837" width="18.42578125" style="105" customWidth="1"/>
    <col min="13838" max="13838" width="18.85546875" style="105" customWidth="1"/>
    <col min="13839" max="13839" width="17.7109375" style="105" customWidth="1"/>
    <col min="13840" max="13840" width="15.42578125" style="105" customWidth="1"/>
    <col min="13841" max="13841" width="15.7109375" style="105" bestFit="1" customWidth="1"/>
    <col min="13842" max="13842" width="16.5703125" style="105" customWidth="1"/>
    <col min="13843" max="13843" width="17.42578125" style="105" bestFit="1" customWidth="1"/>
    <col min="13844" max="13844" width="17" style="105" bestFit="1" customWidth="1"/>
    <col min="13845" max="13845" width="16.5703125" style="105" bestFit="1" customWidth="1"/>
    <col min="13846" max="13846" width="15.85546875" style="105" bestFit="1" customWidth="1"/>
    <col min="13847" max="13847" width="16.28515625" style="105" bestFit="1" customWidth="1"/>
    <col min="13848" max="13848" width="17" style="105" bestFit="1" customWidth="1"/>
    <col min="13849" max="13849" width="17" style="105" customWidth="1"/>
    <col min="13850" max="13850" width="19.42578125" style="105" bestFit="1" customWidth="1"/>
    <col min="13851" max="13851" width="16.5703125" style="105" customWidth="1"/>
    <col min="13852" max="13852" width="24" style="105" customWidth="1"/>
    <col min="13853" max="13853" width="15.7109375" style="105" customWidth="1"/>
    <col min="13854" max="13854" width="20.5703125" style="105" customWidth="1"/>
    <col min="13855" max="13855" width="13.7109375" style="105" customWidth="1"/>
    <col min="13856" max="13856" width="14.28515625" style="105" bestFit="1" customWidth="1"/>
    <col min="13857" max="14078" width="9.140625" style="105"/>
    <col min="14079" max="14079" width="18.42578125" style="105" customWidth="1"/>
    <col min="14080" max="14080" width="15.28515625" style="105" customWidth="1"/>
    <col min="14081" max="14081" width="23.85546875" style="105" customWidth="1"/>
    <col min="14082" max="14082" width="28" style="105" customWidth="1"/>
    <col min="14083" max="14084" width="20.42578125" style="105" customWidth="1"/>
    <col min="14085" max="14085" width="12.28515625" style="105" customWidth="1"/>
    <col min="14086" max="14087" width="21.85546875" style="105" customWidth="1"/>
    <col min="14088" max="14088" width="20.42578125" style="105" customWidth="1"/>
    <col min="14089" max="14089" width="22.5703125" style="105" customWidth="1"/>
    <col min="14090" max="14090" width="19.42578125" style="105" customWidth="1"/>
    <col min="14091" max="14091" width="16" style="105" customWidth="1"/>
    <col min="14092" max="14092" width="20.42578125" style="105" customWidth="1"/>
    <col min="14093" max="14093" width="18.42578125" style="105" customWidth="1"/>
    <col min="14094" max="14094" width="18.85546875" style="105" customWidth="1"/>
    <col min="14095" max="14095" width="17.7109375" style="105" customWidth="1"/>
    <col min="14096" max="14096" width="15.42578125" style="105" customWidth="1"/>
    <col min="14097" max="14097" width="15.7109375" style="105" bestFit="1" customWidth="1"/>
    <col min="14098" max="14098" width="16.5703125" style="105" customWidth="1"/>
    <col min="14099" max="14099" width="17.42578125" style="105" bestFit="1" customWidth="1"/>
    <col min="14100" max="14100" width="17" style="105" bestFit="1" customWidth="1"/>
    <col min="14101" max="14101" width="16.5703125" style="105" bestFit="1" customWidth="1"/>
    <col min="14102" max="14102" width="15.85546875" style="105" bestFit="1" customWidth="1"/>
    <col min="14103" max="14103" width="16.28515625" style="105" bestFit="1" customWidth="1"/>
    <col min="14104" max="14104" width="17" style="105" bestFit="1" customWidth="1"/>
    <col min="14105" max="14105" width="17" style="105" customWidth="1"/>
    <col min="14106" max="14106" width="19.42578125" style="105" bestFit="1" customWidth="1"/>
    <col min="14107" max="14107" width="16.5703125" style="105" customWidth="1"/>
    <col min="14108" max="14108" width="24" style="105" customWidth="1"/>
    <col min="14109" max="14109" width="15.7109375" style="105" customWidth="1"/>
    <col min="14110" max="14110" width="20.5703125" style="105" customWidth="1"/>
    <col min="14111" max="14111" width="13.7109375" style="105" customWidth="1"/>
    <col min="14112" max="14112" width="14.28515625" style="105" bestFit="1" customWidth="1"/>
    <col min="14113" max="14334" width="9.140625" style="105"/>
    <col min="14335" max="14335" width="18.42578125" style="105" customWidth="1"/>
    <col min="14336" max="14336" width="15.28515625" style="105" customWidth="1"/>
    <col min="14337" max="14337" width="23.85546875" style="105" customWidth="1"/>
    <col min="14338" max="14338" width="28" style="105" customWidth="1"/>
    <col min="14339" max="14340" width="20.42578125" style="105" customWidth="1"/>
    <col min="14341" max="14341" width="12.28515625" style="105" customWidth="1"/>
    <col min="14342" max="14343" width="21.85546875" style="105" customWidth="1"/>
    <col min="14344" max="14344" width="20.42578125" style="105" customWidth="1"/>
    <col min="14345" max="14345" width="22.5703125" style="105" customWidth="1"/>
    <col min="14346" max="14346" width="19.42578125" style="105" customWidth="1"/>
    <col min="14347" max="14347" width="16" style="105" customWidth="1"/>
    <col min="14348" max="14348" width="20.42578125" style="105" customWidth="1"/>
    <col min="14349" max="14349" width="18.42578125" style="105" customWidth="1"/>
    <col min="14350" max="14350" width="18.85546875" style="105" customWidth="1"/>
    <col min="14351" max="14351" width="17.7109375" style="105" customWidth="1"/>
    <col min="14352" max="14352" width="15.42578125" style="105" customWidth="1"/>
    <col min="14353" max="14353" width="15.7109375" style="105" bestFit="1" customWidth="1"/>
    <col min="14354" max="14354" width="16.5703125" style="105" customWidth="1"/>
    <col min="14355" max="14355" width="17.42578125" style="105" bestFit="1" customWidth="1"/>
    <col min="14356" max="14356" width="17" style="105" bestFit="1" customWidth="1"/>
    <col min="14357" max="14357" width="16.5703125" style="105" bestFit="1" customWidth="1"/>
    <col min="14358" max="14358" width="15.85546875" style="105" bestFit="1" customWidth="1"/>
    <col min="14359" max="14359" width="16.28515625" style="105" bestFit="1" customWidth="1"/>
    <col min="14360" max="14360" width="17" style="105" bestFit="1" customWidth="1"/>
    <col min="14361" max="14361" width="17" style="105" customWidth="1"/>
    <col min="14362" max="14362" width="19.42578125" style="105" bestFit="1" customWidth="1"/>
    <col min="14363" max="14363" width="16.5703125" style="105" customWidth="1"/>
    <col min="14364" max="14364" width="24" style="105" customWidth="1"/>
    <col min="14365" max="14365" width="15.7109375" style="105" customWidth="1"/>
    <col min="14366" max="14366" width="20.5703125" style="105" customWidth="1"/>
    <col min="14367" max="14367" width="13.7109375" style="105" customWidth="1"/>
    <col min="14368" max="14368" width="14.28515625" style="105" bestFit="1" customWidth="1"/>
    <col min="14369" max="14590" width="9.140625" style="105"/>
    <col min="14591" max="14591" width="18.42578125" style="105" customWidth="1"/>
    <col min="14592" max="14592" width="15.28515625" style="105" customWidth="1"/>
    <col min="14593" max="14593" width="23.85546875" style="105" customWidth="1"/>
    <col min="14594" max="14594" width="28" style="105" customWidth="1"/>
    <col min="14595" max="14596" width="20.42578125" style="105" customWidth="1"/>
    <col min="14597" max="14597" width="12.28515625" style="105" customWidth="1"/>
    <col min="14598" max="14599" width="21.85546875" style="105" customWidth="1"/>
    <col min="14600" max="14600" width="20.42578125" style="105" customWidth="1"/>
    <col min="14601" max="14601" width="22.5703125" style="105" customWidth="1"/>
    <col min="14602" max="14602" width="19.42578125" style="105" customWidth="1"/>
    <col min="14603" max="14603" width="16" style="105" customWidth="1"/>
    <col min="14604" max="14604" width="20.42578125" style="105" customWidth="1"/>
    <col min="14605" max="14605" width="18.42578125" style="105" customWidth="1"/>
    <col min="14606" max="14606" width="18.85546875" style="105" customWidth="1"/>
    <col min="14607" max="14607" width="17.7109375" style="105" customWidth="1"/>
    <col min="14608" max="14608" width="15.42578125" style="105" customWidth="1"/>
    <col min="14609" max="14609" width="15.7109375" style="105" bestFit="1" customWidth="1"/>
    <col min="14610" max="14610" width="16.5703125" style="105" customWidth="1"/>
    <col min="14611" max="14611" width="17.42578125" style="105" bestFit="1" customWidth="1"/>
    <col min="14612" max="14612" width="17" style="105" bestFit="1" customWidth="1"/>
    <col min="14613" max="14613" width="16.5703125" style="105" bestFit="1" customWidth="1"/>
    <col min="14614" max="14614" width="15.85546875" style="105" bestFit="1" customWidth="1"/>
    <col min="14615" max="14615" width="16.28515625" style="105" bestFit="1" customWidth="1"/>
    <col min="14616" max="14616" width="17" style="105" bestFit="1" customWidth="1"/>
    <col min="14617" max="14617" width="17" style="105" customWidth="1"/>
    <col min="14618" max="14618" width="19.42578125" style="105" bestFit="1" customWidth="1"/>
    <col min="14619" max="14619" width="16.5703125" style="105" customWidth="1"/>
    <col min="14620" max="14620" width="24" style="105" customWidth="1"/>
    <col min="14621" max="14621" width="15.7109375" style="105" customWidth="1"/>
    <col min="14622" max="14622" width="20.5703125" style="105" customWidth="1"/>
    <col min="14623" max="14623" width="13.7109375" style="105" customWidth="1"/>
    <col min="14624" max="14624" width="14.28515625" style="105" bestFit="1" customWidth="1"/>
    <col min="14625" max="14846" width="9.140625" style="105"/>
    <col min="14847" max="14847" width="18.42578125" style="105" customWidth="1"/>
    <col min="14848" max="14848" width="15.28515625" style="105" customWidth="1"/>
    <col min="14849" max="14849" width="23.85546875" style="105" customWidth="1"/>
    <col min="14850" max="14850" width="28" style="105" customWidth="1"/>
    <col min="14851" max="14852" width="20.42578125" style="105" customWidth="1"/>
    <col min="14853" max="14853" width="12.28515625" style="105" customWidth="1"/>
    <col min="14854" max="14855" width="21.85546875" style="105" customWidth="1"/>
    <col min="14856" max="14856" width="20.42578125" style="105" customWidth="1"/>
    <col min="14857" max="14857" width="22.5703125" style="105" customWidth="1"/>
    <col min="14858" max="14858" width="19.42578125" style="105" customWidth="1"/>
    <col min="14859" max="14859" width="16" style="105" customWidth="1"/>
    <col min="14860" max="14860" width="20.42578125" style="105" customWidth="1"/>
    <col min="14861" max="14861" width="18.42578125" style="105" customWidth="1"/>
    <col min="14862" max="14862" width="18.85546875" style="105" customWidth="1"/>
    <col min="14863" max="14863" width="17.7109375" style="105" customWidth="1"/>
    <col min="14864" max="14864" width="15.42578125" style="105" customWidth="1"/>
    <col min="14865" max="14865" width="15.7109375" style="105" bestFit="1" customWidth="1"/>
    <col min="14866" max="14866" width="16.5703125" style="105" customWidth="1"/>
    <col min="14867" max="14867" width="17.42578125" style="105" bestFit="1" customWidth="1"/>
    <col min="14868" max="14868" width="17" style="105" bestFit="1" customWidth="1"/>
    <col min="14869" max="14869" width="16.5703125" style="105" bestFit="1" customWidth="1"/>
    <col min="14870" max="14870" width="15.85546875" style="105" bestFit="1" customWidth="1"/>
    <col min="14871" max="14871" width="16.28515625" style="105" bestFit="1" customWidth="1"/>
    <col min="14872" max="14872" width="17" style="105" bestFit="1" customWidth="1"/>
    <col min="14873" max="14873" width="17" style="105" customWidth="1"/>
    <col min="14874" max="14874" width="19.42578125" style="105" bestFit="1" customWidth="1"/>
    <col min="14875" max="14875" width="16.5703125" style="105" customWidth="1"/>
    <col min="14876" max="14876" width="24" style="105" customWidth="1"/>
    <col min="14877" max="14877" width="15.7109375" style="105" customWidth="1"/>
    <col min="14878" max="14878" width="20.5703125" style="105" customWidth="1"/>
    <col min="14879" max="14879" width="13.7109375" style="105" customWidth="1"/>
    <col min="14880" max="14880" width="14.28515625" style="105" bestFit="1" customWidth="1"/>
    <col min="14881" max="15102" width="9.140625" style="105"/>
    <col min="15103" max="15103" width="18.42578125" style="105" customWidth="1"/>
    <col min="15104" max="15104" width="15.28515625" style="105" customWidth="1"/>
    <col min="15105" max="15105" width="23.85546875" style="105" customWidth="1"/>
    <col min="15106" max="15106" width="28" style="105" customWidth="1"/>
    <col min="15107" max="15108" width="20.42578125" style="105" customWidth="1"/>
    <col min="15109" max="15109" width="12.28515625" style="105" customWidth="1"/>
    <col min="15110" max="15111" width="21.85546875" style="105" customWidth="1"/>
    <col min="15112" max="15112" width="20.42578125" style="105" customWidth="1"/>
    <col min="15113" max="15113" width="22.5703125" style="105" customWidth="1"/>
    <col min="15114" max="15114" width="19.42578125" style="105" customWidth="1"/>
    <col min="15115" max="15115" width="16" style="105" customWidth="1"/>
    <col min="15116" max="15116" width="20.42578125" style="105" customWidth="1"/>
    <col min="15117" max="15117" width="18.42578125" style="105" customWidth="1"/>
    <col min="15118" max="15118" width="18.85546875" style="105" customWidth="1"/>
    <col min="15119" max="15119" width="17.7109375" style="105" customWidth="1"/>
    <col min="15120" max="15120" width="15.42578125" style="105" customWidth="1"/>
    <col min="15121" max="15121" width="15.7109375" style="105" bestFit="1" customWidth="1"/>
    <col min="15122" max="15122" width="16.5703125" style="105" customWidth="1"/>
    <col min="15123" max="15123" width="17.42578125" style="105" bestFit="1" customWidth="1"/>
    <col min="15124" max="15124" width="17" style="105" bestFit="1" customWidth="1"/>
    <col min="15125" max="15125" width="16.5703125" style="105" bestFit="1" customWidth="1"/>
    <col min="15126" max="15126" width="15.85546875" style="105" bestFit="1" customWidth="1"/>
    <col min="15127" max="15127" width="16.28515625" style="105" bestFit="1" customWidth="1"/>
    <col min="15128" max="15128" width="17" style="105" bestFit="1" customWidth="1"/>
    <col min="15129" max="15129" width="17" style="105" customWidth="1"/>
    <col min="15130" max="15130" width="19.42578125" style="105" bestFit="1" customWidth="1"/>
    <col min="15131" max="15131" width="16.5703125" style="105" customWidth="1"/>
    <col min="15132" max="15132" width="24" style="105" customWidth="1"/>
    <col min="15133" max="15133" width="15.7109375" style="105" customWidth="1"/>
    <col min="15134" max="15134" width="20.5703125" style="105" customWidth="1"/>
    <col min="15135" max="15135" width="13.7109375" style="105" customWidth="1"/>
    <col min="15136" max="15136" width="14.28515625" style="105" bestFit="1" customWidth="1"/>
    <col min="15137" max="15358" width="9.140625" style="105"/>
    <col min="15359" max="15359" width="18.42578125" style="105" customWidth="1"/>
    <col min="15360" max="15360" width="15.28515625" style="105" customWidth="1"/>
    <col min="15361" max="15361" width="23.85546875" style="105" customWidth="1"/>
    <col min="15362" max="15362" width="28" style="105" customWidth="1"/>
    <col min="15363" max="15364" width="20.42578125" style="105" customWidth="1"/>
    <col min="15365" max="15365" width="12.28515625" style="105" customWidth="1"/>
    <col min="15366" max="15367" width="21.85546875" style="105" customWidth="1"/>
    <col min="15368" max="15368" width="20.42578125" style="105" customWidth="1"/>
    <col min="15369" max="15369" width="22.5703125" style="105" customWidth="1"/>
    <col min="15370" max="15370" width="19.42578125" style="105" customWidth="1"/>
    <col min="15371" max="15371" width="16" style="105" customWidth="1"/>
    <col min="15372" max="15372" width="20.42578125" style="105" customWidth="1"/>
    <col min="15373" max="15373" width="18.42578125" style="105" customWidth="1"/>
    <col min="15374" max="15374" width="18.85546875" style="105" customWidth="1"/>
    <col min="15375" max="15375" width="17.7109375" style="105" customWidth="1"/>
    <col min="15376" max="15376" width="15.42578125" style="105" customWidth="1"/>
    <col min="15377" max="15377" width="15.7109375" style="105" bestFit="1" customWidth="1"/>
    <col min="15378" max="15378" width="16.5703125" style="105" customWidth="1"/>
    <col min="15379" max="15379" width="17.42578125" style="105" bestFit="1" customWidth="1"/>
    <col min="15380" max="15380" width="17" style="105" bestFit="1" customWidth="1"/>
    <col min="15381" max="15381" width="16.5703125" style="105" bestFit="1" customWidth="1"/>
    <col min="15382" max="15382" width="15.85546875" style="105" bestFit="1" customWidth="1"/>
    <col min="15383" max="15383" width="16.28515625" style="105" bestFit="1" customWidth="1"/>
    <col min="15384" max="15384" width="17" style="105" bestFit="1" customWidth="1"/>
    <col min="15385" max="15385" width="17" style="105" customWidth="1"/>
    <col min="15386" max="15386" width="19.42578125" style="105" bestFit="1" customWidth="1"/>
    <col min="15387" max="15387" width="16.5703125" style="105" customWidth="1"/>
    <col min="15388" max="15388" width="24" style="105" customWidth="1"/>
    <col min="15389" max="15389" width="15.7109375" style="105" customWidth="1"/>
    <col min="15390" max="15390" width="20.5703125" style="105" customWidth="1"/>
    <col min="15391" max="15391" width="13.7109375" style="105" customWidth="1"/>
    <col min="15392" max="15392" width="14.28515625" style="105" bestFit="1" customWidth="1"/>
    <col min="15393" max="15614" width="9.140625" style="105"/>
    <col min="15615" max="15615" width="18.42578125" style="105" customWidth="1"/>
    <col min="15616" max="15616" width="15.28515625" style="105" customWidth="1"/>
    <col min="15617" max="15617" width="23.85546875" style="105" customWidth="1"/>
    <col min="15618" max="15618" width="28" style="105" customWidth="1"/>
    <col min="15619" max="15620" width="20.42578125" style="105" customWidth="1"/>
    <col min="15621" max="15621" width="12.28515625" style="105" customWidth="1"/>
    <col min="15622" max="15623" width="21.85546875" style="105" customWidth="1"/>
    <col min="15624" max="15624" width="20.42578125" style="105" customWidth="1"/>
    <col min="15625" max="15625" width="22.5703125" style="105" customWidth="1"/>
    <col min="15626" max="15626" width="19.42578125" style="105" customWidth="1"/>
    <col min="15627" max="15627" width="16" style="105" customWidth="1"/>
    <col min="15628" max="15628" width="20.42578125" style="105" customWidth="1"/>
    <col min="15629" max="15629" width="18.42578125" style="105" customWidth="1"/>
    <col min="15630" max="15630" width="18.85546875" style="105" customWidth="1"/>
    <col min="15631" max="15631" width="17.7109375" style="105" customWidth="1"/>
    <col min="15632" max="15632" width="15.42578125" style="105" customWidth="1"/>
    <col min="15633" max="15633" width="15.7109375" style="105" bestFit="1" customWidth="1"/>
    <col min="15634" max="15634" width="16.5703125" style="105" customWidth="1"/>
    <col min="15635" max="15635" width="17.42578125" style="105" bestFit="1" customWidth="1"/>
    <col min="15636" max="15636" width="17" style="105" bestFit="1" customWidth="1"/>
    <col min="15637" max="15637" width="16.5703125" style="105" bestFit="1" customWidth="1"/>
    <col min="15638" max="15638" width="15.85546875" style="105" bestFit="1" customWidth="1"/>
    <col min="15639" max="15639" width="16.28515625" style="105" bestFit="1" customWidth="1"/>
    <col min="15640" max="15640" width="17" style="105" bestFit="1" customWidth="1"/>
    <col min="15641" max="15641" width="17" style="105" customWidth="1"/>
    <col min="15642" max="15642" width="19.42578125" style="105" bestFit="1" customWidth="1"/>
    <col min="15643" max="15643" width="16.5703125" style="105" customWidth="1"/>
    <col min="15644" max="15644" width="24" style="105" customWidth="1"/>
    <col min="15645" max="15645" width="15.7109375" style="105" customWidth="1"/>
    <col min="15646" max="15646" width="20.5703125" style="105" customWidth="1"/>
    <col min="15647" max="15647" width="13.7109375" style="105" customWidth="1"/>
    <col min="15648" max="15648" width="14.28515625" style="105" bestFit="1" customWidth="1"/>
    <col min="15649" max="15870" width="9.140625" style="105"/>
    <col min="15871" max="15871" width="18.42578125" style="105" customWidth="1"/>
    <col min="15872" max="15872" width="15.28515625" style="105" customWidth="1"/>
    <col min="15873" max="15873" width="23.85546875" style="105" customWidth="1"/>
    <col min="15874" max="15874" width="28" style="105" customWidth="1"/>
    <col min="15875" max="15876" width="20.42578125" style="105" customWidth="1"/>
    <col min="15877" max="15877" width="12.28515625" style="105" customWidth="1"/>
    <col min="15878" max="15879" width="21.85546875" style="105" customWidth="1"/>
    <col min="15880" max="15880" width="20.42578125" style="105" customWidth="1"/>
    <col min="15881" max="15881" width="22.5703125" style="105" customWidth="1"/>
    <col min="15882" max="15882" width="19.42578125" style="105" customWidth="1"/>
    <col min="15883" max="15883" width="16" style="105" customWidth="1"/>
    <col min="15884" max="15884" width="20.42578125" style="105" customWidth="1"/>
    <col min="15885" max="15885" width="18.42578125" style="105" customWidth="1"/>
    <col min="15886" max="15886" width="18.85546875" style="105" customWidth="1"/>
    <col min="15887" max="15887" width="17.7109375" style="105" customWidth="1"/>
    <col min="15888" max="15888" width="15.42578125" style="105" customWidth="1"/>
    <col min="15889" max="15889" width="15.7109375" style="105" bestFit="1" customWidth="1"/>
    <col min="15890" max="15890" width="16.5703125" style="105" customWidth="1"/>
    <col min="15891" max="15891" width="17.42578125" style="105" bestFit="1" customWidth="1"/>
    <col min="15892" max="15892" width="17" style="105" bestFit="1" customWidth="1"/>
    <col min="15893" max="15893" width="16.5703125" style="105" bestFit="1" customWidth="1"/>
    <col min="15894" max="15894" width="15.85546875" style="105" bestFit="1" customWidth="1"/>
    <col min="15895" max="15895" width="16.28515625" style="105" bestFit="1" customWidth="1"/>
    <col min="15896" max="15896" width="17" style="105" bestFit="1" customWidth="1"/>
    <col min="15897" max="15897" width="17" style="105" customWidth="1"/>
    <col min="15898" max="15898" width="19.42578125" style="105" bestFit="1" customWidth="1"/>
    <col min="15899" max="15899" width="16.5703125" style="105" customWidth="1"/>
    <col min="15900" max="15900" width="24" style="105" customWidth="1"/>
    <col min="15901" max="15901" width="15.7109375" style="105" customWidth="1"/>
    <col min="15902" max="15902" width="20.5703125" style="105" customWidth="1"/>
    <col min="15903" max="15903" width="13.7109375" style="105" customWidth="1"/>
    <col min="15904" max="15904" width="14.28515625" style="105" bestFit="1" customWidth="1"/>
    <col min="15905" max="16126" width="9.140625" style="105"/>
    <col min="16127" max="16127" width="18.42578125" style="105" customWidth="1"/>
    <col min="16128" max="16128" width="15.28515625" style="105" customWidth="1"/>
    <col min="16129" max="16129" width="23.85546875" style="105" customWidth="1"/>
    <col min="16130" max="16130" width="28" style="105" customWidth="1"/>
    <col min="16131" max="16132" width="20.42578125" style="105" customWidth="1"/>
    <col min="16133" max="16133" width="12.28515625" style="105" customWidth="1"/>
    <col min="16134" max="16135" width="21.85546875" style="105" customWidth="1"/>
    <col min="16136" max="16136" width="20.42578125" style="105" customWidth="1"/>
    <col min="16137" max="16137" width="22.5703125" style="105" customWidth="1"/>
    <col min="16138" max="16138" width="19.42578125" style="105" customWidth="1"/>
    <col min="16139" max="16139" width="16" style="105" customWidth="1"/>
    <col min="16140" max="16140" width="20.42578125" style="105" customWidth="1"/>
    <col min="16141" max="16141" width="18.42578125" style="105" customWidth="1"/>
    <col min="16142" max="16142" width="18.85546875" style="105" customWidth="1"/>
    <col min="16143" max="16143" width="17.7109375" style="105" customWidth="1"/>
    <col min="16144" max="16144" width="15.42578125" style="105" customWidth="1"/>
    <col min="16145" max="16145" width="15.7109375" style="105" bestFit="1" customWidth="1"/>
    <col min="16146" max="16146" width="16.5703125" style="105" customWidth="1"/>
    <col min="16147" max="16147" width="17.42578125" style="105" bestFit="1" customWidth="1"/>
    <col min="16148" max="16148" width="17" style="105" bestFit="1" customWidth="1"/>
    <col min="16149" max="16149" width="16.5703125" style="105" bestFit="1" customWidth="1"/>
    <col min="16150" max="16150" width="15.85546875" style="105" bestFit="1" customWidth="1"/>
    <col min="16151" max="16151" width="16.28515625" style="105" bestFit="1" customWidth="1"/>
    <col min="16152" max="16152" width="17" style="105" bestFit="1" customWidth="1"/>
    <col min="16153" max="16153" width="17" style="105" customWidth="1"/>
    <col min="16154" max="16154" width="19.42578125" style="105" bestFit="1" customWidth="1"/>
    <col min="16155" max="16155" width="16.5703125" style="105" customWidth="1"/>
    <col min="16156" max="16156" width="24" style="105" customWidth="1"/>
    <col min="16157" max="16157" width="15.7109375" style="105" customWidth="1"/>
    <col min="16158" max="16158" width="20.5703125" style="105" customWidth="1"/>
    <col min="16159" max="16159" width="13.7109375" style="105" customWidth="1"/>
    <col min="16160" max="16160" width="14.28515625" style="105" bestFit="1" customWidth="1"/>
    <col min="16161" max="16384" width="9.140625" style="105"/>
  </cols>
  <sheetData>
    <row r="1" spans="1:35" x14ac:dyDescent="0.2">
      <c r="A1" s="102"/>
      <c r="B1" s="103"/>
      <c r="AD1" s="108"/>
      <c r="AE1" s="108"/>
    </row>
    <row r="2" spans="1:35" ht="15" x14ac:dyDescent="0.2">
      <c r="A2" s="237" t="s">
        <v>2161</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row>
    <row r="3" spans="1:35" ht="15" x14ac:dyDescent="0.2">
      <c r="A3" s="237" t="s">
        <v>2162</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row>
    <row r="4" spans="1:35" ht="13.5" thickBot="1" x14ac:dyDescent="0.25">
      <c r="J4" s="109"/>
      <c r="K4" s="109"/>
      <c r="L4" s="109"/>
      <c r="M4" s="109"/>
      <c r="N4" s="109"/>
      <c r="O4" s="109"/>
      <c r="AD4" s="110"/>
      <c r="AE4" s="110"/>
    </row>
    <row r="5" spans="1:35" s="122" customFormat="1" ht="72" customHeight="1" thickBot="1" x14ac:dyDescent="0.25">
      <c r="A5" s="111" t="s">
        <v>2163</v>
      </c>
      <c r="B5" s="112" t="s">
        <v>2164</v>
      </c>
      <c r="C5" s="112" t="s">
        <v>2165</v>
      </c>
      <c r="D5" s="113" t="s">
        <v>2166</v>
      </c>
      <c r="E5" s="114" t="s">
        <v>2167</v>
      </c>
      <c r="F5" s="115" t="s">
        <v>2168</v>
      </c>
      <c r="G5" s="116" t="s">
        <v>2169</v>
      </c>
      <c r="H5" s="116" t="s">
        <v>2170</v>
      </c>
      <c r="I5" s="117" t="s">
        <v>2171</v>
      </c>
      <c r="J5" s="118" t="s">
        <v>2172</v>
      </c>
      <c r="K5" s="119" t="s">
        <v>2173</v>
      </c>
      <c r="L5" s="119" t="s">
        <v>2174</v>
      </c>
      <c r="M5" s="119" t="s">
        <v>2175</v>
      </c>
      <c r="N5" s="119" t="s">
        <v>2176</v>
      </c>
      <c r="O5" s="120" t="s">
        <v>2177</v>
      </c>
      <c r="P5" s="238" t="s">
        <v>2178</v>
      </c>
      <c r="Q5" s="239"/>
      <c r="R5" s="239"/>
      <c r="S5" s="239"/>
      <c r="T5" s="239"/>
      <c r="U5" s="239"/>
      <c r="V5" s="239"/>
      <c r="W5" s="239"/>
      <c r="X5" s="239"/>
      <c r="Y5" s="239"/>
      <c r="Z5" s="239"/>
      <c r="AA5" s="239"/>
      <c r="AB5" s="239"/>
      <c r="AC5" s="240"/>
      <c r="AD5" s="121" t="s">
        <v>2179</v>
      </c>
      <c r="AE5" s="121" t="s">
        <v>2180</v>
      </c>
      <c r="AF5" s="105"/>
    </row>
    <row r="6" spans="1:35" s="122" customFormat="1" ht="13.5" thickBot="1" x14ac:dyDescent="0.25">
      <c r="A6" s="123"/>
      <c r="B6" s="124"/>
      <c r="C6" s="124"/>
      <c r="D6" s="124"/>
      <c r="E6" s="125"/>
      <c r="F6" s="126"/>
      <c r="G6" s="127"/>
      <c r="H6" s="127"/>
      <c r="I6" s="128"/>
      <c r="J6" s="126"/>
      <c r="K6" s="127"/>
      <c r="L6" s="127"/>
      <c r="M6" s="127"/>
      <c r="N6" s="127"/>
      <c r="O6" s="129"/>
      <c r="P6" s="130">
        <v>2008</v>
      </c>
      <c r="Q6" s="131">
        <v>2009</v>
      </c>
      <c r="R6" s="131">
        <v>2010</v>
      </c>
      <c r="S6" s="131">
        <v>2011</v>
      </c>
      <c r="T6" s="132">
        <v>2012</v>
      </c>
      <c r="U6" s="125">
        <v>2013</v>
      </c>
      <c r="V6" s="125">
        <v>2014</v>
      </c>
      <c r="W6" s="125">
        <v>2015</v>
      </c>
      <c r="X6" s="125">
        <v>2016</v>
      </c>
      <c r="Y6" s="125">
        <v>2017</v>
      </c>
      <c r="Z6" s="125">
        <v>2018</v>
      </c>
      <c r="AA6" s="125">
        <v>2019</v>
      </c>
      <c r="AB6" s="125">
        <v>2020</v>
      </c>
      <c r="AC6" s="133" t="s">
        <v>2181</v>
      </c>
      <c r="AD6" s="134"/>
      <c r="AE6" s="134"/>
      <c r="AF6" s="105"/>
    </row>
    <row r="7" spans="1:35" ht="24.95" customHeight="1" x14ac:dyDescent="0.2">
      <c r="A7" s="135">
        <v>1</v>
      </c>
      <c r="B7" s="136" t="s">
        <v>2182</v>
      </c>
      <c r="C7" s="137" t="s">
        <v>2183</v>
      </c>
      <c r="D7" s="137" t="s">
        <v>2183</v>
      </c>
      <c r="E7" s="138" t="s">
        <v>2184</v>
      </c>
      <c r="F7" s="139">
        <v>2500</v>
      </c>
      <c r="G7" s="140">
        <v>8473</v>
      </c>
      <c r="H7" s="140">
        <v>90</v>
      </c>
      <c r="I7" s="195"/>
      <c r="J7" s="141">
        <f>662+1751</f>
        <v>2413</v>
      </c>
      <c r="K7" s="142">
        <v>7599</v>
      </c>
      <c r="L7" s="142">
        <v>42</v>
      </c>
      <c r="M7" s="142">
        <v>92</v>
      </c>
      <c r="N7" s="142">
        <v>3</v>
      </c>
      <c r="O7" s="142">
        <v>92</v>
      </c>
      <c r="P7" s="223"/>
      <c r="Q7" s="223"/>
      <c r="R7" s="223"/>
      <c r="S7" s="223"/>
      <c r="T7" s="223"/>
      <c r="U7" s="224"/>
      <c r="V7" s="224"/>
      <c r="W7" s="224"/>
      <c r="X7" s="224"/>
      <c r="Y7" s="224"/>
      <c r="Z7" s="224"/>
      <c r="AA7" s="224"/>
      <c r="AB7" s="224"/>
      <c r="AC7" s="224"/>
      <c r="AD7" s="143" t="s">
        <v>2185</v>
      </c>
      <c r="AE7" s="143" t="s">
        <v>2186</v>
      </c>
    </row>
    <row r="8" spans="1:35" ht="24.95" customHeight="1" x14ac:dyDescent="0.2">
      <c r="A8" s="144" t="s">
        <v>2187</v>
      </c>
      <c r="B8" s="145" t="s">
        <v>2188</v>
      </c>
      <c r="C8" s="146" t="s">
        <v>2183</v>
      </c>
      <c r="D8" s="146" t="s">
        <v>2183</v>
      </c>
      <c r="E8" s="147" t="s">
        <v>2184</v>
      </c>
      <c r="F8" s="148" t="s">
        <v>2189</v>
      </c>
      <c r="G8" s="149" t="s">
        <v>2189</v>
      </c>
      <c r="H8" s="149" t="s">
        <v>2189</v>
      </c>
      <c r="I8" s="196"/>
      <c r="J8" s="149" t="s">
        <v>2189</v>
      </c>
      <c r="K8" s="149" t="s">
        <v>2189</v>
      </c>
      <c r="L8" s="149" t="s">
        <v>2189</v>
      </c>
      <c r="M8" s="149" t="s">
        <v>2189</v>
      </c>
      <c r="N8" s="149" t="s">
        <v>2189</v>
      </c>
      <c r="O8" s="149" t="s">
        <v>2189</v>
      </c>
      <c r="P8" s="224"/>
      <c r="Q8" s="224"/>
      <c r="R8" s="224"/>
      <c r="S8" s="224"/>
      <c r="T8" s="224"/>
      <c r="U8" s="224"/>
      <c r="V8" s="224"/>
      <c r="W8" s="224"/>
      <c r="X8" s="224"/>
      <c r="Y8" s="224"/>
      <c r="Z8" s="224"/>
      <c r="AA8" s="224"/>
      <c r="AB8" s="224"/>
      <c r="AC8" s="224"/>
      <c r="AD8" s="143" t="s">
        <v>2185</v>
      </c>
      <c r="AE8" s="143" t="s">
        <v>2186</v>
      </c>
    </row>
    <row r="9" spans="1:35" ht="24.95" customHeight="1" x14ac:dyDescent="0.2">
      <c r="A9" s="144">
        <v>2</v>
      </c>
      <c r="B9" s="150" t="s">
        <v>2190</v>
      </c>
      <c r="C9" s="146" t="s">
        <v>2183</v>
      </c>
      <c r="D9" s="146" t="s">
        <v>2183</v>
      </c>
      <c r="E9" s="147" t="s">
        <v>2184</v>
      </c>
      <c r="F9" s="148">
        <v>6089</v>
      </c>
      <c r="G9" s="149">
        <v>6720</v>
      </c>
      <c r="H9" s="149">
        <v>98</v>
      </c>
      <c r="I9" s="196"/>
      <c r="J9" s="149">
        <v>5884</v>
      </c>
      <c r="K9" s="149">
        <v>6777</v>
      </c>
      <c r="L9" s="149">
        <v>40</v>
      </c>
      <c r="M9" s="149">
        <v>2942</v>
      </c>
      <c r="N9" s="149">
        <v>0</v>
      </c>
      <c r="O9" s="149">
        <v>2938</v>
      </c>
      <c r="P9" s="224"/>
      <c r="Q9" s="224"/>
      <c r="R9" s="224"/>
      <c r="S9" s="224"/>
      <c r="T9" s="224"/>
      <c r="U9" s="224"/>
      <c r="V9" s="224"/>
      <c r="W9" s="224"/>
      <c r="X9" s="224"/>
      <c r="Y9" s="224"/>
      <c r="Z9" s="224"/>
      <c r="AA9" s="224"/>
      <c r="AB9" s="224"/>
      <c r="AC9" s="224"/>
      <c r="AD9" s="143" t="s">
        <v>2185</v>
      </c>
      <c r="AE9" s="143" t="s">
        <v>2186</v>
      </c>
    </row>
    <row r="10" spans="1:35" ht="24.95" customHeight="1" x14ac:dyDescent="0.2">
      <c r="A10" s="144">
        <v>3</v>
      </c>
      <c r="B10" s="150" t="s">
        <v>2191</v>
      </c>
      <c r="C10" s="146" t="s">
        <v>2183</v>
      </c>
      <c r="D10" s="146" t="s">
        <v>2183</v>
      </c>
      <c r="E10" s="147" t="s">
        <v>2184</v>
      </c>
      <c r="F10" s="148">
        <v>2860</v>
      </c>
      <c r="G10" s="149">
        <v>2468</v>
      </c>
      <c r="H10" s="149">
        <v>33</v>
      </c>
      <c r="I10" s="196"/>
      <c r="J10" s="149">
        <v>2923</v>
      </c>
      <c r="K10" s="149">
        <v>2409</v>
      </c>
      <c r="L10" s="149">
        <v>31</v>
      </c>
      <c r="M10" s="149">
        <v>2015</v>
      </c>
      <c r="N10" s="149">
        <v>1</v>
      </c>
      <c r="O10" s="149">
        <v>2080</v>
      </c>
      <c r="P10" s="224"/>
      <c r="Q10" s="224"/>
      <c r="R10" s="224"/>
      <c r="S10" s="224"/>
      <c r="T10" s="224"/>
      <c r="U10" s="224"/>
      <c r="V10" s="224"/>
      <c r="W10" s="224"/>
      <c r="X10" s="224"/>
      <c r="Y10" s="224"/>
      <c r="Z10" s="224"/>
      <c r="AA10" s="224"/>
      <c r="AB10" s="224"/>
      <c r="AC10" s="224"/>
      <c r="AD10" s="143" t="s">
        <v>2185</v>
      </c>
      <c r="AE10" s="143" t="s">
        <v>2186</v>
      </c>
    </row>
    <row r="11" spans="1:35" ht="24.95" customHeight="1" x14ac:dyDescent="0.2">
      <c r="A11" s="144">
        <v>4</v>
      </c>
      <c r="B11" s="150" t="s">
        <v>2192</v>
      </c>
      <c r="C11" s="146" t="s">
        <v>2183</v>
      </c>
      <c r="D11" s="146" t="s">
        <v>2183</v>
      </c>
      <c r="E11" s="147" t="s">
        <v>2184</v>
      </c>
      <c r="F11" s="148">
        <v>5980</v>
      </c>
      <c r="G11" s="149">
        <v>5778</v>
      </c>
      <c r="H11" s="149">
        <v>67</v>
      </c>
      <c r="I11" s="196"/>
      <c r="J11" s="149">
        <v>6113</v>
      </c>
      <c r="K11" s="149">
        <v>4926</v>
      </c>
      <c r="L11" s="149">
        <v>60</v>
      </c>
      <c r="M11" s="149">
        <v>1853</v>
      </c>
      <c r="N11" s="149">
        <v>2</v>
      </c>
      <c r="O11" s="149">
        <v>1150</v>
      </c>
      <c r="P11" s="224"/>
      <c r="Q11" s="224"/>
      <c r="R11" s="224"/>
      <c r="S11" s="224"/>
      <c r="T11" s="224"/>
      <c r="U11" s="224"/>
      <c r="V11" s="224"/>
      <c r="W11" s="224"/>
      <c r="X11" s="224"/>
      <c r="Y11" s="224"/>
      <c r="Z11" s="224"/>
      <c r="AA11" s="224"/>
      <c r="AB11" s="224"/>
      <c r="AC11" s="224"/>
      <c r="AD11" s="143" t="s">
        <v>2185</v>
      </c>
      <c r="AE11" s="143" t="s">
        <v>2186</v>
      </c>
    </row>
    <row r="12" spans="1:35" ht="24.95" customHeight="1" x14ac:dyDescent="0.2">
      <c r="A12" s="144">
        <v>5</v>
      </c>
      <c r="B12" s="150" t="s">
        <v>2193</v>
      </c>
      <c r="C12" s="146" t="s">
        <v>2194</v>
      </c>
      <c r="D12" s="146" t="s">
        <v>2195</v>
      </c>
      <c r="E12" s="147" t="s">
        <v>2184</v>
      </c>
      <c r="F12" s="148">
        <v>3995</v>
      </c>
      <c r="G12" s="149">
        <v>4170</v>
      </c>
      <c r="H12" s="149">
        <v>69</v>
      </c>
      <c r="I12" s="196"/>
      <c r="J12" s="149">
        <v>4191</v>
      </c>
      <c r="K12" s="149">
        <v>4238</v>
      </c>
      <c r="L12" s="149">
        <v>74</v>
      </c>
      <c r="M12" s="149">
        <v>1864</v>
      </c>
      <c r="N12" s="149">
        <v>0</v>
      </c>
      <c r="O12" s="149">
        <v>1562</v>
      </c>
      <c r="P12" s="224"/>
      <c r="Q12" s="224"/>
      <c r="R12" s="224"/>
      <c r="S12" s="224"/>
      <c r="T12" s="224"/>
      <c r="U12" s="224"/>
      <c r="V12" s="224"/>
      <c r="W12" s="224"/>
      <c r="X12" s="224"/>
      <c r="Y12" s="224"/>
      <c r="Z12" s="224"/>
      <c r="AA12" s="224"/>
      <c r="AB12" s="224"/>
      <c r="AC12" s="224"/>
      <c r="AD12" s="143" t="s">
        <v>2185</v>
      </c>
      <c r="AE12" s="143" t="s">
        <v>2186</v>
      </c>
    </row>
    <row r="13" spans="1:35" ht="24.95" customHeight="1" x14ac:dyDescent="0.2">
      <c r="A13" s="144">
        <v>6</v>
      </c>
      <c r="B13" s="150" t="s">
        <v>2196</v>
      </c>
      <c r="C13" s="146" t="s">
        <v>2194</v>
      </c>
      <c r="D13" s="146" t="s">
        <v>2197</v>
      </c>
      <c r="E13" s="147" t="s">
        <v>2184</v>
      </c>
      <c r="F13" s="148">
        <v>3245</v>
      </c>
      <c r="G13" s="149">
        <v>3135</v>
      </c>
      <c r="H13" s="149">
        <v>38</v>
      </c>
      <c r="I13" s="196"/>
      <c r="J13" s="149">
        <v>3295</v>
      </c>
      <c r="K13" s="149">
        <v>3236</v>
      </c>
      <c r="L13" s="149">
        <v>38</v>
      </c>
      <c r="M13" s="149">
        <v>1986</v>
      </c>
      <c r="N13" s="149">
        <v>1</v>
      </c>
      <c r="O13" s="149">
        <v>1710</v>
      </c>
      <c r="P13" s="224"/>
      <c r="Q13" s="224"/>
      <c r="R13" s="224"/>
      <c r="S13" s="224"/>
      <c r="T13" s="224"/>
      <c r="U13" s="224"/>
      <c r="V13" s="224"/>
      <c r="W13" s="224"/>
      <c r="X13" s="224"/>
      <c r="Y13" s="224"/>
      <c r="Z13" s="224"/>
      <c r="AA13" s="224"/>
      <c r="AB13" s="224"/>
      <c r="AC13" s="224"/>
      <c r="AD13" s="143" t="s">
        <v>2185</v>
      </c>
      <c r="AE13" s="143" t="s">
        <v>2186</v>
      </c>
    </row>
    <row r="14" spans="1:35" ht="24.95" customHeight="1" x14ac:dyDescent="0.2">
      <c r="A14" s="144">
        <v>7</v>
      </c>
      <c r="B14" s="150" t="s">
        <v>2198</v>
      </c>
      <c r="C14" s="146" t="s">
        <v>2183</v>
      </c>
      <c r="D14" s="146" t="s">
        <v>2183</v>
      </c>
      <c r="E14" s="147" t="s">
        <v>2184</v>
      </c>
      <c r="F14" s="148">
        <v>5805</v>
      </c>
      <c r="G14" s="149">
        <v>6870</v>
      </c>
      <c r="H14" s="149">
        <v>109</v>
      </c>
      <c r="I14" s="196"/>
      <c r="J14" s="149">
        <v>5329</v>
      </c>
      <c r="K14" s="149">
        <v>6996</v>
      </c>
      <c r="L14" s="149">
        <v>98</v>
      </c>
      <c r="M14" s="149">
        <v>4953</v>
      </c>
      <c r="N14" s="149">
        <v>4</v>
      </c>
      <c r="O14" s="149">
        <v>2701</v>
      </c>
      <c r="P14" s="224"/>
      <c r="Q14" s="224"/>
      <c r="R14" s="224"/>
      <c r="S14" s="224"/>
      <c r="T14" s="224"/>
      <c r="U14" s="224"/>
      <c r="V14" s="224"/>
      <c r="W14" s="224"/>
      <c r="X14" s="224"/>
      <c r="Y14" s="224"/>
      <c r="Z14" s="224"/>
      <c r="AA14" s="224"/>
      <c r="AB14" s="224"/>
      <c r="AC14" s="224"/>
      <c r="AD14" s="143" t="s">
        <v>2185</v>
      </c>
      <c r="AE14" s="143" t="s">
        <v>2186</v>
      </c>
    </row>
    <row r="15" spans="1:35" ht="24.95" customHeight="1" x14ac:dyDescent="0.2">
      <c r="A15" s="144">
        <v>8</v>
      </c>
      <c r="B15" s="150" t="s">
        <v>2199</v>
      </c>
      <c r="C15" s="146" t="s">
        <v>2183</v>
      </c>
      <c r="D15" s="146" t="s">
        <v>2183</v>
      </c>
      <c r="E15" s="147" t="s">
        <v>2184</v>
      </c>
      <c r="F15" s="148">
        <v>9995</v>
      </c>
      <c r="G15" s="149">
        <v>11665</v>
      </c>
      <c r="H15" s="149">
        <v>168</v>
      </c>
      <c r="I15" s="196"/>
      <c r="J15" s="149">
        <v>9206</v>
      </c>
      <c r="K15" s="149">
        <v>12071</v>
      </c>
      <c r="L15" s="149">
        <v>153</v>
      </c>
      <c r="M15" s="149">
        <v>6277</v>
      </c>
      <c r="N15" s="149">
        <v>2</v>
      </c>
      <c r="O15" s="149">
        <v>3875</v>
      </c>
      <c r="P15" s="224"/>
      <c r="Q15" s="224"/>
      <c r="R15" s="224"/>
      <c r="S15" s="224"/>
      <c r="T15" s="224"/>
      <c r="U15" s="224"/>
      <c r="V15" s="224"/>
      <c r="W15" s="224"/>
      <c r="X15" s="224"/>
      <c r="Y15" s="224"/>
      <c r="Z15" s="224"/>
      <c r="AA15" s="224"/>
      <c r="AB15" s="224"/>
      <c r="AC15" s="224"/>
      <c r="AD15" s="143" t="s">
        <v>2185</v>
      </c>
      <c r="AE15" s="143" t="s">
        <v>2186</v>
      </c>
      <c r="AI15" s="105" t="s">
        <v>2200</v>
      </c>
    </row>
    <row r="16" spans="1:35" ht="24.95" customHeight="1" x14ac:dyDescent="0.2">
      <c r="A16" s="144">
        <v>9</v>
      </c>
      <c r="B16" s="150" t="s">
        <v>2201</v>
      </c>
      <c r="C16" s="146" t="s">
        <v>2183</v>
      </c>
      <c r="D16" s="146" t="s">
        <v>2183</v>
      </c>
      <c r="E16" s="147" t="s">
        <v>2184</v>
      </c>
      <c r="F16" s="148">
        <v>1270</v>
      </c>
      <c r="G16" s="149">
        <v>1320</v>
      </c>
      <c r="H16" s="149">
        <v>34</v>
      </c>
      <c r="I16" s="196"/>
      <c r="J16" s="149">
        <v>1317</v>
      </c>
      <c r="K16" s="149">
        <v>1325</v>
      </c>
      <c r="L16" s="149">
        <v>34</v>
      </c>
      <c r="M16" s="149">
        <v>1178</v>
      </c>
      <c r="N16" s="149">
        <v>3</v>
      </c>
      <c r="O16" s="149">
        <v>373</v>
      </c>
      <c r="P16" s="224"/>
      <c r="Q16" s="224"/>
      <c r="R16" s="224"/>
      <c r="S16" s="224"/>
      <c r="T16" s="224"/>
      <c r="U16" s="224"/>
      <c r="V16" s="224"/>
      <c r="W16" s="224"/>
      <c r="X16" s="224"/>
      <c r="Y16" s="224"/>
      <c r="Z16" s="224"/>
      <c r="AA16" s="224"/>
      <c r="AB16" s="224"/>
      <c r="AC16" s="224"/>
      <c r="AD16" s="143" t="s">
        <v>2185</v>
      </c>
      <c r="AE16" s="143" t="s">
        <v>2186</v>
      </c>
    </row>
    <row r="17" spans="1:31" ht="24.95" customHeight="1" x14ac:dyDescent="0.2">
      <c r="A17" s="144">
        <v>9</v>
      </c>
      <c r="B17" s="150" t="s">
        <v>2202</v>
      </c>
      <c r="C17" s="146" t="s">
        <v>2183</v>
      </c>
      <c r="D17" s="146" t="s">
        <v>2183</v>
      </c>
      <c r="E17" s="147" t="s">
        <v>2184</v>
      </c>
      <c r="F17" s="148">
        <v>0</v>
      </c>
      <c r="G17" s="149">
        <v>675</v>
      </c>
      <c r="H17" s="149">
        <v>4</v>
      </c>
      <c r="I17" s="196"/>
      <c r="J17" s="149">
        <v>0</v>
      </c>
      <c r="K17" s="149">
        <v>675</v>
      </c>
      <c r="L17" s="149">
        <v>25</v>
      </c>
      <c r="M17" s="149">
        <v>128</v>
      </c>
      <c r="N17" s="149">
        <v>0</v>
      </c>
      <c r="O17" s="149">
        <v>13</v>
      </c>
      <c r="P17" s="224"/>
      <c r="Q17" s="224"/>
      <c r="R17" s="224"/>
      <c r="S17" s="224"/>
      <c r="T17" s="224"/>
      <c r="U17" s="224"/>
      <c r="V17" s="224"/>
      <c r="W17" s="224"/>
      <c r="X17" s="224"/>
      <c r="Y17" s="224"/>
      <c r="Z17" s="224"/>
      <c r="AA17" s="224"/>
      <c r="AB17" s="224"/>
      <c r="AC17" s="224"/>
      <c r="AD17" s="143" t="s">
        <v>2185</v>
      </c>
      <c r="AE17" s="143" t="s">
        <v>2186</v>
      </c>
    </row>
    <row r="18" spans="1:31" ht="24.95" customHeight="1" x14ac:dyDescent="0.2">
      <c r="A18" s="144">
        <v>9</v>
      </c>
      <c r="B18" s="150" t="s">
        <v>2203</v>
      </c>
      <c r="C18" s="146" t="s">
        <v>2183</v>
      </c>
      <c r="D18" s="146" t="s">
        <v>2183</v>
      </c>
      <c r="E18" s="147" t="s">
        <v>2184</v>
      </c>
      <c r="F18" s="148">
        <v>1510</v>
      </c>
      <c r="G18" s="149">
        <v>1557</v>
      </c>
      <c r="H18" s="149">
        <v>30</v>
      </c>
      <c r="I18" s="196"/>
      <c r="J18" s="149">
        <v>1549</v>
      </c>
      <c r="K18" s="149">
        <v>1557</v>
      </c>
      <c r="L18" s="149">
        <v>27</v>
      </c>
      <c r="M18" s="149">
        <v>906</v>
      </c>
      <c r="N18" s="149">
        <v>0</v>
      </c>
      <c r="O18" s="149">
        <v>836</v>
      </c>
      <c r="P18" s="224"/>
      <c r="Q18" s="224"/>
      <c r="R18" s="224"/>
      <c r="S18" s="224"/>
      <c r="T18" s="224"/>
      <c r="U18" s="224"/>
      <c r="V18" s="224"/>
      <c r="W18" s="224"/>
      <c r="X18" s="224"/>
      <c r="Y18" s="224"/>
      <c r="Z18" s="224"/>
      <c r="AA18" s="224"/>
      <c r="AB18" s="224"/>
      <c r="AC18" s="224"/>
      <c r="AD18" s="143" t="s">
        <v>2185</v>
      </c>
      <c r="AE18" s="143" t="s">
        <v>2186</v>
      </c>
    </row>
    <row r="19" spans="1:31" ht="24.95" customHeight="1" x14ac:dyDescent="0.2">
      <c r="A19" s="144">
        <v>9</v>
      </c>
      <c r="B19" s="150" t="s">
        <v>2204</v>
      </c>
      <c r="C19" s="146" t="s">
        <v>2183</v>
      </c>
      <c r="D19" s="146" t="s">
        <v>2183</v>
      </c>
      <c r="E19" s="147" t="s">
        <v>2184</v>
      </c>
      <c r="F19" s="148">
        <v>1260</v>
      </c>
      <c r="G19" s="149">
        <v>2492</v>
      </c>
      <c r="H19" s="149">
        <v>32</v>
      </c>
      <c r="I19" s="196"/>
      <c r="J19" s="149">
        <v>1232</v>
      </c>
      <c r="K19" s="149">
        <v>904</v>
      </c>
      <c r="L19" s="149">
        <v>26</v>
      </c>
      <c r="M19" s="149">
        <v>1070</v>
      </c>
      <c r="N19" s="149">
        <v>0</v>
      </c>
      <c r="O19" s="149">
        <v>1538</v>
      </c>
      <c r="P19" s="224"/>
      <c r="Q19" s="224"/>
      <c r="R19" s="224"/>
      <c r="S19" s="224"/>
      <c r="T19" s="224"/>
      <c r="U19" s="224"/>
      <c r="V19" s="224"/>
      <c r="W19" s="224"/>
      <c r="X19" s="224"/>
      <c r="Y19" s="224"/>
      <c r="Z19" s="224"/>
      <c r="AA19" s="224"/>
      <c r="AB19" s="224"/>
      <c r="AC19" s="224"/>
      <c r="AD19" s="143" t="s">
        <v>2185</v>
      </c>
      <c r="AE19" s="143" t="s">
        <v>2186</v>
      </c>
    </row>
    <row r="20" spans="1:31" ht="24.95" customHeight="1" x14ac:dyDescent="0.2">
      <c r="A20" s="144">
        <v>9</v>
      </c>
      <c r="B20" s="150" t="s">
        <v>2205</v>
      </c>
      <c r="C20" s="146" t="s">
        <v>2183</v>
      </c>
      <c r="D20" s="146" t="s">
        <v>2183</v>
      </c>
      <c r="E20" s="147" t="s">
        <v>2184</v>
      </c>
      <c r="F20" s="148">
        <v>970</v>
      </c>
      <c r="G20" s="149">
        <v>1055</v>
      </c>
      <c r="H20" s="149">
        <v>31</v>
      </c>
      <c r="I20" s="196"/>
      <c r="J20" s="149">
        <v>996</v>
      </c>
      <c r="K20" s="149">
        <v>1020</v>
      </c>
      <c r="L20" s="149">
        <v>25</v>
      </c>
      <c r="M20" s="149">
        <v>1344</v>
      </c>
      <c r="N20" s="149">
        <v>0</v>
      </c>
      <c r="O20" s="149">
        <v>326</v>
      </c>
      <c r="P20" s="224"/>
      <c r="Q20" s="224"/>
      <c r="R20" s="224"/>
      <c r="S20" s="224"/>
      <c r="T20" s="224"/>
      <c r="U20" s="224"/>
      <c r="V20" s="224"/>
      <c r="W20" s="224"/>
      <c r="X20" s="224"/>
      <c r="Y20" s="224"/>
      <c r="Z20" s="224"/>
      <c r="AA20" s="224"/>
      <c r="AB20" s="224"/>
      <c r="AC20" s="224"/>
      <c r="AD20" s="143" t="s">
        <v>2185</v>
      </c>
      <c r="AE20" s="143" t="s">
        <v>2186</v>
      </c>
    </row>
    <row r="21" spans="1:31" ht="24.95" customHeight="1" x14ac:dyDescent="0.2">
      <c r="A21" s="144">
        <v>10</v>
      </c>
      <c r="B21" s="150" t="s">
        <v>2206</v>
      </c>
      <c r="C21" s="146" t="s">
        <v>2194</v>
      </c>
      <c r="D21" s="146" t="s">
        <v>2194</v>
      </c>
      <c r="E21" s="147" t="s">
        <v>2184</v>
      </c>
      <c r="F21" s="148">
        <v>6820</v>
      </c>
      <c r="G21" s="149">
        <v>6930</v>
      </c>
      <c r="H21" s="149">
        <v>113</v>
      </c>
      <c r="I21" s="196"/>
      <c r="J21" s="149">
        <v>7025</v>
      </c>
      <c r="K21" s="149">
        <v>5366</v>
      </c>
      <c r="L21" s="149">
        <v>95</v>
      </c>
      <c r="M21" s="149">
        <v>3103</v>
      </c>
      <c r="N21" s="149">
        <v>19</v>
      </c>
      <c r="O21" s="149">
        <v>3933</v>
      </c>
      <c r="P21" s="224"/>
      <c r="Q21" s="224"/>
      <c r="R21" s="224"/>
      <c r="S21" s="224"/>
      <c r="T21" s="224"/>
      <c r="U21" s="224"/>
      <c r="V21" s="224"/>
      <c r="W21" s="224"/>
      <c r="X21" s="224"/>
      <c r="Y21" s="224"/>
      <c r="Z21" s="224"/>
      <c r="AA21" s="224"/>
      <c r="AB21" s="224"/>
      <c r="AC21" s="224"/>
      <c r="AD21" s="143" t="s">
        <v>2185</v>
      </c>
      <c r="AE21" s="143" t="s">
        <v>2186</v>
      </c>
    </row>
    <row r="22" spans="1:31" ht="24.95" customHeight="1" x14ac:dyDescent="0.2">
      <c r="A22" s="144">
        <v>11</v>
      </c>
      <c r="B22" s="150" t="s">
        <v>2207</v>
      </c>
      <c r="C22" s="146" t="s">
        <v>2194</v>
      </c>
      <c r="D22" s="146" t="s">
        <v>2194</v>
      </c>
      <c r="E22" s="147" t="s">
        <v>2184</v>
      </c>
      <c r="F22" s="148">
        <v>4200</v>
      </c>
      <c r="G22" s="149">
        <v>4055</v>
      </c>
      <c r="H22" s="149">
        <v>93</v>
      </c>
      <c r="I22" s="196"/>
      <c r="J22" s="149">
        <v>5500</v>
      </c>
      <c r="K22" s="149">
        <v>4848</v>
      </c>
      <c r="L22" s="149">
        <v>115</v>
      </c>
      <c r="M22" s="149">
        <v>4533</v>
      </c>
      <c r="N22" s="149">
        <v>4</v>
      </c>
      <c r="O22" s="149">
        <v>5503</v>
      </c>
      <c r="P22" s="224"/>
      <c r="Q22" s="224"/>
      <c r="R22" s="224"/>
      <c r="S22" s="224"/>
      <c r="T22" s="224"/>
      <c r="U22" s="224"/>
      <c r="V22" s="224"/>
      <c r="W22" s="224"/>
      <c r="X22" s="224"/>
      <c r="Y22" s="224"/>
      <c r="Z22" s="224"/>
      <c r="AA22" s="224"/>
      <c r="AB22" s="224"/>
      <c r="AC22" s="224"/>
      <c r="AD22" s="143" t="s">
        <v>2185</v>
      </c>
      <c r="AE22" s="143" t="s">
        <v>2186</v>
      </c>
    </row>
    <row r="23" spans="1:31" ht="24.95" customHeight="1" x14ac:dyDescent="0.2">
      <c r="A23" s="144">
        <v>12</v>
      </c>
      <c r="B23" s="150" t="s">
        <v>2208</v>
      </c>
      <c r="C23" s="146" t="s">
        <v>2194</v>
      </c>
      <c r="D23" s="146" t="s">
        <v>2194</v>
      </c>
      <c r="E23" s="147" t="s">
        <v>2184</v>
      </c>
      <c r="F23" s="148">
        <v>4790</v>
      </c>
      <c r="G23" s="149">
        <v>6210</v>
      </c>
      <c r="H23" s="149">
        <v>48</v>
      </c>
      <c r="I23" s="196"/>
      <c r="J23" s="149">
        <v>3735</v>
      </c>
      <c r="K23" s="149">
        <v>6812</v>
      </c>
      <c r="L23" s="149">
        <v>38</v>
      </c>
      <c r="M23" s="149">
        <v>1322</v>
      </c>
      <c r="N23" s="149">
        <v>0</v>
      </c>
      <c r="O23" s="149">
        <v>1518</v>
      </c>
      <c r="P23" s="224"/>
      <c r="Q23" s="224"/>
      <c r="R23" s="224"/>
      <c r="S23" s="224"/>
      <c r="T23" s="224"/>
      <c r="U23" s="224"/>
      <c r="V23" s="224"/>
      <c r="W23" s="224"/>
      <c r="X23" s="224"/>
      <c r="Y23" s="224"/>
      <c r="Z23" s="224"/>
      <c r="AA23" s="224"/>
      <c r="AB23" s="224"/>
      <c r="AC23" s="224"/>
      <c r="AD23" s="143" t="s">
        <v>2185</v>
      </c>
      <c r="AE23" s="143" t="s">
        <v>2186</v>
      </c>
    </row>
    <row r="24" spans="1:31" ht="24.95" customHeight="1" x14ac:dyDescent="0.2">
      <c r="A24" s="144">
        <v>13</v>
      </c>
      <c r="B24" s="150" t="s">
        <v>2209</v>
      </c>
      <c r="C24" s="146" t="s">
        <v>2194</v>
      </c>
      <c r="D24" s="146" t="s">
        <v>2194</v>
      </c>
      <c r="E24" s="147" t="s">
        <v>2184</v>
      </c>
      <c r="F24" s="148">
        <v>4840</v>
      </c>
      <c r="G24" s="149">
        <v>5225</v>
      </c>
      <c r="H24" s="149">
        <v>66</v>
      </c>
      <c r="I24" s="196"/>
      <c r="J24" s="149">
        <v>4784</v>
      </c>
      <c r="K24" s="149">
        <v>4595</v>
      </c>
      <c r="L24" s="149">
        <v>54</v>
      </c>
      <c r="M24" s="149">
        <v>997</v>
      </c>
      <c r="N24" s="149">
        <v>16</v>
      </c>
      <c r="O24" s="149">
        <v>1854</v>
      </c>
      <c r="P24" s="224"/>
      <c r="Q24" s="224"/>
      <c r="R24" s="224"/>
      <c r="S24" s="224"/>
      <c r="T24" s="224"/>
      <c r="U24" s="224"/>
      <c r="V24" s="224"/>
      <c r="W24" s="224"/>
      <c r="X24" s="224"/>
      <c r="Y24" s="224"/>
      <c r="Z24" s="224"/>
      <c r="AA24" s="224"/>
      <c r="AB24" s="224"/>
      <c r="AC24" s="224"/>
      <c r="AD24" s="143" t="s">
        <v>2185</v>
      </c>
      <c r="AE24" s="143" t="s">
        <v>2186</v>
      </c>
    </row>
    <row r="25" spans="1:31" ht="24.95" customHeight="1" x14ac:dyDescent="0.2">
      <c r="A25" s="144">
        <v>14</v>
      </c>
      <c r="B25" s="150" t="s">
        <v>2210</v>
      </c>
      <c r="C25" s="146" t="s">
        <v>2194</v>
      </c>
      <c r="D25" s="146" t="s">
        <v>2194</v>
      </c>
      <c r="E25" s="147" t="s">
        <v>2184</v>
      </c>
      <c r="F25" s="148">
        <v>8430</v>
      </c>
      <c r="G25" s="149">
        <v>7630</v>
      </c>
      <c r="H25" s="149">
        <v>97</v>
      </c>
      <c r="I25" s="196"/>
      <c r="J25" s="149">
        <v>9338</v>
      </c>
      <c r="K25" s="149">
        <v>7353</v>
      </c>
      <c r="L25" s="149">
        <v>97</v>
      </c>
      <c r="M25" s="149">
        <v>4331</v>
      </c>
      <c r="N25" s="149">
        <v>17</v>
      </c>
      <c r="O25" s="149">
        <v>5431</v>
      </c>
      <c r="P25" s="224"/>
      <c r="Q25" s="224"/>
      <c r="R25" s="224"/>
      <c r="S25" s="224"/>
      <c r="T25" s="224"/>
      <c r="U25" s="224"/>
      <c r="V25" s="224"/>
      <c r="W25" s="224"/>
      <c r="X25" s="224"/>
      <c r="Y25" s="224"/>
      <c r="Z25" s="224"/>
      <c r="AA25" s="224"/>
      <c r="AB25" s="224"/>
      <c r="AC25" s="224"/>
      <c r="AD25" s="143" t="s">
        <v>2185</v>
      </c>
      <c r="AE25" s="143" t="s">
        <v>2186</v>
      </c>
    </row>
    <row r="26" spans="1:31" ht="24.95" customHeight="1" x14ac:dyDescent="0.2">
      <c r="A26" s="144">
        <v>15</v>
      </c>
      <c r="B26" s="150" t="s">
        <v>2211</v>
      </c>
      <c r="C26" s="146" t="s">
        <v>2194</v>
      </c>
      <c r="D26" s="146" t="s">
        <v>2194</v>
      </c>
      <c r="E26" s="147" t="s">
        <v>2184</v>
      </c>
      <c r="F26" s="148">
        <v>1205</v>
      </c>
      <c r="G26" s="149">
        <v>970</v>
      </c>
      <c r="H26" s="149">
        <v>24</v>
      </c>
      <c r="I26" s="196"/>
      <c r="J26" s="149">
        <v>1224</v>
      </c>
      <c r="K26" s="149">
        <v>0</v>
      </c>
      <c r="L26" s="149">
        <v>20</v>
      </c>
      <c r="M26" s="149">
        <v>707</v>
      </c>
      <c r="N26" s="149">
        <v>2</v>
      </c>
      <c r="O26" s="149">
        <v>876</v>
      </c>
      <c r="P26" s="224"/>
      <c r="Q26" s="224"/>
      <c r="R26" s="224"/>
      <c r="S26" s="224"/>
      <c r="T26" s="224"/>
      <c r="U26" s="224"/>
      <c r="V26" s="224"/>
      <c r="W26" s="224"/>
      <c r="X26" s="224"/>
      <c r="Y26" s="224"/>
      <c r="Z26" s="224"/>
      <c r="AA26" s="224"/>
      <c r="AB26" s="224"/>
      <c r="AC26" s="224"/>
      <c r="AD26" s="143" t="s">
        <v>2185</v>
      </c>
      <c r="AE26" s="143" t="s">
        <v>2186</v>
      </c>
    </row>
    <row r="27" spans="1:31" ht="24.95" customHeight="1" x14ac:dyDescent="0.2">
      <c r="A27" s="144">
        <v>15</v>
      </c>
      <c r="B27" s="150" t="s">
        <v>2212</v>
      </c>
      <c r="C27" s="146" t="s">
        <v>2194</v>
      </c>
      <c r="D27" s="146" t="s">
        <v>2194</v>
      </c>
      <c r="E27" s="147" t="s">
        <v>2184</v>
      </c>
      <c r="F27" s="148">
        <v>720</v>
      </c>
      <c r="G27" s="149">
        <v>660</v>
      </c>
      <c r="H27" s="149">
        <v>8</v>
      </c>
      <c r="I27" s="196"/>
      <c r="J27" s="149">
        <v>739</v>
      </c>
      <c r="K27" s="149">
        <v>720</v>
      </c>
      <c r="L27" s="149">
        <v>8</v>
      </c>
      <c r="M27" s="149">
        <v>209</v>
      </c>
      <c r="N27" s="149">
        <v>0</v>
      </c>
      <c r="O27" s="149">
        <v>221</v>
      </c>
      <c r="P27" s="224"/>
      <c r="Q27" s="224"/>
      <c r="R27" s="224"/>
      <c r="S27" s="224"/>
      <c r="T27" s="224"/>
      <c r="U27" s="224"/>
      <c r="V27" s="224"/>
      <c r="W27" s="224"/>
      <c r="X27" s="224"/>
      <c r="Y27" s="224"/>
      <c r="Z27" s="224"/>
      <c r="AA27" s="224"/>
      <c r="AB27" s="224"/>
      <c r="AC27" s="224"/>
      <c r="AD27" s="143" t="s">
        <v>2185</v>
      </c>
      <c r="AE27" s="143" t="s">
        <v>2186</v>
      </c>
    </row>
    <row r="28" spans="1:31" ht="24.95" customHeight="1" x14ac:dyDescent="0.2">
      <c r="A28" s="144">
        <v>15</v>
      </c>
      <c r="B28" s="150" t="s">
        <v>2213</v>
      </c>
      <c r="C28" s="146" t="s">
        <v>2194</v>
      </c>
      <c r="D28" s="146" t="s">
        <v>2194</v>
      </c>
      <c r="E28" s="147" t="s">
        <v>2184</v>
      </c>
      <c r="F28" s="148">
        <v>1290</v>
      </c>
      <c r="G28" s="149">
        <v>1425</v>
      </c>
      <c r="H28" s="149">
        <v>16</v>
      </c>
      <c r="I28" s="196"/>
      <c r="J28" s="149">
        <v>1671</v>
      </c>
      <c r="K28" s="149">
        <v>0</v>
      </c>
      <c r="L28" s="149">
        <v>16</v>
      </c>
      <c r="M28" s="149">
        <v>260</v>
      </c>
      <c r="N28" s="149">
        <v>0</v>
      </c>
      <c r="O28" s="149">
        <v>513</v>
      </c>
      <c r="P28" s="224"/>
      <c r="Q28" s="224"/>
      <c r="R28" s="224"/>
      <c r="S28" s="224"/>
      <c r="T28" s="224"/>
      <c r="U28" s="224"/>
      <c r="V28" s="224"/>
      <c r="W28" s="224"/>
      <c r="X28" s="224"/>
      <c r="Y28" s="224"/>
      <c r="Z28" s="224"/>
      <c r="AA28" s="224"/>
      <c r="AB28" s="224"/>
      <c r="AC28" s="224"/>
      <c r="AD28" s="143" t="s">
        <v>2185</v>
      </c>
      <c r="AE28" s="143" t="s">
        <v>2186</v>
      </c>
    </row>
    <row r="29" spans="1:31" ht="24.95" customHeight="1" x14ac:dyDescent="0.2">
      <c r="A29" s="144">
        <v>16</v>
      </c>
      <c r="B29" s="150" t="s">
        <v>2214</v>
      </c>
      <c r="C29" s="146" t="s">
        <v>2215</v>
      </c>
      <c r="D29" s="146" t="s">
        <v>2215</v>
      </c>
      <c r="E29" s="147" t="s">
        <v>2184</v>
      </c>
      <c r="F29" s="148">
        <v>5045</v>
      </c>
      <c r="G29" s="149">
        <v>6310</v>
      </c>
      <c r="H29" s="149">
        <v>130</v>
      </c>
      <c r="I29" s="196"/>
      <c r="J29" s="149">
        <v>5017</v>
      </c>
      <c r="K29" s="149">
        <v>5590</v>
      </c>
      <c r="L29" s="149">
        <v>108</v>
      </c>
      <c r="M29" s="149">
        <v>2922</v>
      </c>
      <c r="N29" s="149">
        <v>7</v>
      </c>
      <c r="O29" s="149">
        <v>1018</v>
      </c>
      <c r="P29" s="224"/>
      <c r="Q29" s="224"/>
      <c r="R29" s="224"/>
      <c r="S29" s="224"/>
      <c r="T29" s="224"/>
      <c r="U29" s="224"/>
      <c r="V29" s="224"/>
      <c r="W29" s="224"/>
      <c r="X29" s="224"/>
      <c r="Y29" s="224"/>
      <c r="Z29" s="224"/>
      <c r="AA29" s="224"/>
      <c r="AB29" s="224"/>
      <c r="AC29" s="224"/>
      <c r="AD29" s="143" t="s">
        <v>2185</v>
      </c>
      <c r="AE29" s="143" t="s">
        <v>2186</v>
      </c>
    </row>
    <row r="30" spans="1:31" ht="24.95" customHeight="1" x14ac:dyDescent="0.2">
      <c r="A30" s="144">
        <v>17</v>
      </c>
      <c r="B30" s="150" t="s">
        <v>2216</v>
      </c>
      <c r="C30" s="146" t="s">
        <v>2215</v>
      </c>
      <c r="D30" s="146" t="s">
        <v>2215</v>
      </c>
      <c r="E30" s="147" t="s">
        <v>2184</v>
      </c>
      <c r="F30" s="148">
        <v>5295</v>
      </c>
      <c r="G30" s="149">
        <v>5585</v>
      </c>
      <c r="H30" s="149">
        <v>89</v>
      </c>
      <c r="I30" s="196"/>
      <c r="J30" s="149">
        <v>5358</v>
      </c>
      <c r="K30" s="149">
        <v>5784</v>
      </c>
      <c r="L30" s="149">
        <v>63</v>
      </c>
      <c r="M30" s="149">
        <v>1631</v>
      </c>
      <c r="N30" s="149">
        <v>15</v>
      </c>
      <c r="O30" s="149">
        <v>1654</v>
      </c>
      <c r="P30" s="224"/>
      <c r="Q30" s="224"/>
      <c r="R30" s="224"/>
      <c r="S30" s="224"/>
      <c r="T30" s="224"/>
      <c r="U30" s="224"/>
      <c r="V30" s="224"/>
      <c r="W30" s="224"/>
      <c r="X30" s="224"/>
      <c r="Y30" s="224"/>
      <c r="Z30" s="224"/>
      <c r="AA30" s="224"/>
      <c r="AB30" s="224"/>
      <c r="AC30" s="224"/>
      <c r="AD30" s="143" t="s">
        <v>2185</v>
      </c>
      <c r="AE30" s="143" t="s">
        <v>2186</v>
      </c>
    </row>
    <row r="31" spans="1:31" ht="24.95" customHeight="1" x14ac:dyDescent="0.2">
      <c r="A31" s="144">
        <v>18</v>
      </c>
      <c r="B31" s="150" t="s">
        <v>2217</v>
      </c>
      <c r="C31" s="146" t="s">
        <v>2215</v>
      </c>
      <c r="D31" s="146" t="s">
        <v>2215</v>
      </c>
      <c r="E31" s="147" t="s">
        <v>2184</v>
      </c>
      <c r="F31" s="148">
        <v>8095</v>
      </c>
      <c r="G31" s="149">
        <v>11996</v>
      </c>
      <c r="H31" s="149">
        <v>141</v>
      </c>
      <c r="I31" s="196"/>
      <c r="J31" s="149">
        <v>8636</v>
      </c>
      <c r="K31" s="149">
        <v>12489</v>
      </c>
      <c r="L31" s="149">
        <v>120</v>
      </c>
      <c r="M31" s="149">
        <v>1667</v>
      </c>
      <c r="N31" s="149">
        <v>16</v>
      </c>
      <c r="O31" s="149">
        <v>1315</v>
      </c>
      <c r="P31" s="224"/>
      <c r="Q31" s="224"/>
      <c r="R31" s="224"/>
      <c r="S31" s="224"/>
      <c r="T31" s="224"/>
      <c r="U31" s="224"/>
      <c r="V31" s="224"/>
      <c r="W31" s="224"/>
      <c r="X31" s="224"/>
      <c r="Y31" s="224"/>
      <c r="Z31" s="224"/>
      <c r="AA31" s="224"/>
      <c r="AB31" s="224"/>
      <c r="AC31" s="224"/>
      <c r="AD31" s="143" t="s">
        <v>2185</v>
      </c>
      <c r="AE31" s="143" t="s">
        <v>2186</v>
      </c>
    </row>
    <row r="32" spans="1:31" ht="24.95" customHeight="1" x14ac:dyDescent="0.2">
      <c r="A32" s="144">
        <v>19</v>
      </c>
      <c r="B32" s="150" t="s">
        <v>2218</v>
      </c>
      <c r="C32" s="146" t="s">
        <v>2215</v>
      </c>
      <c r="D32" s="146" t="s">
        <v>2215</v>
      </c>
      <c r="E32" s="147" t="s">
        <v>2184</v>
      </c>
      <c r="F32" s="148">
        <v>10965</v>
      </c>
      <c r="G32" s="149">
        <v>15505</v>
      </c>
      <c r="H32" s="149">
        <v>182</v>
      </c>
      <c r="I32" s="196"/>
      <c r="J32" s="149">
        <v>10745</v>
      </c>
      <c r="K32" s="149">
        <v>16317</v>
      </c>
      <c r="L32" s="149">
        <v>146</v>
      </c>
      <c r="M32" s="149">
        <v>5915</v>
      </c>
      <c r="N32" s="149">
        <v>20</v>
      </c>
      <c r="O32" s="149">
        <v>3555</v>
      </c>
      <c r="P32" s="224"/>
      <c r="Q32" s="224"/>
      <c r="R32" s="224"/>
      <c r="S32" s="224"/>
      <c r="T32" s="224"/>
      <c r="U32" s="224"/>
      <c r="V32" s="224"/>
      <c r="W32" s="224"/>
      <c r="X32" s="224"/>
      <c r="Y32" s="224"/>
      <c r="Z32" s="224"/>
      <c r="AA32" s="224"/>
      <c r="AB32" s="224"/>
      <c r="AC32" s="224"/>
      <c r="AD32" s="143" t="s">
        <v>2185</v>
      </c>
      <c r="AE32" s="143" t="s">
        <v>2186</v>
      </c>
    </row>
    <row r="33" spans="1:31" ht="24.95" customHeight="1" x14ac:dyDescent="0.2">
      <c r="A33" s="144">
        <v>20</v>
      </c>
      <c r="B33" s="150" t="s">
        <v>2219</v>
      </c>
      <c r="C33" s="146" t="s">
        <v>2183</v>
      </c>
      <c r="D33" s="146" t="s">
        <v>2220</v>
      </c>
      <c r="E33" s="147" t="s">
        <v>2184</v>
      </c>
      <c r="F33" s="148">
        <v>280</v>
      </c>
      <c r="G33" s="149">
        <v>280</v>
      </c>
      <c r="H33" s="149">
        <v>1</v>
      </c>
      <c r="I33" s="196"/>
      <c r="J33" s="149">
        <v>284</v>
      </c>
      <c r="K33" s="149">
        <v>348</v>
      </c>
      <c r="L33" s="149">
        <v>1</v>
      </c>
      <c r="M33" s="149">
        <v>1</v>
      </c>
      <c r="N33" s="149">
        <v>0</v>
      </c>
      <c r="O33" s="149">
        <v>1</v>
      </c>
      <c r="P33" s="224"/>
      <c r="Q33" s="224"/>
      <c r="R33" s="224"/>
      <c r="S33" s="224"/>
      <c r="T33" s="224"/>
      <c r="U33" s="224"/>
      <c r="V33" s="224"/>
      <c r="W33" s="224"/>
      <c r="X33" s="224"/>
      <c r="Y33" s="224"/>
      <c r="Z33" s="224"/>
      <c r="AA33" s="224"/>
      <c r="AB33" s="224"/>
      <c r="AC33" s="224"/>
      <c r="AD33" s="143" t="s">
        <v>2185</v>
      </c>
      <c r="AE33" s="143" t="s">
        <v>2186</v>
      </c>
    </row>
    <row r="34" spans="1:31" ht="24.95" customHeight="1" x14ac:dyDescent="0.2">
      <c r="A34" s="144">
        <v>21</v>
      </c>
      <c r="B34" s="150" t="s">
        <v>2221</v>
      </c>
      <c r="C34" s="146" t="s">
        <v>2222</v>
      </c>
      <c r="D34" s="146" t="s">
        <v>2222</v>
      </c>
      <c r="E34" s="147" t="s">
        <v>2223</v>
      </c>
      <c r="F34" s="148">
        <v>8610</v>
      </c>
      <c r="G34" s="149">
        <v>8460</v>
      </c>
      <c r="H34" s="149">
        <v>98</v>
      </c>
      <c r="I34" s="196"/>
      <c r="J34" s="149">
        <v>9143</v>
      </c>
      <c r="K34" s="149">
        <v>8860</v>
      </c>
      <c r="L34" s="149">
        <v>93</v>
      </c>
      <c r="M34" s="149">
        <v>5253</v>
      </c>
      <c r="N34" s="149">
        <v>3</v>
      </c>
      <c r="O34" s="149">
        <v>3873</v>
      </c>
      <c r="P34" s="224"/>
      <c r="Q34" s="224"/>
      <c r="R34" s="224"/>
      <c r="S34" s="224"/>
      <c r="T34" s="224"/>
      <c r="U34" s="224"/>
      <c r="V34" s="224"/>
      <c r="W34" s="224"/>
      <c r="X34" s="224"/>
      <c r="Y34" s="224"/>
      <c r="Z34" s="224"/>
      <c r="AA34" s="224"/>
      <c r="AB34" s="224"/>
      <c r="AC34" s="224"/>
      <c r="AD34" s="143" t="s">
        <v>2185</v>
      </c>
      <c r="AE34" s="143" t="s">
        <v>2186</v>
      </c>
    </row>
    <row r="35" spans="1:31" ht="24.95" customHeight="1" x14ac:dyDescent="0.2">
      <c r="A35" s="144">
        <v>22</v>
      </c>
      <c r="B35" s="150" t="s">
        <v>2224</v>
      </c>
      <c r="C35" s="146" t="s">
        <v>2225</v>
      </c>
      <c r="D35" s="146" t="s">
        <v>2226</v>
      </c>
      <c r="E35" s="147" t="s">
        <v>2184</v>
      </c>
      <c r="F35" s="148">
        <v>0</v>
      </c>
      <c r="G35" s="149">
        <v>400</v>
      </c>
      <c r="H35" s="149">
        <v>2</v>
      </c>
      <c r="I35" s="196"/>
      <c r="J35" s="149">
        <v>0</v>
      </c>
      <c r="K35" s="149">
        <v>341</v>
      </c>
      <c r="L35" s="149">
        <v>6</v>
      </c>
      <c r="M35" s="149">
        <v>178</v>
      </c>
      <c r="N35" s="149">
        <v>0</v>
      </c>
      <c r="O35" s="149">
        <v>109</v>
      </c>
      <c r="P35" s="224"/>
      <c r="Q35" s="224"/>
      <c r="R35" s="224"/>
      <c r="S35" s="224"/>
      <c r="T35" s="224"/>
      <c r="U35" s="224"/>
      <c r="V35" s="224"/>
      <c r="W35" s="224"/>
      <c r="X35" s="224"/>
      <c r="Y35" s="224"/>
      <c r="Z35" s="224"/>
      <c r="AA35" s="224"/>
      <c r="AB35" s="224"/>
      <c r="AC35" s="224"/>
      <c r="AD35" s="143" t="s">
        <v>2185</v>
      </c>
      <c r="AE35" s="143" t="s">
        <v>2186</v>
      </c>
    </row>
    <row r="36" spans="1:31" ht="24.95" customHeight="1" x14ac:dyDescent="0.2">
      <c r="A36" s="144">
        <v>23</v>
      </c>
      <c r="B36" s="150" t="s">
        <v>2227</v>
      </c>
      <c r="C36" s="146" t="s">
        <v>2225</v>
      </c>
      <c r="D36" s="146" t="s">
        <v>2225</v>
      </c>
      <c r="E36" s="147" t="s">
        <v>2184</v>
      </c>
      <c r="F36" s="148">
        <v>1300</v>
      </c>
      <c r="G36" s="149">
        <v>1620</v>
      </c>
      <c r="H36" s="149">
        <v>23</v>
      </c>
      <c r="I36" s="196"/>
      <c r="J36" s="149">
        <v>1370</v>
      </c>
      <c r="K36" s="149">
        <v>1182</v>
      </c>
      <c r="L36" s="149">
        <v>29</v>
      </c>
      <c r="M36" s="149">
        <v>443</v>
      </c>
      <c r="N36" s="149">
        <v>1</v>
      </c>
      <c r="O36" s="149">
        <v>335</v>
      </c>
      <c r="P36" s="224"/>
      <c r="Q36" s="224"/>
      <c r="R36" s="224"/>
      <c r="S36" s="224"/>
      <c r="T36" s="224"/>
      <c r="U36" s="224"/>
      <c r="V36" s="224"/>
      <c r="W36" s="224"/>
      <c r="X36" s="224"/>
      <c r="Y36" s="224"/>
      <c r="Z36" s="224"/>
      <c r="AA36" s="224"/>
      <c r="AB36" s="224"/>
      <c r="AC36" s="224"/>
      <c r="AD36" s="143" t="s">
        <v>2185</v>
      </c>
      <c r="AE36" s="143" t="s">
        <v>2186</v>
      </c>
    </row>
    <row r="37" spans="1:31" ht="24.95" customHeight="1" x14ac:dyDescent="0.2">
      <c r="A37" s="144">
        <v>24</v>
      </c>
      <c r="B37" s="150" t="s">
        <v>2228</v>
      </c>
      <c r="C37" s="146" t="s">
        <v>2229</v>
      </c>
      <c r="D37" s="146" t="s">
        <v>2230</v>
      </c>
      <c r="E37" s="147" t="s">
        <v>2231</v>
      </c>
      <c r="F37" s="148">
        <v>1505</v>
      </c>
      <c r="G37" s="149">
        <v>1475</v>
      </c>
      <c r="H37" s="149">
        <v>18</v>
      </c>
      <c r="I37" s="196"/>
      <c r="J37" s="149">
        <v>1480</v>
      </c>
      <c r="K37" s="149">
        <v>1319</v>
      </c>
      <c r="L37" s="149">
        <v>18</v>
      </c>
      <c r="M37" s="149">
        <v>16</v>
      </c>
      <c r="N37" s="149">
        <v>0</v>
      </c>
      <c r="O37" s="149">
        <v>16</v>
      </c>
      <c r="P37" s="224"/>
      <c r="Q37" s="224"/>
      <c r="R37" s="224"/>
      <c r="S37" s="224"/>
      <c r="T37" s="224"/>
      <c r="U37" s="224"/>
      <c r="V37" s="224"/>
      <c r="W37" s="224"/>
      <c r="X37" s="224"/>
      <c r="Y37" s="224"/>
      <c r="Z37" s="224"/>
      <c r="AA37" s="224"/>
      <c r="AB37" s="224"/>
      <c r="AC37" s="224"/>
      <c r="AD37" s="143" t="s">
        <v>2185</v>
      </c>
      <c r="AE37" s="143" t="s">
        <v>2186</v>
      </c>
    </row>
    <row r="38" spans="1:31" ht="24.95" customHeight="1" x14ac:dyDescent="0.2">
      <c r="A38" s="144">
        <v>25</v>
      </c>
      <c r="B38" s="150" t="s">
        <v>2232</v>
      </c>
      <c r="C38" s="146" t="s">
        <v>2194</v>
      </c>
      <c r="D38" s="146" t="s">
        <v>2233</v>
      </c>
      <c r="E38" s="147" t="s">
        <v>2184</v>
      </c>
      <c r="F38" s="148">
        <v>185</v>
      </c>
      <c r="G38" s="149">
        <v>190</v>
      </c>
      <c r="H38" s="149">
        <v>3</v>
      </c>
      <c r="I38" s="196"/>
      <c r="J38" s="149">
        <v>173</v>
      </c>
      <c r="K38" s="149">
        <v>156</v>
      </c>
      <c r="L38" s="149">
        <v>3</v>
      </c>
      <c r="M38" s="149">
        <v>117</v>
      </c>
      <c r="N38" s="149">
        <v>0</v>
      </c>
      <c r="O38" s="149">
        <v>131</v>
      </c>
      <c r="P38" s="224"/>
      <c r="Q38" s="224"/>
      <c r="R38" s="224"/>
      <c r="S38" s="224"/>
      <c r="T38" s="224"/>
      <c r="U38" s="224"/>
      <c r="V38" s="224"/>
      <c r="W38" s="224"/>
      <c r="X38" s="224"/>
      <c r="Y38" s="224"/>
      <c r="Z38" s="224"/>
      <c r="AA38" s="224"/>
      <c r="AB38" s="224"/>
      <c r="AC38" s="224"/>
      <c r="AD38" s="143" t="s">
        <v>2185</v>
      </c>
      <c r="AE38" s="143" t="s">
        <v>2186</v>
      </c>
    </row>
    <row r="39" spans="1:31" ht="24.95" customHeight="1" x14ac:dyDescent="0.2">
      <c r="A39" s="144">
        <v>26</v>
      </c>
      <c r="B39" s="150" t="s">
        <v>2234</v>
      </c>
      <c r="C39" s="146" t="s">
        <v>2194</v>
      </c>
      <c r="D39" s="146" t="s">
        <v>2194</v>
      </c>
      <c r="E39" s="147" t="s">
        <v>2184</v>
      </c>
      <c r="F39" s="148">
        <v>4530</v>
      </c>
      <c r="G39" s="149">
        <v>4740</v>
      </c>
      <c r="H39" s="149">
        <v>36</v>
      </c>
      <c r="I39" s="196"/>
      <c r="J39" s="149">
        <v>4519</v>
      </c>
      <c r="K39" s="149">
        <v>6035</v>
      </c>
      <c r="L39" s="149">
        <v>38</v>
      </c>
      <c r="M39" s="149">
        <v>1449</v>
      </c>
      <c r="N39" s="149">
        <v>0</v>
      </c>
      <c r="O39" s="149">
        <v>1357</v>
      </c>
      <c r="P39" s="224"/>
      <c r="Q39" s="224"/>
      <c r="R39" s="224"/>
      <c r="S39" s="224"/>
      <c r="T39" s="224"/>
      <c r="U39" s="224"/>
      <c r="V39" s="224"/>
      <c r="W39" s="224"/>
      <c r="X39" s="224"/>
      <c r="Y39" s="224"/>
      <c r="Z39" s="224"/>
      <c r="AA39" s="224"/>
      <c r="AB39" s="224"/>
      <c r="AC39" s="224"/>
      <c r="AD39" s="143" t="s">
        <v>2185</v>
      </c>
      <c r="AE39" s="143" t="s">
        <v>2186</v>
      </c>
    </row>
    <row r="40" spans="1:31" ht="24.95" customHeight="1" x14ac:dyDescent="0.2">
      <c r="A40" s="144">
        <v>27</v>
      </c>
      <c r="B40" s="150" t="s">
        <v>2235</v>
      </c>
      <c r="C40" s="146" t="s">
        <v>2222</v>
      </c>
      <c r="D40" s="146" t="s">
        <v>2222</v>
      </c>
      <c r="E40" s="147" t="s">
        <v>2184</v>
      </c>
      <c r="F40" s="148">
        <v>5410</v>
      </c>
      <c r="G40" s="149">
        <v>6200</v>
      </c>
      <c r="H40" s="149">
        <v>153</v>
      </c>
      <c r="I40" s="196"/>
      <c r="J40" s="149">
        <v>5675</v>
      </c>
      <c r="K40" s="149">
        <v>6206</v>
      </c>
      <c r="L40" s="149">
        <v>148</v>
      </c>
      <c r="M40" s="149">
        <v>13628</v>
      </c>
      <c r="N40" s="149">
        <v>1</v>
      </c>
      <c r="O40" s="149">
        <v>10352</v>
      </c>
      <c r="P40" s="224"/>
      <c r="Q40" s="224"/>
      <c r="R40" s="224"/>
      <c r="S40" s="224"/>
      <c r="T40" s="224"/>
      <c r="U40" s="224"/>
      <c r="V40" s="224"/>
      <c r="W40" s="224"/>
      <c r="X40" s="224"/>
      <c r="Y40" s="224"/>
      <c r="Z40" s="224"/>
      <c r="AA40" s="224"/>
      <c r="AB40" s="224"/>
      <c r="AC40" s="224"/>
      <c r="AD40" s="143" t="s">
        <v>2185</v>
      </c>
      <c r="AE40" s="143" t="s">
        <v>2186</v>
      </c>
    </row>
    <row r="41" spans="1:31" ht="24.95" customHeight="1" x14ac:dyDescent="0.2">
      <c r="A41" s="144">
        <v>28</v>
      </c>
      <c r="B41" s="150" t="s">
        <v>2236</v>
      </c>
      <c r="C41" s="146" t="s">
        <v>2237</v>
      </c>
      <c r="D41" s="146" t="s">
        <v>2237</v>
      </c>
      <c r="E41" s="147" t="s">
        <v>2184</v>
      </c>
      <c r="F41" s="148">
        <v>2765</v>
      </c>
      <c r="G41" s="149">
        <v>2750</v>
      </c>
      <c r="H41" s="149">
        <v>77</v>
      </c>
      <c r="I41" s="196"/>
      <c r="J41" s="149">
        <v>3006</v>
      </c>
      <c r="K41" s="149">
        <v>3005</v>
      </c>
      <c r="L41" s="149">
        <v>65</v>
      </c>
      <c r="M41" s="149">
        <v>1676</v>
      </c>
      <c r="N41" s="149">
        <v>3</v>
      </c>
      <c r="O41" s="149">
        <v>1833</v>
      </c>
      <c r="P41" s="224"/>
      <c r="Q41" s="224"/>
      <c r="R41" s="224"/>
      <c r="S41" s="224"/>
      <c r="T41" s="224"/>
      <c r="U41" s="224"/>
      <c r="V41" s="224"/>
      <c r="W41" s="224"/>
      <c r="X41" s="224"/>
      <c r="Y41" s="224"/>
      <c r="Z41" s="224"/>
      <c r="AA41" s="224"/>
      <c r="AB41" s="224"/>
      <c r="AC41" s="224"/>
      <c r="AD41" s="143" t="s">
        <v>2185</v>
      </c>
      <c r="AE41" s="143" t="s">
        <v>2186</v>
      </c>
    </row>
    <row r="42" spans="1:31" ht="24.95" customHeight="1" x14ac:dyDescent="0.2">
      <c r="A42" s="144">
        <v>29</v>
      </c>
      <c r="B42" s="150" t="s">
        <v>2238</v>
      </c>
      <c r="C42" s="146" t="s">
        <v>2194</v>
      </c>
      <c r="D42" s="146" t="s">
        <v>2194</v>
      </c>
      <c r="E42" s="147" t="s">
        <v>2184</v>
      </c>
      <c r="F42" s="148">
        <v>5235</v>
      </c>
      <c r="G42" s="149">
        <v>4790</v>
      </c>
      <c r="H42" s="149">
        <v>43</v>
      </c>
      <c r="I42" s="196"/>
      <c r="J42" s="149">
        <v>5119</v>
      </c>
      <c r="K42" s="149">
        <v>4789</v>
      </c>
      <c r="L42" s="149">
        <v>18</v>
      </c>
      <c r="M42" s="149">
        <v>1940</v>
      </c>
      <c r="N42" s="149">
        <v>1</v>
      </c>
      <c r="O42" s="149">
        <v>1870</v>
      </c>
      <c r="P42" s="224"/>
      <c r="Q42" s="224"/>
      <c r="R42" s="224"/>
      <c r="S42" s="224"/>
      <c r="T42" s="224"/>
      <c r="U42" s="224"/>
      <c r="V42" s="224"/>
      <c r="W42" s="224"/>
      <c r="X42" s="224"/>
      <c r="Y42" s="224"/>
      <c r="Z42" s="224"/>
      <c r="AA42" s="224"/>
      <c r="AB42" s="224"/>
      <c r="AC42" s="224"/>
      <c r="AD42" s="143" t="s">
        <v>2185</v>
      </c>
      <c r="AE42" s="143" t="s">
        <v>2186</v>
      </c>
    </row>
    <row r="43" spans="1:31" ht="24.95" customHeight="1" x14ac:dyDescent="0.2">
      <c r="A43" s="144">
        <v>30</v>
      </c>
      <c r="B43" s="150" t="s">
        <v>2239</v>
      </c>
      <c r="C43" s="146" t="s">
        <v>2183</v>
      </c>
      <c r="D43" s="146" t="s">
        <v>2183</v>
      </c>
      <c r="E43" s="147" t="s">
        <v>2184</v>
      </c>
      <c r="F43" s="148">
        <v>8085</v>
      </c>
      <c r="G43" s="149">
        <v>8400</v>
      </c>
      <c r="H43" s="149">
        <v>159</v>
      </c>
      <c r="I43" s="196"/>
      <c r="J43" s="149">
        <v>8062</v>
      </c>
      <c r="K43" s="149">
        <v>6687</v>
      </c>
      <c r="L43" s="149">
        <v>152</v>
      </c>
      <c r="M43" s="149">
        <v>3830</v>
      </c>
      <c r="N43" s="149">
        <v>4</v>
      </c>
      <c r="O43" s="149">
        <v>1900</v>
      </c>
      <c r="P43" s="224"/>
      <c r="Q43" s="224"/>
      <c r="R43" s="224"/>
      <c r="S43" s="224"/>
      <c r="T43" s="224"/>
      <c r="U43" s="224"/>
      <c r="V43" s="224"/>
      <c r="W43" s="224"/>
      <c r="X43" s="224"/>
      <c r="Y43" s="224"/>
      <c r="Z43" s="224"/>
      <c r="AA43" s="224"/>
      <c r="AB43" s="224"/>
      <c r="AC43" s="224"/>
      <c r="AD43" s="143" t="s">
        <v>2185</v>
      </c>
      <c r="AE43" s="143" t="s">
        <v>2186</v>
      </c>
    </row>
    <row r="44" spans="1:31" ht="24.95" customHeight="1" x14ac:dyDescent="0.2">
      <c r="A44" s="144">
        <v>31</v>
      </c>
      <c r="B44" s="150" t="s">
        <v>2240</v>
      </c>
      <c r="C44" s="146" t="s">
        <v>2183</v>
      </c>
      <c r="D44" s="146" t="s">
        <v>2183</v>
      </c>
      <c r="E44" s="147" t="s">
        <v>2184</v>
      </c>
      <c r="F44" s="148">
        <v>7490</v>
      </c>
      <c r="G44" s="149">
        <v>7840</v>
      </c>
      <c r="H44" s="149">
        <v>143</v>
      </c>
      <c r="I44" s="196"/>
      <c r="J44" s="149">
        <v>7042</v>
      </c>
      <c r="K44" s="149">
        <v>8134</v>
      </c>
      <c r="L44" s="149">
        <v>140</v>
      </c>
      <c r="M44" s="149">
        <v>6146</v>
      </c>
      <c r="N44" s="149">
        <v>3</v>
      </c>
      <c r="O44" s="149">
        <v>3903</v>
      </c>
      <c r="P44" s="224"/>
      <c r="Q44" s="224"/>
      <c r="R44" s="224"/>
      <c r="S44" s="224"/>
      <c r="T44" s="224"/>
      <c r="U44" s="224"/>
      <c r="V44" s="224"/>
      <c r="W44" s="224"/>
      <c r="X44" s="224"/>
      <c r="Y44" s="224"/>
      <c r="Z44" s="224"/>
      <c r="AA44" s="224"/>
      <c r="AB44" s="224"/>
      <c r="AC44" s="224"/>
      <c r="AD44" s="143" t="s">
        <v>2185</v>
      </c>
      <c r="AE44" s="143" t="s">
        <v>2186</v>
      </c>
    </row>
    <row r="45" spans="1:31" ht="24.95" customHeight="1" x14ac:dyDescent="0.2">
      <c r="A45" s="144">
        <v>32</v>
      </c>
      <c r="B45" s="150" t="s">
        <v>2241</v>
      </c>
      <c r="C45" s="146" t="s">
        <v>2183</v>
      </c>
      <c r="D45" s="146" t="s">
        <v>2183</v>
      </c>
      <c r="E45" s="147" t="s">
        <v>2184</v>
      </c>
      <c r="F45" s="148">
        <v>6580</v>
      </c>
      <c r="G45" s="149">
        <v>10390</v>
      </c>
      <c r="H45" s="149">
        <v>168</v>
      </c>
      <c r="I45" s="196"/>
      <c r="J45" s="149">
        <v>6573</v>
      </c>
      <c r="K45" s="149">
        <v>7678</v>
      </c>
      <c r="L45" s="149">
        <v>146</v>
      </c>
      <c r="M45" s="149">
        <v>7350</v>
      </c>
      <c r="N45" s="149">
        <v>19</v>
      </c>
      <c r="O45" s="149">
        <v>4782</v>
      </c>
      <c r="P45" s="224"/>
      <c r="Q45" s="224"/>
      <c r="R45" s="224"/>
      <c r="S45" s="224"/>
      <c r="T45" s="224"/>
      <c r="U45" s="224"/>
      <c r="V45" s="224"/>
      <c r="W45" s="224"/>
      <c r="X45" s="224"/>
      <c r="Y45" s="224"/>
      <c r="Z45" s="224"/>
      <c r="AA45" s="224"/>
      <c r="AB45" s="224"/>
      <c r="AC45" s="224"/>
      <c r="AD45" s="143" t="s">
        <v>2185</v>
      </c>
      <c r="AE45" s="143" t="s">
        <v>2186</v>
      </c>
    </row>
    <row r="46" spans="1:31" ht="24.95" customHeight="1" x14ac:dyDescent="0.2">
      <c r="A46" s="144">
        <v>33</v>
      </c>
      <c r="B46" s="150" t="s">
        <v>2242</v>
      </c>
      <c r="C46" s="146" t="s">
        <v>2215</v>
      </c>
      <c r="D46" s="146" t="s">
        <v>2215</v>
      </c>
      <c r="E46" s="147" t="s">
        <v>2184</v>
      </c>
      <c r="F46" s="148">
        <v>1660</v>
      </c>
      <c r="G46" s="149">
        <v>1760</v>
      </c>
      <c r="H46" s="149">
        <v>23</v>
      </c>
      <c r="I46" s="196"/>
      <c r="J46" s="149">
        <v>1650</v>
      </c>
      <c r="K46" s="149">
        <v>1850</v>
      </c>
      <c r="L46" s="149">
        <v>25</v>
      </c>
      <c r="M46" s="149">
        <v>430</v>
      </c>
      <c r="N46" s="149">
        <v>0</v>
      </c>
      <c r="O46" s="149">
        <v>455</v>
      </c>
      <c r="P46" s="224"/>
      <c r="Q46" s="224"/>
      <c r="R46" s="224"/>
      <c r="S46" s="224"/>
      <c r="T46" s="224"/>
      <c r="U46" s="224"/>
      <c r="V46" s="224"/>
      <c r="W46" s="224"/>
      <c r="X46" s="224"/>
      <c r="Y46" s="224"/>
      <c r="Z46" s="224"/>
      <c r="AA46" s="224"/>
      <c r="AB46" s="224"/>
      <c r="AC46" s="224"/>
      <c r="AD46" s="143" t="s">
        <v>2185</v>
      </c>
      <c r="AE46" s="143" t="s">
        <v>2186</v>
      </c>
    </row>
    <row r="47" spans="1:31" ht="24.95" customHeight="1" x14ac:dyDescent="0.2">
      <c r="A47" s="144">
        <v>34</v>
      </c>
      <c r="B47" s="150" t="s">
        <v>2243</v>
      </c>
      <c r="C47" s="146" t="s">
        <v>2194</v>
      </c>
      <c r="D47" s="146" t="s">
        <v>2194</v>
      </c>
      <c r="E47" s="147" t="s">
        <v>2184</v>
      </c>
      <c r="F47" s="148">
        <v>5155</v>
      </c>
      <c r="G47" s="149">
        <v>4575</v>
      </c>
      <c r="H47" s="149">
        <v>79</v>
      </c>
      <c r="I47" s="196"/>
      <c r="J47" s="149">
        <v>5224</v>
      </c>
      <c r="K47" s="149">
        <v>5281</v>
      </c>
      <c r="L47" s="149">
        <v>88</v>
      </c>
      <c r="M47" s="149">
        <v>3522</v>
      </c>
      <c r="N47" s="149">
        <v>8</v>
      </c>
      <c r="O47" s="149">
        <v>4207</v>
      </c>
      <c r="P47" s="224"/>
      <c r="Q47" s="224"/>
      <c r="R47" s="224"/>
      <c r="S47" s="224"/>
      <c r="T47" s="224"/>
      <c r="U47" s="224"/>
      <c r="V47" s="224"/>
      <c r="W47" s="224"/>
      <c r="X47" s="224"/>
      <c r="Y47" s="224"/>
      <c r="Z47" s="224"/>
      <c r="AA47" s="224"/>
      <c r="AB47" s="224"/>
      <c r="AC47" s="224"/>
      <c r="AD47" s="143" t="s">
        <v>2185</v>
      </c>
      <c r="AE47" s="143" t="s">
        <v>2186</v>
      </c>
    </row>
    <row r="48" spans="1:31" ht="24.95" customHeight="1" x14ac:dyDescent="0.2">
      <c r="A48" s="144">
        <v>35</v>
      </c>
      <c r="B48" s="150" t="s">
        <v>2244</v>
      </c>
      <c r="C48" s="146" t="s">
        <v>2194</v>
      </c>
      <c r="D48" s="146" t="s">
        <v>2245</v>
      </c>
      <c r="E48" s="147" t="s">
        <v>2184</v>
      </c>
      <c r="F48" s="148">
        <v>7995</v>
      </c>
      <c r="G48" s="149">
        <v>7095</v>
      </c>
      <c r="H48" s="149">
        <v>111</v>
      </c>
      <c r="I48" s="196"/>
      <c r="J48" s="149">
        <v>8869</v>
      </c>
      <c r="K48" s="149">
        <v>8877</v>
      </c>
      <c r="L48" s="149">
        <v>129</v>
      </c>
      <c r="M48" s="149">
        <v>4479</v>
      </c>
      <c r="N48" s="149">
        <v>9</v>
      </c>
      <c r="O48" s="149">
        <v>5179</v>
      </c>
      <c r="P48" s="224"/>
      <c r="Q48" s="224"/>
      <c r="R48" s="224"/>
      <c r="S48" s="224"/>
      <c r="T48" s="224"/>
      <c r="U48" s="224"/>
      <c r="V48" s="224"/>
      <c r="W48" s="224"/>
      <c r="X48" s="224"/>
      <c r="Y48" s="224"/>
      <c r="Z48" s="224"/>
      <c r="AA48" s="224"/>
      <c r="AB48" s="224"/>
      <c r="AC48" s="224"/>
      <c r="AD48" s="143" t="s">
        <v>2185</v>
      </c>
      <c r="AE48" s="143" t="s">
        <v>2186</v>
      </c>
    </row>
    <row r="49" spans="1:31" ht="24.95" customHeight="1" x14ac:dyDescent="0.2">
      <c r="A49" s="144">
        <v>36</v>
      </c>
      <c r="B49" s="150" t="s">
        <v>2246</v>
      </c>
      <c r="C49" s="146" t="s">
        <v>2247</v>
      </c>
      <c r="D49" s="146" t="s">
        <v>2247</v>
      </c>
      <c r="E49" s="147" t="s">
        <v>2184</v>
      </c>
      <c r="F49" s="148">
        <v>6185</v>
      </c>
      <c r="G49" s="149">
        <v>9320</v>
      </c>
      <c r="H49" s="149">
        <v>96</v>
      </c>
      <c r="I49" s="196"/>
      <c r="J49" s="149">
        <v>6376</v>
      </c>
      <c r="K49" s="149">
        <v>8998</v>
      </c>
      <c r="L49" s="149">
        <v>92</v>
      </c>
      <c r="M49" s="149">
        <v>5365</v>
      </c>
      <c r="N49" s="149">
        <v>4</v>
      </c>
      <c r="O49" s="149">
        <v>4746</v>
      </c>
      <c r="P49" s="224"/>
      <c r="Q49" s="224"/>
      <c r="R49" s="224"/>
      <c r="S49" s="224"/>
      <c r="T49" s="224"/>
      <c r="U49" s="224"/>
      <c r="V49" s="224"/>
      <c r="W49" s="224"/>
      <c r="X49" s="224"/>
      <c r="Y49" s="224"/>
      <c r="Z49" s="224"/>
      <c r="AA49" s="224"/>
      <c r="AB49" s="224"/>
      <c r="AC49" s="224"/>
      <c r="AD49" s="143" t="s">
        <v>2185</v>
      </c>
      <c r="AE49" s="143" t="s">
        <v>2186</v>
      </c>
    </row>
    <row r="50" spans="1:31" ht="24.95" customHeight="1" x14ac:dyDescent="0.2">
      <c r="A50" s="144">
        <v>37</v>
      </c>
      <c r="B50" s="150" t="s">
        <v>2248</v>
      </c>
      <c r="C50" s="146" t="s">
        <v>2194</v>
      </c>
      <c r="D50" s="146" t="s">
        <v>2194</v>
      </c>
      <c r="E50" s="147" t="s">
        <v>2184</v>
      </c>
      <c r="F50" s="148">
        <v>5005</v>
      </c>
      <c r="G50" s="149">
        <v>10175</v>
      </c>
      <c r="H50" s="149">
        <v>63</v>
      </c>
      <c r="I50" s="196"/>
      <c r="J50" s="149">
        <v>4895</v>
      </c>
      <c r="K50" s="149">
        <v>10475</v>
      </c>
      <c r="L50" s="149">
        <v>41</v>
      </c>
      <c r="M50" s="149">
        <v>1931</v>
      </c>
      <c r="N50" s="149">
        <v>12</v>
      </c>
      <c r="O50" s="149">
        <v>1749</v>
      </c>
      <c r="P50" s="224"/>
      <c r="Q50" s="224"/>
      <c r="R50" s="224"/>
      <c r="S50" s="224"/>
      <c r="T50" s="224"/>
      <c r="U50" s="224"/>
      <c r="V50" s="224"/>
      <c r="W50" s="224"/>
      <c r="X50" s="224"/>
      <c r="Y50" s="224"/>
      <c r="Z50" s="224"/>
      <c r="AA50" s="224"/>
      <c r="AB50" s="224"/>
      <c r="AC50" s="224"/>
      <c r="AD50" s="143" t="s">
        <v>2185</v>
      </c>
      <c r="AE50" s="143" t="s">
        <v>2186</v>
      </c>
    </row>
    <row r="51" spans="1:31" ht="24.95" customHeight="1" x14ac:dyDescent="0.2">
      <c r="A51" s="144">
        <v>38</v>
      </c>
      <c r="B51" s="150" t="s">
        <v>2249</v>
      </c>
      <c r="C51" s="146" t="s">
        <v>2250</v>
      </c>
      <c r="D51" s="146" t="s">
        <v>2250</v>
      </c>
      <c r="E51" s="147" t="s">
        <v>2184</v>
      </c>
      <c r="F51" s="148">
        <v>8374</v>
      </c>
      <c r="G51" s="149">
        <v>8451</v>
      </c>
      <c r="H51" s="149">
        <v>94</v>
      </c>
      <c r="I51" s="196"/>
      <c r="J51" s="149">
        <v>8381</v>
      </c>
      <c r="K51" s="149">
        <v>8100</v>
      </c>
      <c r="L51" s="149">
        <v>90</v>
      </c>
      <c r="M51" s="149">
        <v>4428</v>
      </c>
      <c r="N51" s="149">
        <v>0</v>
      </c>
      <c r="O51" s="149">
        <v>2797</v>
      </c>
      <c r="P51" s="224"/>
      <c r="Q51" s="224"/>
      <c r="R51" s="224"/>
      <c r="S51" s="224"/>
      <c r="T51" s="224"/>
      <c r="U51" s="224"/>
      <c r="V51" s="224"/>
      <c r="W51" s="224"/>
      <c r="X51" s="224"/>
      <c r="Y51" s="224"/>
      <c r="Z51" s="224"/>
      <c r="AA51" s="224"/>
      <c r="AB51" s="224"/>
      <c r="AC51" s="224"/>
      <c r="AD51" s="143" t="s">
        <v>2185</v>
      </c>
      <c r="AE51" s="143" t="s">
        <v>2186</v>
      </c>
    </row>
    <row r="52" spans="1:31" ht="24.95" customHeight="1" x14ac:dyDescent="0.2">
      <c r="A52" s="144">
        <v>39</v>
      </c>
      <c r="B52" s="150" t="s">
        <v>2251</v>
      </c>
      <c r="C52" s="146" t="s">
        <v>2250</v>
      </c>
      <c r="D52" s="146" t="s">
        <v>2250</v>
      </c>
      <c r="E52" s="147" t="s">
        <v>2184</v>
      </c>
      <c r="F52" s="148">
        <v>7362</v>
      </c>
      <c r="G52" s="149">
        <v>7522</v>
      </c>
      <c r="H52" s="149">
        <v>85</v>
      </c>
      <c r="I52" s="196"/>
      <c r="J52" s="149">
        <v>6043</v>
      </c>
      <c r="K52" s="149">
        <v>7714</v>
      </c>
      <c r="L52" s="149">
        <v>55</v>
      </c>
      <c r="M52" s="149">
        <v>2189</v>
      </c>
      <c r="N52" s="149">
        <v>0</v>
      </c>
      <c r="O52" s="149">
        <v>1786</v>
      </c>
      <c r="P52" s="224"/>
      <c r="Q52" s="224"/>
      <c r="R52" s="224"/>
      <c r="S52" s="224"/>
      <c r="T52" s="224"/>
      <c r="U52" s="224"/>
      <c r="V52" s="224"/>
      <c r="W52" s="224"/>
      <c r="X52" s="224"/>
      <c r="Y52" s="224"/>
      <c r="Z52" s="224"/>
      <c r="AA52" s="224"/>
      <c r="AB52" s="224"/>
      <c r="AC52" s="224"/>
      <c r="AD52" s="143" t="s">
        <v>2185</v>
      </c>
      <c r="AE52" s="143" t="s">
        <v>2186</v>
      </c>
    </row>
    <row r="53" spans="1:31" ht="24.95" customHeight="1" x14ac:dyDescent="0.2">
      <c r="A53" s="144">
        <v>40</v>
      </c>
      <c r="B53" s="150" t="s">
        <v>2252</v>
      </c>
      <c r="C53" s="146" t="s">
        <v>2247</v>
      </c>
      <c r="D53" s="146" t="s">
        <v>2253</v>
      </c>
      <c r="E53" s="147" t="s">
        <v>2184</v>
      </c>
      <c r="F53" s="148">
        <v>5075</v>
      </c>
      <c r="G53" s="149">
        <v>6175</v>
      </c>
      <c r="H53" s="149">
        <v>88</v>
      </c>
      <c r="I53" s="196"/>
      <c r="J53" s="149">
        <v>5331</v>
      </c>
      <c r="K53" s="149">
        <v>5933</v>
      </c>
      <c r="L53" s="149">
        <v>74</v>
      </c>
      <c r="M53" s="149">
        <v>2878</v>
      </c>
      <c r="N53" s="149">
        <v>8</v>
      </c>
      <c r="O53" s="149">
        <v>3232</v>
      </c>
      <c r="P53" s="224"/>
      <c r="Q53" s="224"/>
      <c r="R53" s="224"/>
      <c r="S53" s="224"/>
      <c r="T53" s="224"/>
      <c r="U53" s="224"/>
      <c r="V53" s="224"/>
      <c r="W53" s="224"/>
      <c r="X53" s="224"/>
      <c r="Y53" s="224"/>
      <c r="Z53" s="224"/>
      <c r="AA53" s="224"/>
      <c r="AB53" s="224"/>
      <c r="AC53" s="224"/>
      <c r="AD53" s="143" t="s">
        <v>2185</v>
      </c>
      <c r="AE53" s="143" t="s">
        <v>2254</v>
      </c>
    </row>
    <row r="54" spans="1:31" ht="24.95" customHeight="1" x14ac:dyDescent="0.2">
      <c r="A54" s="144">
        <v>41</v>
      </c>
      <c r="B54" s="150" t="s">
        <v>2255</v>
      </c>
      <c r="C54" s="146" t="s">
        <v>2256</v>
      </c>
      <c r="D54" s="146" t="s">
        <v>2256</v>
      </c>
      <c r="E54" s="147" t="s">
        <v>2184</v>
      </c>
      <c r="F54" s="148">
        <v>7641</v>
      </c>
      <c r="G54" s="149">
        <v>8631</v>
      </c>
      <c r="H54" s="149">
        <v>142</v>
      </c>
      <c r="I54" s="196"/>
      <c r="J54" s="149">
        <v>10235</v>
      </c>
      <c r="K54" s="149">
        <v>10763</v>
      </c>
      <c r="L54" s="149">
        <v>168</v>
      </c>
      <c r="M54" s="149">
        <v>9233</v>
      </c>
      <c r="N54" s="149">
        <v>4</v>
      </c>
      <c r="O54" s="149">
        <v>7228</v>
      </c>
      <c r="P54" s="224"/>
      <c r="Q54" s="224"/>
      <c r="R54" s="224"/>
      <c r="S54" s="224"/>
      <c r="T54" s="224"/>
      <c r="U54" s="224"/>
      <c r="V54" s="224"/>
      <c r="W54" s="224"/>
      <c r="X54" s="224"/>
      <c r="Y54" s="224"/>
      <c r="Z54" s="224"/>
      <c r="AA54" s="224"/>
      <c r="AB54" s="224"/>
      <c r="AC54" s="224"/>
      <c r="AD54" s="143" t="s">
        <v>2185</v>
      </c>
      <c r="AE54" s="143" t="s">
        <v>2186</v>
      </c>
    </row>
    <row r="55" spans="1:31" ht="24.95" customHeight="1" x14ac:dyDescent="0.2">
      <c r="A55" s="144">
        <v>42</v>
      </c>
      <c r="B55" s="150" t="s">
        <v>2257</v>
      </c>
      <c r="C55" s="146" t="s">
        <v>2258</v>
      </c>
      <c r="D55" s="146" t="s">
        <v>2258</v>
      </c>
      <c r="E55" s="147" t="s">
        <v>2184</v>
      </c>
      <c r="F55" s="148">
        <v>9207</v>
      </c>
      <c r="G55" s="149">
        <v>10866</v>
      </c>
      <c r="H55" s="149">
        <v>185</v>
      </c>
      <c r="I55" s="196"/>
      <c r="J55" s="149">
        <v>8734</v>
      </c>
      <c r="K55" s="149">
        <v>11269</v>
      </c>
      <c r="L55" s="149">
        <v>164</v>
      </c>
      <c r="M55" s="149">
        <v>10455</v>
      </c>
      <c r="N55" s="149">
        <v>18</v>
      </c>
      <c r="O55" s="149">
        <v>11698</v>
      </c>
      <c r="P55" s="224"/>
      <c r="Q55" s="224"/>
      <c r="R55" s="224"/>
      <c r="S55" s="224"/>
      <c r="T55" s="224"/>
      <c r="U55" s="224"/>
      <c r="V55" s="224"/>
      <c r="W55" s="224"/>
      <c r="X55" s="224"/>
      <c r="Y55" s="224"/>
      <c r="Z55" s="224"/>
      <c r="AA55" s="224"/>
      <c r="AB55" s="224"/>
      <c r="AC55" s="224"/>
      <c r="AD55" s="143" t="s">
        <v>2185</v>
      </c>
      <c r="AE55" s="143" t="s">
        <v>2186</v>
      </c>
    </row>
    <row r="56" spans="1:31" ht="24.95" customHeight="1" x14ac:dyDescent="0.2">
      <c r="A56" s="144">
        <v>43</v>
      </c>
      <c r="B56" s="150" t="s">
        <v>2259</v>
      </c>
      <c r="C56" s="146" t="s">
        <v>2183</v>
      </c>
      <c r="D56" s="146" t="s">
        <v>2220</v>
      </c>
      <c r="E56" s="147" t="s">
        <v>2184</v>
      </c>
      <c r="F56" s="148">
        <v>11292</v>
      </c>
      <c r="G56" s="149">
        <v>17877</v>
      </c>
      <c r="H56" s="149">
        <v>62</v>
      </c>
      <c r="I56" s="196"/>
      <c r="J56" s="149">
        <v>9901</v>
      </c>
      <c r="K56" s="149">
        <v>14987</v>
      </c>
      <c r="L56" s="149">
        <v>54</v>
      </c>
      <c r="M56" s="149">
        <v>2218</v>
      </c>
      <c r="N56" s="149">
        <v>0</v>
      </c>
      <c r="O56" s="149">
        <v>2192</v>
      </c>
      <c r="P56" s="224"/>
      <c r="Q56" s="224"/>
      <c r="R56" s="224"/>
      <c r="S56" s="224"/>
      <c r="T56" s="224"/>
      <c r="U56" s="224"/>
      <c r="V56" s="224"/>
      <c r="W56" s="224"/>
      <c r="X56" s="224"/>
      <c r="Y56" s="224"/>
      <c r="Z56" s="224"/>
      <c r="AA56" s="224"/>
      <c r="AB56" s="224"/>
      <c r="AC56" s="224"/>
      <c r="AD56" s="143" t="s">
        <v>2185</v>
      </c>
      <c r="AE56" s="143" t="s">
        <v>2186</v>
      </c>
    </row>
    <row r="57" spans="1:31" ht="24.95" customHeight="1" x14ac:dyDescent="0.2">
      <c r="A57" s="144">
        <v>44</v>
      </c>
      <c r="B57" s="150" t="s">
        <v>2260</v>
      </c>
      <c r="C57" s="146" t="s">
        <v>2194</v>
      </c>
      <c r="D57" s="146" t="s">
        <v>2194</v>
      </c>
      <c r="E57" s="147" t="s">
        <v>2184</v>
      </c>
      <c r="F57" s="148">
        <f>10609+76+885</f>
        <v>11570</v>
      </c>
      <c r="G57" s="149">
        <v>14493</v>
      </c>
      <c r="H57" s="149">
        <v>203</v>
      </c>
      <c r="I57" s="196"/>
      <c r="J57" s="149">
        <v>12849</v>
      </c>
      <c r="K57" s="149">
        <v>15123</v>
      </c>
      <c r="L57" s="149">
        <v>240</v>
      </c>
      <c r="M57" s="149">
        <v>11009</v>
      </c>
      <c r="N57" s="149">
        <v>19</v>
      </c>
      <c r="O57" s="149">
        <v>11202</v>
      </c>
      <c r="P57" s="224"/>
      <c r="Q57" s="224"/>
      <c r="R57" s="224"/>
      <c r="S57" s="224"/>
      <c r="T57" s="224"/>
      <c r="U57" s="224"/>
      <c r="V57" s="224"/>
      <c r="W57" s="224"/>
      <c r="X57" s="224"/>
      <c r="Y57" s="224"/>
      <c r="Z57" s="224"/>
      <c r="AA57" s="224"/>
      <c r="AB57" s="224"/>
      <c r="AC57" s="224"/>
      <c r="AD57" s="143" t="s">
        <v>2185</v>
      </c>
      <c r="AE57" s="143" t="s">
        <v>2186</v>
      </c>
    </row>
    <row r="58" spans="1:31" ht="24.95" customHeight="1" x14ac:dyDescent="0.2">
      <c r="A58" s="144">
        <v>45</v>
      </c>
      <c r="B58" s="150" t="s">
        <v>2261</v>
      </c>
      <c r="C58" s="146" t="s">
        <v>2215</v>
      </c>
      <c r="D58" s="146" t="s">
        <v>2215</v>
      </c>
      <c r="E58" s="147" t="s">
        <v>2184</v>
      </c>
      <c r="F58" s="148">
        <v>9950</v>
      </c>
      <c r="G58" s="149">
        <v>11515</v>
      </c>
      <c r="H58" s="149">
        <v>170</v>
      </c>
      <c r="I58" s="196"/>
      <c r="J58" s="149">
        <v>9889</v>
      </c>
      <c r="K58" s="149">
        <v>11272</v>
      </c>
      <c r="L58" s="149">
        <v>126</v>
      </c>
      <c r="M58" s="149">
        <v>3095</v>
      </c>
      <c r="N58" s="149">
        <v>44</v>
      </c>
      <c r="O58" s="149">
        <v>4491</v>
      </c>
      <c r="P58" s="224"/>
      <c r="Q58" s="224"/>
      <c r="R58" s="224"/>
      <c r="S58" s="224"/>
      <c r="T58" s="224"/>
      <c r="U58" s="224"/>
      <c r="V58" s="224"/>
      <c r="W58" s="224"/>
      <c r="X58" s="224"/>
      <c r="Y58" s="224"/>
      <c r="Z58" s="224"/>
      <c r="AA58" s="224"/>
      <c r="AB58" s="224"/>
      <c r="AC58" s="224"/>
      <c r="AD58" s="143" t="s">
        <v>2185</v>
      </c>
      <c r="AE58" s="143" t="s">
        <v>2186</v>
      </c>
    </row>
    <row r="59" spans="1:31" ht="24.95" customHeight="1" x14ac:dyDescent="0.2">
      <c r="A59" s="144">
        <v>46</v>
      </c>
      <c r="B59" s="150" t="s">
        <v>2262</v>
      </c>
      <c r="C59" s="146" t="s">
        <v>2215</v>
      </c>
      <c r="D59" s="146" t="s">
        <v>2215</v>
      </c>
      <c r="E59" s="147" t="s">
        <v>2184</v>
      </c>
      <c r="F59" s="148">
        <f>170+2+4616</f>
        <v>4788</v>
      </c>
      <c r="G59" s="149">
        <v>8352</v>
      </c>
      <c r="H59" s="149">
        <v>52</v>
      </c>
      <c r="I59" s="196"/>
      <c r="J59" s="149">
        <v>4846</v>
      </c>
      <c r="K59" s="149">
        <v>8360</v>
      </c>
      <c r="L59" s="149">
        <v>47</v>
      </c>
      <c r="M59" s="149">
        <v>1714</v>
      </c>
      <c r="N59" s="149">
        <v>3</v>
      </c>
      <c r="O59" s="149">
        <v>1907</v>
      </c>
      <c r="P59" s="224"/>
      <c r="Q59" s="224"/>
      <c r="R59" s="224"/>
      <c r="S59" s="224"/>
      <c r="T59" s="224"/>
      <c r="U59" s="224"/>
      <c r="V59" s="224"/>
      <c r="W59" s="224"/>
      <c r="X59" s="224"/>
      <c r="Y59" s="224"/>
      <c r="Z59" s="224"/>
      <c r="AA59" s="224"/>
      <c r="AB59" s="224"/>
      <c r="AC59" s="224"/>
      <c r="AD59" s="143" t="s">
        <v>2185</v>
      </c>
      <c r="AE59" s="143" t="s">
        <v>2186</v>
      </c>
    </row>
    <row r="60" spans="1:31" ht="24.95" customHeight="1" x14ac:dyDescent="0.2">
      <c r="A60" s="144">
        <v>47</v>
      </c>
      <c r="B60" s="150" t="s">
        <v>2263</v>
      </c>
      <c r="C60" s="146" t="s">
        <v>2215</v>
      </c>
      <c r="D60" s="146" t="s">
        <v>2215</v>
      </c>
      <c r="E60" s="147" t="s">
        <v>2184</v>
      </c>
      <c r="F60" s="148">
        <v>7362</v>
      </c>
      <c r="G60" s="149">
        <v>8696</v>
      </c>
      <c r="H60" s="149">
        <v>108</v>
      </c>
      <c r="I60" s="196"/>
      <c r="J60" s="149">
        <v>6381</v>
      </c>
      <c r="K60" s="149">
        <v>8428</v>
      </c>
      <c r="L60" s="149">
        <v>94</v>
      </c>
      <c r="M60" s="149">
        <v>3295</v>
      </c>
      <c r="N60" s="149">
        <v>9</v>
      </c>
      <c r="O60" s="149">
        <v>4219</v>
      </c>
      <c r="P60" s="224"/>
      <c r="Q60" s="224"/>
      <c r="R60" s="224"/>
      <c r="S60" s="224"/>
      <c r="T60" s="224"/>
      <c r="U60" s="224"/>
      <c r="V60" s="224"/>
      <c r="W60" s="224"/>
      <c r="X60" s="224"/>
      <c r="Y60" s="224"/>
      <c r="Z60" s="224"/>
      <c r="AA60" s="224"/>
      <c r="AB60" s="224"/>
      <c r="AC60" s="224"/>
      <c r="AD60" s="143" t="s">
        <v>2185</v>
      </c>
      <c r="AE60" s="143" t="s">
        <v>2186</v>
      </c>
    </row>
    <row r="61" spans="1:31" ht="24.95" customHeight="1" x14ac:dyDescent="0.2">
      <c r="A61" s="144">
        <v>48</v>
      </c>
      <c r="B61" s="150" t="s">
        <v>2264</v>
      </c>
      <c r="C61" s="146" t="s">
        <v>2215</v>
      </c>
      <c r="D61" s="146" t="s">
        <v>2215</v>
      </c>
      <c r="E61" s="147" t="s">
        <v>2265</v>
      </c>
      <c r="F61" s="148">
        <v>7962</v>
      </c>
      <c r="G61" s="149">
        <v>8056</v>
      </c>
      <c r="H61" s="149">
        <v>125</v>
      </c>
      <c r="I61" s="196"/>
      <c r="J61" s="149">
        <v>7254</v>
      </c>
      <c r="K61" s="149">
        <v>8637</v>
      </c>
      <c r="L61" s="149">
        <v>91</v>
      </c>
      <c r="M61" s="149">
        <v>2900</v>
      </c>
      <c r="N61" s="149">
        <v>15</v>
      </c>
      <c r="O61" s="149">
        <v>4031</v>
      </c>
      <c r="P61" s="224"/>
      <c r="Q61" s="224"/>
      <c r="R61" s="224"/>
      <c r="S61" s="224"/>
      <c r="T61" s="224"/>
      <c r="U61" s="224"/>
      <c r="V61" s="224"/>
      <c r="W61" s="224"/>
      <c r="X61" s="224"/>
      <c r="Y61" s="224"/>
      <c r="Z61" s="224"/>
      <c r="AA61" s="224"/>
      <c r="AB61" s="224"/>
      <c r="AC61" s="224"/>
      <c r="AD61" s="143" t="s">
        <v>2185</v>
      </c>
      <c r="AE61" s="143" t="s">
        <v>2186</v>
      </c>
    </row>
    <row r="62" spans="1:31" ht="24.95" customHeight="1" x14ac:dyDescent="0.2">
      <c r="A62" s="144">
        <v>49</v>
      </c>
      <c r="B62" s="150" t="s">
        <v>2266</v>
      </c>
      <c r="C62" s="146" t="s">
        <v>2215</v>
      </c>
      <c r="D62" s="146" t="s">
        <v>2215</v>
      </c>
      <c r="E62" s="147" t="s">
        <v>2184</v>
      </c>
      <c r="F62" s="148">
        <v>6647</v>
      </c>
      <c r="G62" s="149">
        <v>6553</v>
      </c>
      <c r="H62" s="149">
        <v>128</v>
      </c>
      <c r="I62" s="196"/>
      <c r="J62" s="149">
        <v>6393</v>
      </c>
      <c r="K62" s="149">
        <v>6753</v>
      </c>
      <c r="L62" s="149">
        <v>91</v>
      </c>
      <c r="M62" s="149">
        <v>2603</v>
      </c>
      <c r="N62" s="149">
        <v>26</v>
      </c>
      <c r="O62" s="149">
        <v>3507</v>
      </c>
      <c r="P62" s="224"/>
      <c r="Q62" s="224"/>
      <c r="R62" s="224"/>
      <c r="S62" s="224"/>
      <c r="T62" s="224"/>
      <c r="U62" s="224"/>
      <c r="V62" s="224"/>
      <c r="W62" s="224"/>
      <c r="X62" s="224"/>
      <c r="Y62" s="224"/>
      <c r="Z62" s="224"/>
      <c r="AA62" s="224"/>
      <c r="AB62" s="224"/>
      <c r="AC62" s="224"/>
      <c r="AD62" s="143" t="s">
        <v>2185</v>
      </c>
      <c r="AE62" s="143" t="s">
        <v>2186</v>
      </c>
    </row>
    <row r="63" spans="1:31" ht="24.95" customHeight="1" x14ac:dyDescent="0.2">
      <c r="A63" s="144">
        <v>50</v>
      </c>
      <c r="B63" s="150" t="s">
        <v>2267</v>
      </c>
      <c r="C63" s="146" t="s">
        <v>2237</v>
      </c>
      <c r="D63" s="146" t="s">
        <v>2237</v>
      </c>
      <c r="E63" s="147" t="s">
        <v>2184</v>
      </c>
      <c r="F63" s="148">
        <v>9615</v>
      </c>
      <c r="G63" s="149">
        <v>10160</v>
      </c>
      <c r="H63" s="149">
        <v>115</v>
      </c>
      <c r="I63" s="196"/>
      <c r="J63" s="149">
        <v>9437</v>
      </c>
      <c r="K63" s="149">
        <v>8595</v>
      </c>
      <c r="L63" s="149">
        <v>120</v>
      </c>
      <c r="M63" s="149">
        <v>5661</v>
      </c>
      <c r="N63" s="149">
        <v>6</v>
      </c>
      <c r="O63" s="149">
        <v>6612</v>
      </c>
      <c r="P63" s="224"/>
      <c r="Q63" s="224"/>
      <c r="R63" s="224"/>
      <c r="S63" s="224"/>
      <c r="T63" s="224"/>
      <c r="U63" s="224"/>
      <c r="V63" s="224"/>
      <c r="W63" s="224"/>
      <c r="X63" s="224"/>
      <c r="Y63" s="224"/>
      <c r="Z63" s="224"/>
      <c r="AA63" s="224"/>
      <c r="AB63" s="224"/>
      <c r="AC63" s="224"/>
      <c r="AD63" s="143" t="s">
        <v>2185</v>
      </c>
      <c r="AE63" s="143" t="s">
        <v>2186</v>
      </c>
    </row>
    <row r="64" spans="1:31" ht="24.95" customHeight="1" x14ac:dyDescent="0.2">
      <c r="A64" s="144">
        <v>51</v>
      </c>
      <c r="B64" s="150" t="s">
        <v>2268</v>
      </c>
      <c r="C64" s="146" t="s">
        <v>2237</v>
      </c>
      <c r="D64" s="146" t="s">
        <v>2237</v>
      </c>
      <c r="E64" s="147" t="s">
        <v>2184</v>
      </c>
      <c r="F64" s="148">
        <v>7700</v>
      </c>
      <c r="G64" s="149">
        <v>8570</v>
      </c>
      <c r="H64" s="149">
        <v>106</v>
      </c>
      <c r="I64" s="196"/>
      <c r="J64" s="149">
        <v>8004</v>
      </c>
      <c r="K64" s="149">
        <v>9010</v>
      </c>
      <c r="L64" s="149">
        <v>90</v>
      </c>
      <c r="M64" s="149">
        <v>6560</v>
      </c>
      <c r="N64" s="149">
        <v>3</v>
      </c>
      <c r="O64" s="149">
        <v>3707</v>
      </c>
      <c r="P64" s="224"/>
      <c r="Q64" s="224"/>
      <c r="R64" s="224"/>
      <c r="S64" s="224"/>
      <c r="T64" s="224"/>
      <c r="U64" s="224"/>
      <c r="V64" s="224"/>
      <c r="W64" s="224"/>
      <c r="X64" s="224"/>
      <c r="Y64" s="224"/>
      <c r="Z64" s="224"/>
      <c r="AA64" s="224"/>
      <c r="AB64" s="224"/>
      <c r="AC64" s="224"/>
      <c r="AD64" s="143" t="s">
        <v>2185</v>
      </c>
      <c r="AE64" s="143" t="s">
        <v>2186</v>
      </c>
    </row>
    <row r="65" spans="1:31" ht="24.95" customHeight="1" x14ac:dyDescent="0.2">
      <c r="A65" s="144">
        <v>52</v>
      </c>
      <c r="B65" s="150" t="s">
        <v>2269</v>
      </c>
      <c r="C65" s="146" t="s">
        <v>2222</v>
      </c>
      <c r="D65" s="146" t="s">
        <v>2222</v>
      </c>
      <c r="E65" s="147" t="s">
        <v>2223</v>
      </c>
      <c r="F65" s="148">
        <v>7255</v>
      </c>
      <c r="G65" s="149">
        <v>7940</v>
      </c>
      <c r="H65" s="149">
        <v>176</v>
      </c>
      <c r="I65" s="196"/>
      <c r="J65" s="149">
        <v>9890</v>
      </c>
      <c r="K65" s="149">
        <v>9610</v>
      </c>
      <c r="L65" s="149">
        <v>162</v>
      </c>
      <c r="M65" s="149">
        <v>18277</v>
      </c>
      <c r="N65" s="149">
        <v>0</v>
      </c>
      <c r="O65" s="149">
        <v>12866</v>
      </c>
      <c r="P65" s="224"/>
      <c r="Q65" s="224"/>
      <c r="R65" s="224"/>
      <c r="S65" s="224"/>
      <c r="T65" s="224"/>
      <c r="U65" s="224"/>
      <c r="V65" s="224"/>
      <c r="W65" s="224"/>
      <c r="X65" s="224"/>
      <c r="Y65" s="224"/>
      <c r="Z65" s="224"/>
      <c r="AA65" s="224"/>
      <c r="AB65" s="224"/>
      <c r="AC65" s="224"/>
      <c r="AD65" s="143" t="s">
        <v>2185</v>
      </c>
      <c r="AE65" s="143" t="s">
        <v>2186</v>
      </c>
    </row>
    <row r="66" spans="1:31" ht="24.95" customHeight="1" x14ac:dyDescent="0.2">
      <c r="A66" s="144">
        <v>53</v>
      </c>
      <c r="B66" s="150" t="s">
        <v>2270</v>
      </c>
      <c r="C66" s="146" t="s">
        <v>2222</v>
      </c>
      <c r="D66" s="146" t="s">
        <v>2222</v>
      </c>
      <c r="E66" s="147" t="s">
        <v>2223</v>
      </c>
      <c r="F66" s="148">
        <v>9200</v>
      </c>
      <c r="G66" s="149">
        <v>8730</v>
      </c>
      <c r="H66" s="149">
        <v>124</v>
      </c>
      <c r="I66" s="196"/>
      <c r="J66" s="149">
        <v>4665</v>
      </c>
      <c r="K66" s="149">
        <v>4355</v>
      </c>
      <c r="L66" s="149">
        <v>66</v>
      </c>
      <c r="M66" s="149">
        <v>6826</v>
      </c>
      <c r="N66" s="149">
        <v>0</v>
      </c>
      <c r="O66" s="149">
        <v>4569</v>
      </c>
      <c r="P66" s="224"/>
      <c r="Q66" s="224"/>
      <c r="R66" s="224"/>
      <c r="S66" s="224"/>
      <c r="T66" s="224"/>
      <c r="U66" s="224"/>
      <c r="V66" s="224"/>
      <c r="W66" s="224"/>
      <c r="X66" s="224"/>
      <c r="Y66" s="224"/>
      <c r="Z66" s="224"/>
      <c r="AA66" s="224"/>
      <c r="AB66" s="224"/>
      <c r="AC66" s="224"/>
      <c r="AD66" s="143" t="s">
        <v>2185</v>
      </c>
      <c r="AE66" s="143" t="s">
        <v>2186</v>
      </c>
    </row>
    <row r="67" spans="1:31" ht="24.95" customHeight="1" x14ac:dyDescent="0.2">
      <c r="A67" s="144">
        <v>54</v>
      </c>
      <c r="B67" s="150" t="s">
        <v>2271</v>
      </c>
      <c r="C67" s="146" t="s">
        <v>2222</v>
      </c>
      <c r="D67" s="146" t="s">
        <v>2222</v>
      </c>
      <c r="E67" s="147" t="s">
        <v>2184</v>
      </c>
      <c r="F67" s="148">
        <v>4436</v>
      </c>
      <c r="G67" s="149">
        <v>7990</v>
      </c>
      <c r="H67" s="149">
        <v>178</v>
      </c>
      <c r="I67" s="196"/>
      <c r="J67" s="149">
        <v>4765</v>
      </c>
      <c r="K67" s="149">
        <v>4967</v>
      </c>
      <c r="L67" s="149">
        <v>125</v>
      </c>
      <c r="M67" s="149">
        <v>12312</v>
      </c>
      <c r="N67" s="149">
        <v>15</v>
      </c>
      <c r="O67" s="149">
        <v>23659</v>
      </c>
      <c r="P67" s="224"/>
      <c r="Q67" s="224"/>
      <c r="R67" s="224"/>
      <c r="S67" s="224"/>
      <c r="T67" s="224"/>
      <c r="U67" s="224"/>
      <c r="V67" s="224"/>
      <c r="W67" s="224"/>
      <c r="X67" s="224"/>
      <c r="Y67" s="224"/>
      <c r="Z67" s="224"/>
      <c r="AA67" s="224"/>
      <c r="AB67" s="224"/>
      <c r="AC67" s="224"/>
      <c r="AD67" s="143" t="s">
        <v>2185</v>
      </c>
      <c r="AE67" s="143" t="s">
        <v>2186</v>
      </c>
    </row>
    <row r="68" spans="1:31" ht="24.95" customHeight="1" x14ac:dyDescent="0.2">
      <c r="A68" s="144">
        <v>55</v>
      </c>
      <c r="B68" s="150" t="s">
        <v>2272</v>
      </c>
      <c r="C68" s="146" t="s">
        <v>2222</v>
      </c>
      <c r="D68" s="146" t="s">
        <v>2273</v>
      </c>
      <c r="E68" s="147" t="s">
        <v>2184</v>
      </c>
      <c r="F68" s="148">
        <v>1600</v>
      </c>
      <c r="G68" s="149">
        <v>3120</v>
      </c>
      <c r="H68" s="149">
        <v>27</v>
      </c>
      <c r="I68" s="196"/>
      <c r="J68" s="149">
        <v>1569</v>
      </c>
      <c r="K68" s="149">
        <v>1569</v>
      </c>
      <c r="L68" s="149">
        <v>25</v>
      </c>
      <c r="M68" s="149">
        <v>3092</v>
      </c>
      <c r="N68" s="149">
        <v>0</v>
      </c>
      <c r="O68" s="149">
        <v>1688</v>
      </c>
      <c r="P68" s="224"/>
      <c r="Q68" s="224"/>
      <c r="R68" s="224"/>
      <c r="S68" s="224"/>
      <c r="T68" s="224"/>
      <c r="U68" s="224"/>
      <c r="V68" s="224"/>
      <c r="W68" s="224"/>
      <c r="X68" s="224"/>
      <c r="Y68" s="224"/>
      <c r="Z68" s="224"/>
      <c r="AA68" s="224"/>
      <c r="AB68" s="224"/>
      <c r="AC68" s="224"/>
      <c r="AD68" s="143" t="s">
        <v>2185</v>
      </c>
      <c r="AE68" s="143" t="s">
        <v>2186</v>
      </c>
    </row>
    <row r="69" spans="1:31" ht="24.95" customHeight="1" x14ac:dyDescent="0.2">
      <c r="A69" s="144">
        <v>56</v>
      </c>
      <c r="B69" s="150" t="s">
        <v>2274</v>
      </c>
      <c r="C69" s="146" t="s">
        <v>2275</v>
      </c>
      <c r="D69" s="146" t="s">
        <v>2275</v>
      </c>
      <c r="E69" s="147" t="s">
        <v>2184</v>
      </c>
      <c r="F69" s="148">
        <v>7195</v>
      </c>
      <c r="G69" s="149">
        <v>6880</v>
      </c>
      <c r="H69" s="149">
        <v>96</v>
      </c>
      <c r="I69" s="196"/>
      <c r="J69" s="149">
        <v>7733</v>
      </c>
      <c r="K69" s="149">
        <v>7734</v>
      </c>
      <c r="L69" s="149">
        <v>62</v>
      </c>
      <c r="M69" s="149">
        <v>5873</v>
      </c>
      <c r="N69" s="149">
        <v>1</v>
      </c>
      <c r="O69" s="149">
        <v>6326</v>
      </c>
      <c r="P69" s="224"/>
      <c r="Q69" s="224"/>
      <c r="R69" s="224"/>
      <c r="S69" s="224"/>
      <c r="T69" s="224"/>
      <c r="U69" s="224"/>
      <c r="V69" s="224"/>
      <c r="W69" s="224"/>
      <c r="X69" s="224"/>
      <c r="Y69" s="224"/>
      <c r="Z69" s="224"/>
      <c r="AA69" s="224"/>
      <c r="AB69" s="224"/>
      <c r="AC69" s="224"/>
      <c r="AD69" s="143" t="s">
        <v>2185</v>
      </c>
      <c r="AE69" s="143" t="s">
        <v>2186</v>
      </c>
    </row>
    <row r="70" spans="1:31" ht="24.95" customHeight="1" x14ac:dyDescent="0.2">
      <c r="A70" s="144">
        <v>57</v>
      </c>
      <c r="B70" s="150" t="s">
        <v>2276</v>
      </c>
      <c r="C70" s="146" t="s">
        <v>2250</v>
      </c>
      <c r="D70" s="146" t="s">
        <v>2250</v>
      </c>
      <c r="E70" s="147" t="s">
        <v>2223</v>
      </c>
      <c r="F70" s="148">
        <v>404</v>
      </c>
      <c r="G70" s="149">
        <v>1765</v>
      </c>
      <c r="H70" s="149">
        <v>10</v>
      </c>
      <c r="I70" s="196"/>
      <c r="J70" s="149">
        <v>398</v>
      </c>
      <c r="K70" s="149">
        <v>1765</v>
      </c>
      <c r="L70" s="149">
        <v>1</v>
      </c>
      <c r="M70" s="149">
        <v>153</v>
      </c>
      <c r="N70" s="149">
        <v>0</v>
      </c>
      <c r="O70" s="149">
        <v>104</v>
      </c>
      <c r="P70" s="224"/>
      <c r="Q70" s="224"/>
      <c r="R70" s="224"/>
      <c r="S70" s="224"/>
      <c r="T70" s="224"/>
      <c r="U70" s="224"/>
      <c r="V70" s="224"/>
      <c r="W70" s="224"/>
      <c r="X70" s="224"/>
      <c r="Y70" s="224"/>
      <c r="Z70" s="224"/>
      <c r="AA70" s="224"/>
      <c r="AB70" s="224"/>
      <c r="AC70" s="224"/>
      <c r="AD70" s="143" t="s">
        <v>2185</v>
      </c>
      <c r="AE70" s="143" t="s">
        <v>2186</v>
      </c>
    </row>
    <row r="71" spans="1:31" ht="24.95" customHeight="1" x14ac:dyDescent="0.2">
      <c r="A71" s="144">
        <v>58</v>
      </c>
      <c r="B71" s="150" t="s">
        <v>2277</v>
      </c>
      <c r="C71" s="146" t="s">
        <v>2229</v>
      </c>
      <c r="D71" s="146" t="s">
        <v>2229</v>
      </c>
      <c r="E71" s="147" t="s">
        <v>2223</v>
      </c>
      <c r="F71" s="148">
        <v>4055</v>
      </c>
      <c r="G71" s="149">
        <v>4285</v>
      </c>
      <c r="H71" s="149">
        <v>108</v>
      </c>
      <c r="I71" s="196"/>
      <c r="J71" s="149">
        <v>6615</v>
      </c>
      <c r="K71" s="149">
        <v>4425</v>
      </c>
      <c r="L71" s="149">
        <v>104</v>
      </c>
      <c r="M71" s="149">
        <v>2937</v>
      </c>
      <c r="N71" s="149">
        <v>0</v>
      </c>
      <c r="O71" s="149">
        <v>3741</v>
      </c>
      <c r="P71" s="224"/>
      <c r="Q71" s="224"/>
      <c r="R71" s="224"/>
      <c r="S71" s="224"/>
      <c r="T71" s="224"/>
      <c r="U71" s="224"/>
      <c r="V71" s="224"/>
      <c r="W71" s="224"/>
      <c r="X71" s="224"/>
      <c r="Y71" s="224"/>
      <c r="Z71" s="224"/>
      <c r="AA71" s="224"/>
      <c r="AB71" s="224"/>
      <c r="AC71" s="224"/>
      <c r="AD71" s="143" t="s">
        <v>2185</v>
      </c>
      <c r="AE71" s="143" t="s">
        <v>2186</v>
      </c>
    </row>
    <row r="72" spans="1:31" ht="24.95" customHeight="1" x14ac:dyDescent="0.2">
      <c r="A72" s="144">
        <v>59</v>
      </c>
      <c r="B72" s="150" t="s">
        <v>2278</v>
      </c>
      <c r="C72" s="146" t="s">
        <v>2229</v>
      </c>
      <c r="D72" s="146" t="s">
        <v>2229</v>
      </c>
      <c r="E72" s="147" t="s">
        <v>2223</v>
      </c>
      <c r="F72" s="148">
        <v>9076</v>
      </c>
      <c r="G72" s="149">
        <v>10135</v>
      </c>
      <c r="H72" s="149">
        <v>233</v>
      </c>
      <c r="I72" s="196"/>
      <c r="J72" s="149">
        <v>13530</v>
      </c>
      <c r="K72" s="149">
        <v>11011</v>
      </c>
      <c r="L72" s="149">
        <v>257</v>
      </c>
      <c r="M72" s="149">
        <v>8447</v>
      </c>
      <c r="N72" s="149">
        <v>3</v>
      </c>
      <c r="O72" s="149">
        <v>10251</v>
      </c>
      <c r="P72" s="224"/>
      <c r="Q72" s="224"/>
      <c r="R72" s="224"/>
      <c r="S72" s="224"/>
      <c r="T72" s="224"/>
      <c r="U72" s="224"/>
      <c r="V72" s="224"/>
      <c r="W72" s="224"/>
      <c r="X72" s="224"/>
      <c r="Y72" s="224"/>
      <c r="Z72" s="224"/>
      <c r="AA72" s="224"/>
      <c r="AB72" s="224"/>
      <c r="AC72" s="224"/>
      <c r="AD72" s="143" t="s">
        <v>2185</v>
      </c>
      <c r="AE72" s="143" t="s">
        <v>2186</v>
      </c>
    </row>
    <row r="73" spans="1:31" ht="24.95" customHeight="1" x14ac:dyDescent="0.2">
      <c r="A73" s="144">
        <v>61</v>
      </c>
      <c r="B73" s="150" t="s">
        <v>2279</v>
      </c>
      <c r="C73" s="146" t="s">
        <v>2280</v>
      </c>
      <c r="D73" s="146" t="s">
        <v>2280</v>
      </c>
      <c r="E73" s="147" t="s">
        <v>2184</v>
      </c>
      <c r="F73" s="148">
        <v>645</v>
      </c>
      <c r="G73" s="149">
        <v>624</v>
      </c>
      <c r="H73" s="149">
        <v>13</v>
      </c>
      <c r="I73" s="196"/>
      <c r="J73" s="149">
        <v>638</v>
      </c>
      <c r="K73" s="149">
        <v>638</v>
      </c>
      <c r="L73" s="149">
        <v>13</v>
      </c>
      <c r="M73" s="149">
        <v>898</v>
      </c>
      <c r="N73" s="149">
        <v>0</v>
      </c>
      <c r="O73" s="149">
        <v>821</v>
      </c>
      <c r="P73" s="224"/>
      <c r="Q73" s="224"/>
      <c r="R73" s="224"/>
      <c r="S73" s="224"/>
      <c r="T73" s="224"/>
      <c r="U73" s="224"/>
      <c r="V73" s="224"/>
      <c r="W73" s="224"/>
      <c r="X73" s="224"/>
      <c r="Y73" s="224"/>
      <c r="Z73" s="224"/>
      <c r="AA73" s="224"/>
      <c r="AB73" s="224"/>
      <c r="AC73" s="224"/>
      <c r="AD73" s="143" t="s">
        <v>2185</v>
      </c>
      <c r="AE73" s="143" t="s">
        <v>2186</v>
      </c>
    </row>
    <row r="74" spans="1:31" ht="24.95" customHeight="1" x14ac:dyDescent="0.2">
      <c r="A74" s="144">
        <v>62</v>
      </c>
      <c r="B74" s="150" t="s">
        <v>2281</v>
      </c>
      <c r="C74" s="146" t="s">
        <v>2256</v>
      </c>
      <c r="D74" s="146" t="s">
        <v>2282</v>
      </c>
      <c r="E74" s="147" t="s">
        <v>2184</v>
      </c>
      <c r="F74" s="148">
        <v>6775</v>
      </c>
      <c r="G74" s="149">
        <v>5181</v>
      </c>
      <c r="H74" s="149">
        <v>6</v>
      </c>
      <c r="I74" s="196"/>
      <c r="J74" s="149">
        <v>2296</v>
      </c>
      <c r="K74" s="149">
        <v>8611</v>
      </c>
      <c r="L74" s="149">
        <v>33</v>
      </c>
      <c r="M74" s="149">
        <v>1638</v>
      </c>
      <c r="N74" s="149">
        <v>0</v>
      </c>
      <c r="O74" s="149">
        <v>2040</v>
      </c>
      <c r="P74" s="224"/>
      <c r="Q74" s="224"/>
      <c r="R74" s="224"/>
      <c r="S74" s="224"/>
      <c r="T74" s="224"/>
      <c r="U74" s="224"/>
      <c r="V74" s="224"/>
      <c r="W74" s="224"/>
      <c r="X74" s="224"/>
      <c r="Y74" s="224"/>
      <c r="Z74" s="224"/>
      <c r="AA74" s="224"/>
      <c r="AB74" s="224"/>
      <c r="AC74" s="224"/>
      <c r="AD74" s="143" t="s">
        <v>2185</v>
      </c>
      <c r="AE74" s="143" t="s">
        <v>2186</v>
      </c>
    </row>
    <row r="75" spans="1:31" ht="24.95" customHeight="1" x14ac:dyDescent="0.2">
      <c r="A75" s="144">
        <v>63</v>
      </c>
      <c r="B75" s="150" t="s">
        <v>2283</v>
      </c>
      <c r="C75" s="146" t="s">
        <v>2194</v>
      </c>
      <c r="D75" s="146" t="s">
        <v>2233</v>
      </c>
      <c r="E75" s="147" t="s">
        <v>2184</v>
      </c>
      <c r="F75" s="148">
        <f>462+2692</f>
        <v>3154</v>
      </c>
      <c r="G75" s="149">
        <v>2791</v>
      </c>
      <c r="H75" s="149">
        <v>28</v>
      </c>
      <c r="I75" s="196"/>
      <c r="J75" s="149">
        <v>2888</v>
      </c>
      <c r="K75" s="149">
        <v>2563</v>
      </c>
      <c r="L75" s="149">
        <v>18</v>
      </c>
      <c r="M75" s="149">
        <v>390</v>
      </c>
      <c r="N75" s="149">
        <v>3</v>
      </c>
      <c r="O75" s="149">
        <v>824</v>
      </c>
      <c r="P75" s="224"/>
      <c r="Q75" s="224"/>
      <c r="R75" s="224"/>
      <c r="S75" s="224"/>
      <c r="T75" s="224"/>
      <c r="U75" s="224"/>
      <c r="V75" s="224"/>
      <c r="W75" s="224"/>
      <c r="X75" s="224"/>
      <c r="Y75" s="224"/>
      <c r="Z75" s="224"/>
      <c r="AA75" s="224"/>
      <c r="AB75" s="224"/>
      <c r="AC75" s="224"/>
      <c r="AD75" s="143" t="s">
        <v>2185</v>
      </c>
      <c r="AE75" s="143" t="s">
        <v>2186</v>
      </c>
    </row>
    <row r="76" spans="1:31" ht="24.95" customHeight="1" x14ac:dyDescent="0.2">
      <c r="A76" s="144">
        <v>64</v>
      </c>
      <c r="B76" s="150" t="s">
        <v>2284</v>
      </c>
      <c r="C76" s="146" t="s">
        <v>2285</v>
      </c>
      <c r="D76" s="146" t="s">
        <v>2285</v>
      </c>
      <c r="E76" s="147" t="s">
        <v>2184</v>
      </c>
      <c r="F76" s="148">
        <v>7019</v>
      </c>
      <c r="G76" s="149">
        <v>7173</v>
      </c>
      <c r="H76" s="149">
        <v>121</v>
      </c>
      <c r="I76" s="196"/>
      <c r="J76" s="149">
        <v>7348</v>
      </c>
      <c r="K76" s="149">
        <v>7788</v>
      </c>
      <c r="L76" s="149">
        <v>163</v>
      </c>
      <c r="M76" s="149">
        <v>7129</v>
      </c>
      <c r="N76" s="149">
        <v>6</v>
      </c>
      <c r="O76" s="149">
        <v>6607</v>
      </c>
      <c r="P76" s="224"/>
      <c r="Q76" s="224"/>
      <c r="R76" s="224"/>
      <c r="S76" s="224"/>
      <c r="T76" s="224"/>
      <c r="U76" s="224"/>
      <c r="V76" s="224"/>
      <c r="W76" s="224"/>
      <c r="X76" s="224"/>
      <c r="Y76" s="224"/>
      <c r="Z76" s="224"/>
      <c r="AA76" s="224"/>
      <c r="AB76" s="224"/>
      <c r="AC76" s="224"/>
      <c r="AD76" s="143" t="s">
        <v>2185</v>
      </c>
      <c r="AE76" s="143" t="s">
        <v>2186</v>
      </c>
    </row>
    <row r="77" spans="1:31" ht="24.95" customHeight="1" x14ac:dyDescent="0.2">
      <c r="A77" s="144">
        <v>65</v>
      </c>
      <c r="B77" s="150" t="s">
        <v>2286</v>
      </c>
      <c r="C77" s="146" t="s">
        <v>2183</v>
      </c>
      <c r="D77" s="146" t="s">
        <v>2183</v>
      </c>
      <c r="E77" s="147" t="s">
        <v>2184</v>
      </c>
      <c r="F77" s="148">
        <v>5981</v>
      </c>
      <c r="G77" s="149">
        <v>6422</v>
      </c>
      <c r="H77" s="149">
        <v>107</v>
      </c>
      <c r="I77" s="196"/>
      <c r="J77" s="149">
        <v>5840</v>
      </c>
      <c r="K77" s="149">
        <v>6410</v>
      </c>
      <c r="L77" s="149">
        <v>103</v>
      </c>
      <c r="M77" s="149">
        <v>5788</v>
      </c>
      <c r="N77" s="149">
        <v>2</v>
      </c>
      <c r="O77" s="149">
        <v>4421</v>
      </c>
      <c r="P77" s="224"/>
      <c r="Q77" s="224"/>
      <c r="R77" s="224"/>
      <c r="S77" s="224"/>
      <c r="T77" s="224"/>
      <c r="U77" s="224"/>
      <c r="V77" s="224"/>
      <c r="W77" s="224"/>
      <c r="X77" s="224"/>
      <c r="Y77" s="224"/>
      <c r="Z77" s="224"/>
      <c r="AA77" s="224"/>
      <c r="AB77" s="224"/>
      <c r="AC77" s="224"/>
      <c r="AD77" s="143" t="s">
        <v>2185</v>
      </c>
      <c r="AE77" s="143" t="s">
        <v>2186</v>
      </c>
    </row>
    <row r="78" spans="1:31" ht="24.95" customHeight="1" x14ac:dyDescent="0.2">
      <c r="A78" s="144">
        <v>66</v>
      </c>
      <c r="B78" s="150" t="s">
        <v>2287</v>
      </c>
      <c r="C78" s="146" t="s">
        <v>2288</v>
      </c>
      <c r="D78" s="146" t="s">
        <v>2288</v>
      </c>
      <c r="E78" s="147" t="s">
        <v>2184</v>
      </c>
      <c r="F78" s="148">
        <v>17865</v>
      </c>
      <c r="G78" s="149">
        <v>14445</v>
      </c>
      <c r="H78" s="149">
        <v>231</v>
      </c>
      <c r="I78" s="196"/>
      <c r="J78" s="149">
        <v>19185</v>
      </c>
      <c r="K78" s="149">
        <v>8750</v>
      </c>
      <c r="L78" s="149">
        <v>235</v>
      </c>
      <c r="M78" s="149">
        <v>13099</v>
      </c>
      <c r="N78" s="149">
        <v>12</v>
      </c>
      <c r="O78" s="149">
        <v>14653</v>
      </c>
      <c r="P78" s="224"/>
      <c r="Q78" s="224"/>
      <c r="R78" s="224"/>
      <c r="S78" s="224"/>
      <c r="T78" s="224"/>
      <c r="U78" s="224"/>
      <c r="V78" s="224"/>
      <c r="W78" s="224"/>
      <c r="X78" s="224"/>
      <c r="Y78" s="224"/>
      <c r="Z78" s="224"/>
      <c r="AA78" s="224"/>
      <c r="AB78" s="224"/>
      <c r="AC78" s="224"/>
      <c r="AD78" s="143" t="s">
        <v>2185</v>
      </c>
      <c r="AE78" s="143" t="s">
        <v>2186</v>
      </c>
    </row>
    <row r="79" spans="1:31" ht="24.95" customHeight="1" x14ac:dyDescent="0.2">
      <c r="A79" s="144">
        <v>67</v>
      </c>
      <c r="B79" s="150" t="s">
        <v>2289</v>
      </c>
      <c r="C79" s="146" t="s">
        <v>2194</v>
      </c>
      <c r="D79" s="146" t="s">
        <v>2194</v>
      </c>
      <c r="E79" s="147" t="s">
        <v>2184</v>
      </c>
      <c r="F79" s="148">
        <v>6972</v>
      </c>
      <c r="G79" s="149">
        <v>8004</v>
      </c>
      <c r="H79" s="149">
        <v>69</v>
      </c>
      <c r="I79" s="196"/>
      <c r="J79" s="149">
        <v>6414</v>
      </c>
      <c r="K79" s="149">
        <v>9831</v>
      </c>
      <c r="L79" s="149">
        <v>59</v>
      </c>
      <c r="M79" s="149">
        <v>3159</v>
      </c>
      <c r="N79" s="149">
        <v>9</v>
      </c>
      <c r="O79" s="149">
        <v>4031</v>
      </c>
      <c r="P79" s="224"/>
      <c r="Q79" s="224"/>
      <c r="R79" s="224"/>
      <c r="S79" s="224"/>
      <c r="T79" s="224"/>
      <c r="U79" s="224"/>
      <c r="V79" s="224"/>
      <c r="W79" s="224"/>
      <c r="X79" s="224"/>
      <c r="Y79" s="224"/>
      <c r="Z79" s="224"/>
      <c r="AA79" s="224"/>
      <c r="AB79" s="224"/>
      <c r="AC79" s="224"/>
      <c r="AD79" s="143" t="s">
        <v>2185</v>
      </c>
      <c r="AE79" s="143" t="s">
        <v>2186</v>
      </c>
    </row>
    <row r="80" spans="1:31" ht="24.95" customHeight="1" x14ac:dyDescent="0.2">
      <c r="A80" s="144">
        <v>68</v>
      </c>
      <c r="B80" s="150" t="s">
        <v>2290</v>
      </c>
      <c r="C80" s="146" t="s">
        <v>2194</v>
      </c>
      <c r="D80" s="146" t="s">
        <v>2194</v>
      </c>
      <c r="E80" s="147" t="s">
        <v>2184</v>
      </c>
      <c r="F80" s="148">
        <v>3490</v>
      </c>
      <c r="G80" s="149">
        <v>5682</v>
      </c>
      <c r="H80" s="149">
        <v>22</v>
      </c>
      <c r="I80" s="196"/>
      <c r="J80" s="149">
        <v>5670</v>
      </c>
      <c r="K80" s="149">
        <v>6427</v>
      </c>
      <c r="L80" s="149">
        <v>81</v>
      </c>
      <c r="M80" s="149">
        <v>1807</v>
      </c>
      <c r="N80" s="149">
        <v>5</v>
      </c>
      <c r="O80" s="149">
        <v>2016</v>
      </c>
      <c r="P80" s="224"/>
      <c r="Q80" s="224"/>
      <c r="R80" s="224"/>
      <c r="S80" s="224"/>
      <c r="T80" s="224"/>
      <c r="U80" s="224"/>
      <c r="V80" s="224"/>
      <c r="W80" s="224"/>
      <c r="X80" s="224"/>
      <c r="Y80" s="224"/>
      <c r="Z80" s="224"/>
      <c r="AA80" s="224"/>
      <c r="AB80" s="224"/>
      <c r="AC80" s="224"/>
      <c r="AD80" s="143" t="s">
        <v>2185</v>
      </c>
      <c r="AE80" s="143" t="s">
        <v>2186</v>
      </c>
    </row>
    <row r="81" spans="1:31" ht="24.95" customHeight="1" x14ac:dyDescent="0.2">
      <c r="A81" s="144">
        <v>69</v>
      </c>
      <c r="B81" s="150" t="s">
        <v>2291</v>
      </c>
      <c r="C81" s="146" t="s">
        <v>2194</v>
      </c>
      <c r="D81" s="146" t="s">
        <v>2194</v>
      </c>
      <c r="E81" s="147" t="s">
        <v>2184</v>
      </c>
      <c r="F81" s="148">
        <v>5650</v>
      </c>
      <c r="G81" s="149">
        <v>8935</v>
      </c>
      <c r="H81" s="149">
        <v>73</v>
      </c>
      <c r="I81" s="196"/>
      <c r="J81" s="149">
        <v>4118</v>
      </c>
      <c r="K81" s="149">
        <v>8935</v>
      </c>
      <c r="L81" s="149">
        <v>56</v>
      </c>
      <c r="M81" s="149">
        <v>2711</v>
      </c>
      <c r="N81" s="149">
        <v>10</v>
      </c>
      <c r="O81" s="149">
        <v>2162</v>
      </c>
      <c r="P81" s="224"/>
      <c r="Q81" s="224"/>
      <c r="R81" s="224"/>
      <c r="S81" s="224"/>
      <c r="T81" s="224"/>
      <c r="U81" s="224"/>
      <c r="V81" s="224"/>
      <c r="W81" s="224"/>
      <c r="X81" s="224"/>
      <c r="Y81" s="224"/>
      <c r="Z81" s="224"/>
      <c r="AA81" s="224"/>
      <c r="AB81" s="224"/>
      <c r="AC81" s="224"/>
      <c r="AD81" s="143" t="s">
        <v>2185</v>
      </c>
      <c r="AE81" s="143" t="s">
        <v>2186</v>
      </c>
    </row>
    <row r="82" spans="1:31" ht="24.95" customHeight="1" x14ac:dyDescent="0.2">
      <c r="A82" s="144">
        <v>70</v>
      </c>
      <c r="B82" s="150" t="s">
        <v>2292</v>
      </c>
      <c r="C82" s="146" t="s">
        <v>2183</v>
      </c>
      <c r="D82" s="146" t="s">
        <v>2183</v>
      </c>
      <c r="E82" s="147" t="s">
        <v>2184</v>
      </c>
      <c r="F82" s="148">
        <v>3192</v>
      </c>
      <c r="G82" s="149">
        <v>3290</v>
      </c>
      <c r="H82" s="149">
        <v>66</v>
      </c>
      <c r="I82" s="196"/>
      <c r="J82" s="149">
        <v>3194</v>
      </c>
      <c r="K82" s="149">
        <v>3496</v>
      </c>
      <c r="L82" s="149">
        <v>63</v>
      </c>
      <c r="M82" s="149">
        <v>3000</v>
      </c>
      <c r="N82" s="149">
        <v>2</v>
      </c>
      <c r="O82" s="149">
        <v>2445</v>
      </c>
      <c r="P82" s="224"/>
      <c r="Q82" s="224"/>
      <c r="R82" s="224"/>
      <c r="S82" s="224"/>
      <c r="T82" s="224"/>
      <c r="U82" s="224"/>
      <c r="V82" s="224"/>
      <c r="W82" s="224"/>
      <c r="X82" s="224"/>
      <c r="Y82" s="224"/>
      <c r="Z82" s="224"/>
      <c r="AA82" s="224"/>
      <c r="AB82" s="224"/>
      <c r="AC82" s="224"/>
      <c r="AD82" s="143" t="s">
        <v>2185</v>
      </c>
      <c r="AE82" s="143" t="s">
        <v>2186</v>
      </c>
    </row>
    <row r="83" spans="1:31" ht="24.95" customHeight="1" x14ac:dyDescent="0.2">
      <c r="A83" s="144">
        <v>71</v>
      </c>
      <c r="B83" s="150" t="s">
        <v>2293</v>
      </c>
      <c r="C83" s="146" t="s">
        <v>2183</v>
      </c>
      <c r="D83" s="146" t="s">
        <v>2183</v>
      </c>
      <c r="E83" s="147" t="s">
        <v>2184</v>
      </c>
      <c r="F83" s="148">
        <v>6651</v>
      </c>
      <c r="G83" s="149">
        <f>20+1105+1667+6679</f>
        <v>9471</v>
      </c>
      <c r="H83" s="149">
        <v>135</v>
      </c>
      <c r="I83" s="196"/>
      <c r="J83" s="149">
        <v>6460</v>
      </c>
      <c r="K83" s="149">
        <v>8485</v>
      </c>
      <c r="L83" s="149">
        <v>117</v>
      </c>
      <c r="M83" s="149">
        <v>7795</v>
      </c>
      <c r="N83" s="149">
        <v>11</v>
      </c>
      <c r="O83" s="149">
        <v>7062</v>
      </c>
      <c r="P83" s="224"/>
      <c r="Q83" s="224"/>
      <c r="R83" s="224"/>
      <c r="S83" s="224"/>
      <c r="T83" s="224"/>
      <c r="U83" s="224"/>
      <c r="V83" s="224"/>
      <c r="W83" s="224"/>
      <c r="X83" s="224"/>
      <c r="Y83" s="224"/>
      <c r="Z83" s="224"/>
      <c r="AA83" s="224"/>
      <c r="AB83" s="224"/>
      <c r="AC83" s="224"/>
      <c r="AD83" s="143" t="s">
        <v>2185</v>
      </c>
      <c r="AE83" s="143" t="s">
        <v>2186</v>
      </c>
    </row>
    <row r="84" spans="1:31" ht="24.95" customHeight="1" x14ac:dyDescent="0.2">
      <c r="A84" s="144">
        <v>72</v>
      </c>
      <c r="B84" s="150" t="s">
        <v>2294</v>
      </c>
      <c r="C84" s="146" t="s">
        <v>2183</v>
      </c>
      <c r="D84" s="146" t="s">
        <v>2183</v>
      </c>
      <c r="E84" s="147" t="s">
        <v>2184</v>
      </c>
      <c r="F84" s="148">
        <v>8975</v>
      </c>
      <c r="G84" s="149">
        <v>8873</v>
      </c>
      <c r="H84" s="149">
        <v>204</v>
      </c>
      <c r="I84" s="196"/>
      <c r="J84" s="149">
        <v>8373</v>
      </c>
      <c r="K84" s="149">
        <v>8833</v>
      </c>
      <c r="L84" s="149">
        <v>116</v>
      </c>
      <c r="M84" s="149">
        <v>4932</v>
      </c>
      <c r="N84" s="149">
        <v>22</v>
      </c>
      <c r="O84" s="149">
        <v>5087</v>
      </c>
      <c r="P84" s="224"/>
      <c r="Q84" s="224"/>
      <c r="R84" s="224"/>
      <c r="S84" s="224"/>
      <c r="T84" s="224"/>
      <c r="U84" s="224"/>
      <c r="V84" s="224"/>
      <c r="W84" s="224"/>
      <c r="X84" s="224"/>
      <c r="Y84" s="224"/>
      <c r="Z84" s="224"/>
      <c r="AA84" s="224"/>
      <c r="AB84" s="224"/>
      <c r="AC84" s="224"/>
      <c r="AD84" s="143" t="s">
        <v>2185</v>
      </c>
      <c r="AE84" s="143" t="s">
        <v>2186</v>
      </c>
    </row>
    <row r="85" spans="1:31" ht="24.95" customHeight="1" x14ac:dyDescent="0.2">
      <c r="A85" s="144">
        <v>73</v>
      </c>
      <c r="B85" s="150" t="s">
        <v>2295</v>
      </c>
      <c r="C85" s="146" t="s">
        <v>2183</v>
      </c>
      <c r="D85" s="146" t="s">
        <v>2183</v>
      </c>
      <c r="E85" s="147" t="s">
        <v>2184</v>
      </c>
      <c r="F85" s="148">
        <v>10373</v>
      </c>
      <c r="G85" s="149">
        <v>13693</v>
      </c>
      <c r="H85" s="149">
        <v>227</v>
      </c>
      <c r="I85" s="196"/>
      <c r="J85" s="149">
        <v>10799</v>
      </c>
      <c r="K85" s="149">
        <v>14039</v>
      </c>
      <c r="L85" s="149">
        <v>230</v>
      </c>
      <c r="M85" s="149">
        <v>8817</v>
      </c>
      <c r="N85" s="149">
        <v>8</v>
      </c>
      <c r="O85" s="149">
        <v>7950</v>
      </c>
      <c r="P85" s="224"/>
      <c r="Q85" s="224"/>
      <c r="R85" s="224"/>
      <c r="S85" s="224"/>
      <c r="T85" s="224"/>
      <c r="U85" s="224"/>
      <c r="V85" s="224"/>
      <c r="W85" s="224"/>
      <c r="X85" s="224"/>
      <c r="Y85" s="224"/>
      <c r="Z85" s="224"/>
      <c r="AA85" s="224"/>
      <c r="AB85" s="224"/>
      <c r="AC85" s="224"/>
      <c r="AD85" s="143" t="s">
        <v>2185</v>
      </c>
      <c r="AE85" s="143" t="s">
        <v>2186</v>
      </c>
    </row>
    <row r="86" spans="1:31" ht="24.95" customHeight="1" x14ac:dyDescent="0.2">
      <c r="A86" s="144">
        <v>74</v>
      </c>
      <c r="B86" s="150" t="s">
        <v>2296</v>
      </c>
      <c r="C86" s="146" t="s">
        <v>2183</v>
      </c>
      <c r="D86" s="146" t="s">
        <v>2183</v>
      </c>
      <c r="E86" s="147" t="s">
        <v>2184</v>
      </c>
      <c r="F86" s="148">
        <v>5965</v>
      </c>
      <c r="G86" s="149">
        <v>6057</v>
      </c>
      <c r="H86" s="149">
        <v>88</v>
      </c>
      <c r="I86" s="196"/>
      <c r="J86" s="149">
        <v>5595</v>
      </c>
      <c r="K86" s="149">
        <v>6528</v>
      </c>
      <c r="L86" s="149">
        <v>74</v>
      </c>
      <c r="M86" s="149">
        <v>3454</v>
      </c>
      <c r="N86" s="149">
        <v>12</v>
      </c>
      <c r="O86" s="149">
        <v>4068</v>
      </c>
      <c r="P86" s="224"/>
      <c r="Q86" s="224"/>
      <c r="R86" s="224"/>
      <c r="S86" s="224"/>
      <c r="T86" s="224"/>
      <c r="U86" s="224"/>
      <c r="V86" s="224"/>
      <c r="W86" s="224"/>
      <c r="X86" s="224"/>
      <c r="Y86" s="224"/>
      <c r="Z86" s="224"/>
      <c r="AA86" s="224"/>
      <c r="AB86" s="224"/>
      <c r="AC86" s="224"/>
      <c r="AD86" s="143" t="s">
        <v>2185</v>
      </c>
      <c r="AE86" s="143" t="s">
        <v>2186</v>
      </c>
    </row>
    <row r="87" spans="1:31" ht="24.95" customHeight="1" x14ac:dyDescent="0.2">
      <c r="A87" s="144">
        <v>75</v>
      </c>
      <c r="B87" s="150" t="s">
        <v>2297</v>
      </c>
      <c r="C87" s="146" t="s">
        <v>2298</v>
      </c>
      <c r="D87" s="146" t="s">
        <v>2298</v>
      </c>
      <c r="E87" s="147" t="s">
        <v>2184</v>
      </c>
      <c r="F87" s="148">
        <v>1708</v>
      </c>
      <c r="G87" s="149">
        <v>1586</v>
      </c>
      <c r="H87" s="149">
        <v>13</v>
      </c>
      <c r="I87" s="196"/>
      <c r="J87" s="149">
        <v>1831</v>
      </c>
      <c r="K87" s="149">
        <v>1586</v>
      </c>
      <c r="L87" s="149">
        <v>9</v>
      </c>
      <c r="M87" s="149">
        <v>190</v>
      </c>
      <c r="N87" s="149">
        <v>0</v>
      </c>
      <c r="O87" s="149">
        <v>62</v>
      </c>
      <c r="P87" s="224"/>
      <c r="Q87" s="224"/>
      <c r="R87" s="224"/>
      <c r="S87" s="224"/>
      <c r="T87" s="224"/>
      <c r="U87" s="224"/>
      <c r="V87" s="224"/>
      <c r="W87" s="224"/>
      <c r="X87" s="224"/>
      <c r="Y87" s="224"/>
      <c r="Z87" s="224"/>
      <c r="AA87" s="224"/>
      <c r="AB87" s="224"/>
      <c r="AC87" s="224"/>
      <c r="AD87" s="143" t="s">
        <v>2185</v>
      </c>
      <c r="AE87" s="143" t="s">
        <v>2186</v>
      </c>
    </row>
    <row r="88" spans="1:31" ht="24.95" customHeight="1" x14ac:dyDescent="0.2">
      <c r="A88" s="144">
        <v>76</v>
      </c>
      <c r="B88" s="150" t="s">
        <v>2299</v>
      </c>
      <c r="C88" s="146" t="s">
        <v>2256</v>
      </c>
      <c r="D88" s="146" t="s">
        <v>2256</v>
      </c>
      <c r="E88" s="147" t="s">
        <v>2184</v>
      </c>
      <c r="F88" s="148">
        <v>570</v>
      </c>
      <c r="G88" s="149">
        <v>6420</v>
      </c>
      <c r="H88" s="149">
        <v>0</v>
      </c>
      <c r="I88" s="196"/>
      <c r="J88" s="149">
        <v>645</v>
      </c>
      <c r="K88" s="149">
        <v>6500</v>
      </c>
      <c r="L88" s="149">
        <v>0</v>
      </c>
      <c r="M88" s="149">
        <v>0</v>
      </c>
      <c r="N88" s="149">
        <v>0</v>
      </c>
      <c r="O88" s="149">
        <v>0</v>
      </c>
      <c r="P88" s="224"/>
      <c r="Q88" s="224"/>
      <c r="R88" s="224"/>
      <c r="S88" s="224"/>
      <c r="T88" s="224"/>
      <c r="U88" s="224"/>
      <c r="V88" s="224"/>
      <c r="W88" s="224"/>
      <c r="X88" s="224"/>
      <c r="Y88" s="224"/>
      <c r="Z88" s="224"/>
      <c r="AA88" s="224"/>
      <c r="AB88" s="224"/>
      <c r="AC88" s="224"/>
      <c r="AD88" s="143" t="s">
        <v>2185</v>
      </c>
      <c r="AE88" s="143" t="s">
        <v>2186</v>
      </c>
    </row>
    <row r="89" spans="1:31" ht="24.95" customHeight="1" x14ac:dyDescent="0.2">
      <c r="A89" s="144">
        <v>77</v>
      </c>
      <c r="B89" s="150" t="s">
        <v>2300</v>
      </c>
      <c r="C89" s="146" t="s">
        <v>2301</v>
      </c>
      <c r="D89" s="146" t="s">
        <v>2301</v>
      </c>
      <c r="E89" s="147" t="s">
        <v>2184</v>
      </c>
      <c r="F89" s="148">
        <v>5150</v>
      </c>
      <c r="G89" s="149">
        <v>4450</v>
      </c>
      <c r="H89" s="149">
        <v>74</v>
      </c>
      <c r="I89" s="196"/>
      <c r="J89" s="149">
        <v>5070</v>
      </c>
      <c r="K89" s="149">
        <v>4137</v>
      </c>
      <c r="L89" s="149">
        <v>69</v>
      </c>
      <c r="M89" s="149">
        <v>2286</v>
      </c>
      <c r="N89" s="149">
        <v>0</v>
      </c>
      <c r="O89" s="149">
        <v>2359</v>
      </c>
      <c r="P89" s="224"/>
      <c r="Q89" s="224"/>
      <c r="R89" s="224"/>
      <c r="S89" s="224"/>
      <c r="T89" s="224"/>
      <c r="U89" s="224"/>
      <c r="V89" s="224"/>
      <c r="W89" s="224"/>
      <c r="X89" s="224"/>
      <c r="Y89" s="224"/>
      <c r="Z89" s="224"/>
      <c r="AA89" s="224"/>
      <c r="AB89" s="224"/>
      <c r="AC89" s="224"/>
      <c r="AD89" s="143" t="s">
        <v>2185</v>
      </c>
      <c r="AE89" s="143" t="s">
        <v>2186</v>
      </c>
    </row>
    <row r="90" spans="1:31" ht="24.95" customHeight="1" x14ac:dyDescent="0.2">
      <c r="A90" s="144">
        <v>78</v>
      </c>
      <c r="B90" s="150" t="s">
        <v>2302</v>
      </c>
      <c r="C90" s="146" t="s">
        <v>2183</v>
      </c>
      <c r="D90" s="146" t="s">
        <v>2183</v>
      </c>
      <c r="E90" s="147" t="s">
        <v>2184</v>
      </c>
      <c r="F90" s="148">
        <f>3+3+4714</f>
        <v>4720</v>
      </c>
      <c r="G90" s="149">
        <v>5987</v>
      </c>
      <c r="H90" s="149">
        <v>73</v>
      </c>
      <c r="I90" s="196"/>
      <c r="J90" s="149">
        <v>4805</v>
      </c>
      <c r="K90" s="149">
        <v>5833</v>
      </c>
      <c r="L90" s="149">
        <v>86</v>
      </c>
      <c r="M90" s="149">
        <v>2314</v>
      </c>
      <c r="N90" s="149">
        <v>8</v>
      </c>
      <c r="O90" s="149">
        <v>1932</v>
      </c>
      <c r="P90" s="224"/>
      <c r="Q90" s="224"/>
      <c r="R90" s="224"/>
      <c r="S90" s="224"/>
      <c r="T90" s="224"/>
      <c r="U90" s="224"/>
      <c r="V90" s="224"/>
      <c r="W90" s="224"/>
      <c r="X90" s="224"/>
      <c r="Y90" s="224"/>
      <c r="Z90" s="224"/>
      <c r="AA90" s="224"/>
      <c r="AB90" s="224"/>
      <c r="AC90" s="224"/>
      <c r="AD90" s="143" t="s">
        <v>2185</v>
      </c>
      <c r="AE90" s="143" t="s">
        <v>2186</v>
      </c>
    </row>
    <row r="91" spans="1:31" ht="24.95" customHeight="1" x14ac:dyDescent="0.2">
      <c r="A91" s="144">
        <v>79</v>
      </c>
      <c r="B91" s="150" t="s">
        <v>2303</v>
      </c>
      <c r="C91" s="146" t="s">
        <v>2222</v>
      </c>
      <c r="D91" s="146" t="s">
        <v>2304</v>
      </c>
      <c r="E91" s="147" t="s">
        <v>2265</v>
      </c>
      <c r="F91" s="148">
        <f>499+777+4762+83</f>
        <v>6121</v>
      </c>
      <c r="G91" s="149">
        <v>4711</v>
      </c>
      <c r="H91" s="149">
        <v>15</v>
      </c>
      <c r="I91" s="196"/>
      <c r="J91" s="149">
        <v>6024</v>
      </c>
      <c r="K91" s="149">
        <v>4390</v>
      </c>
      <c r="L91" s="149">
        <v>9</v>
      </c>
      <c r="M91" s="149">
        <v>930</v>
      </c>
      <c r="N91" s="149">
        <v>1</v>
      </c>
      <c r="O91" s="149">
        <v>1229</v>
      </c>
      <c r="P91" s="224"/>
      <c r="Q91" s="224"/>
      <c r="R91" s="224"/>
      <c r="S91" s="224"/>
      <c r="T91" s="224"/>
      <c r="U91" s="224"/>
      <c r="V91" s="224"/>
      <c r="W91" s="224"/>
      <c r="X91" s="224"/>
      <c r="Y91" s="224"/>
      <c r="Z91" s="224"/>
      <c r="AA91" s="224"/>
      <c r="AB91" s="224"/>
      <c r="AC91" s="224"/>
      <c r="AD91" s="143" t="s">
        <v>2185</v>
      </c>
      <c r="AE91" s="143" t="s">
        <v>2186</v>
      </c>
    </row>
    <row r="92" spans="1:31" ht="24.95" customHeight="1" x14ac:dyDescent="0.2">
      <c r="A92" s="144">
        <v>80</v>
      </c>
      <c r="B92" s="150" t="s">
        <v>2305</v>
      </c>
      <c r="C92" s="146" t="s">
        <v>2183</v>
      </c>
      <c r="D92" s="146" t="s">
        <v>2183</v>
      </c>
      <c r="E92" s="147" t="s">
        <v>2184</v>
      </c>
      <c r="F92" s="148">
        <v>4253</v>
      </c>
      <c r="G92" s="149">
        <f>640+3579</f>
        <v>4219</v>
      </c>
      <c r="H92" s="149">
        <v>91</v>
      </c>
      <c r="I92" s="196"/>
      <c r="J92" s="149">
        <v>7893</v>
      </c>
      <c r="K92" s="149">
        <v>7589</v>
      </c>
      <c r="L92" s="149">
        <v>109</v>
      </c>
      <c r="M92" s="149">
        <v>6567</v>
      </c>
      <c r="N92" s="149">
        <v>19</v>
      </c>
      <c r="O92" s="149">
        <v>6902</v>
      </c>
      <c r="P92" s="224"/>
      <c r="Q92" s="224"/>
      <c r="R92" s="224"/>
      <c r="S92" s="224"/>
      <c r="T92" s="224"/>
      <c r="U92" s="224"/>
      <c r="V92" s="224"/>
      <c r="W92" s="224"/>
      <c r="X92" s="224"/>
      <c r="Y92" s="224"/>
      <c r="Z92" s="224"/>
      <c r="AA92" s="224"/>
      <c r="AB92" s="224"/>
      <c r="AC92" s="224"/>
      <c r="AD92" s="143" t="s">
        <v>2185</v>
      </c>
      <c r="AE92" s="143" t="s">
        <v>2254</v>
      </c>
    </row>
    <row r="93" spans="1:31" ht="24.95" customHeight="1" x14ac:dyDescent="0.2">
      <c r="A93" s="144" t="s">
        <v>2306</v>
      </c>
      <c r="B93" s="145" t="s">
        <v>2307</v>
      </c>
      <c r="C93" s="146" t="s">
        <v>2183</v>
      </c>
      <c r="D93" s="146" t="s">
        <v>2183</v>
      </c>
      <c r="E93" s="147" t="s">
        <v>2184</v>
      </c>
      <c r="F93" s="148">
        <v>0</v>
      </c>
      <c r="G93" s="149">
        <v>1968</v>
      </c>
      <c r="H93" s="149">
        <v>5</v>
      </c>
      <c r="I93" s="196"/>
      <c r="J93" s="149">
        <v>0</v>
      </c>
      <c r="K93" s="149">
        <v>1968</v>
      </c>
      <c r="L93" s="149">
        <v>0</v>
      </c>
      <c r="M93" s="149">
        <v>0</v>
      </c>
      <c r="N93" s="149">
        <v>0</v>
      </c>
      <c r="O93" s="149">
        <v>0</v>
      </c>
      <c r="P93" s="224"/>
      <c r="Q93" s="224"/>
      <c r="R93" s="224"/>
      <c r="S93" s="224"/>
      <c r="T93" s="224"/>
      <c r="U93" s="224"/>
      <c r="V93" s="224"/>
      <c r="W93" s="224"/>
      <c r="X93" s="224"/>
      <c r="Y93" s="224"/>
      <c r="Z93" s="224"/>
      <c r="AA93" s="224"/>
      <c r="AB93" s="224"/>
      <c r="AC93" s="224"/>
      <c r="AD93" s="143" t="s">
        <v>2185</v>
      </c>
      <c r="AE93" s="143" t="s">
        <v>2186</v>
      </c>
    </row>
    <row r="94" spans="1:31" ht="24.95" customHeight="1" x14ac:dyDescent="0.2">
      <c r="A94" s="144">
        <v>82</v>
      </c>
      <c r="B94" s="150" t="s">
        <v>2308</v>
      </c>
      <c r="C94" s="146" t="s">
        <v>2309</v>
      </c>
      <c r="D94" s="146" t="s">
        <v>2309</v>
      </c>
      <c r="E94" s="147" t="s">
        <v>2310</v>
      </c>
      <c r="F94" s="148">
        <v>5760</v>
      </c>
      <c r="G94" s="149">
        <v>7130</v>
      </c>
      <c r="H94" s="149">
        <v>132</v>
      </c>
      <c r="I94" s="196"/>
      <c r="J94" s="149">
        <v>6198</v>
      </c>
      <c r="K94" s="149">
        <v>7130</v>
      </c>
      <c r="L94" s="149">
        <v>123</v>
      </c>
      <c r="M94" s="149">
        <v>6285</v>
      </c>
      <c r="N94" s="149">
        <v>1</v>
      </c>
      <c r="O94" s="149">
        <v>6459</v>
      </c>
      <c r="P94" s="224"/>
      <c r="Q94" s="224"/>
      <c r="R94" s="224"/>
      <c r="S94" s="224"/>
      <c r="T94" s="224"/>
      <c r="U94" s="224"/>
      <c r="V94" s="224"/>
      <c r="W94" s="224"/>
      <c r="X94" s="224"/>
      <c r="Y94" s="224"/>
      <c r="Z94" s="224"/>
      <c r="AA94" s="224"/>
      <c r="AB94" s="224"/>
      <c r="AC94" s="224"/>
      <c r="AD94" s="143" t="s">
        <v>2185</v>
      </c>
      <c r="AE94" s="143" t="s">
        <v>2186</v>
      </c>
    </row>
    <row r="95" spans="1:31" ht="24.95" customHeight="1" x14ac:dyDescent="0.2">
      <c r="A95" s="144">
        <v>83</v>
      </c>
      <c r="B95" s="150" t="s">
        <v>2311</v>
      </c>
      <c r="C95" s="146" t="s">
        <v>2312</v>
      </c>
      <c r="D95" s="146" t="s">
        <v>2312</v>
      </c>
      <c r="E95" s="147" t="s">
        <v>2184</v>
      </c>
      <c r="F95" s="148">
        <v>500</v>
      </c>
      <c r="G95" s="149">
        <v>500</v>
      </c>
      <c r="H95" s="149">
        <v>5</v>
      </c>
      <c r="I95" s="196"/>
      <c r="J95" s="149">
        <v>1075</v>
      </c>
      <c r="K95" s="149">
        <v>1075</v>
      </c>
      <c r="L95" s="149">
        <v>8</v>
      </c>
      <c r="M95" s="149">
        <v>408</v>
      </c>
      <c r="N95" s="149">
        <v>6</v>
      </c>
      <c r="O95" s="149">
        <v>392</v>
      </c>
      <c r="P95" s="224"/>
      <c r="Q95" s="224"/>
      <c r="R95" s="224"/>
      <c r="S95" s="224"/>
      <c r="T95" s="224"/>
      <c r="U95" s="224"/>
      <c r="V95" s="224"/>
      <c r="W95" s="224"/>
      <c r="X95" s="224"/>
      <c r="Y95" s="224"/>
      <c r="Z95" s="224"/>
      <c r="AA95" s="224"/>
      <c r="AB95" s="224"/>
      <c r="AC95" s="224"/>
      <c r="AD95" s="143" t="s">
        <v>2185</v>
      </c>
      <c r="AE95" s="143" t="s">
        <v>2186</v>
      </c>
    </row>
    <row r="96" spans="1:31" ht="24.95" customHeight="1" x14ac:dyDescent="0.2">
      <c r="A96" s="144">
        <v>84</v>
      </c>
      <c r="B96" s="150" t="s">
        <v>2313</v>
      </c>
      <c r="C96" s="146" t="s">
        <v>2309</v>
      </c>
      <c r="D96" s="146" t="s">
        <v>2309</v>
      </c>
      <c r="E96" s="147" t="s">
        <v>2223</v>
      </c>
      <c r="F96" s="148">
        <v>7571</v>
      </c>
      <c r="G96" s="149">
        <v>5529</v>
      </c>
      <c r="H96" s="149">
        <v>139</v>
      </c>
      <c r="I96" s="196"/>
      <c r="J96" s="149">
        <v>7961</v>
      </c>
      <c r="K96" s="149">
        <v>7674</v>
      </c>
      <c r="L96" s="149">
        <v>125</v>
      </c>
      <c r="M96" s="149">
        <v>10671</v>
      </c>
      <c r="N96" s="149">
        <v>1</v>
      </c>
      <c r="O96" s="149">
        <v>9532</v>
      </c>
      <c r="P96" s="224"/>
      <c r="Q96" s="224"/>
      <c r="R96" s="224"/>
      <c r="S96" s="224"/>
      <c r="T96" s="224"/>
      <c r="U96" s="224"/>
      <c r="V96" s="224"/>
      <c r="W96" s="224"/>
      <c r="X96" s="224"/>
      <c r="Y96" s="224"/>
      <c r="Z96" s="224"/>
      <c r="AA96" s="224"/>
      <c r="AB96" s="224"/>
      <c r="AC96" s="224"/>
      <c r="AD96" s="143" t="s">
        <v>2185</v>
      </c>
      <c r="AE96" s="143" t="s">
        <v>2186</v>
      </c>
    </row>
    <row r="97" spans="1:31" ht="24.95" customHeight="1" x14ac:dyDescent="0.2">
      <c r="A97" s="144">
        <v>85</v>
      </c>
      <c r="B97" s="150" t="s">
        <v>2314</v>
      </c>
      <c r="C97" s="146" t="s">
        <v>2309</v>
      </c>
      <c r="D97" s="146" t="s">
        <v>2309</v>
      </c>
      <c r="E97" s="147" t="s">
        <v>2223</v>
      </c>
      <c r="F97" s="148">
        <v>2930</v>
      </c>
      <c r="G97" s="149">
        <v>8060</v>
      </c>
      <c r="H97" s="149">
        <v>48</v>
      </c>
      <c r="I97" s="196"/>
      <c r="J97" s="149">
        <v>3028</v>
      </c>
      <c r="K97" s="149">
        <v>8660</v>
      </c>
      <c r="L97" s="149">
        <v>48</v>
      </c>
      <c r="M97" s="149">
        <v>4325</v>
      </c>
      <c r="N97" s="149">
        <v>0</v>
      </c>
      <c r="O97" s="149">
        <v>3959</v>
      </c>
      <c r="P97" s="224"/>
      <c r="Q97" s="224"/>
      <c r="R97" s="224"/>
      <c r="S97" s="224"/>
      <c r="T97" s="224"/>
      <c r="U97" s="224"/>
      <c r="V97" s="224"/>
      <c r="W97" s="224"/>
      <c r="X97" s="224"/>
      <c r="Y97" s="224"/>
      <c r="Z97" s="224"/>
      <c r="AA97" s="224"/>
      <c r="AB97" s="224"/>
      <c r="AC97" s="224"/>
      <c r="AD97" s="143" t="s">
        <v>2185</v>
      </c>
      <c r="AE97" s="143" t="s">
        <v>2186</v>
      </c>
    </row>
    <row r="98" spans="1:31" ht="24.95" customHeight="1" x14ac:dyDescent="0.2">
      <c r="A98" s="144">
        <v>86</v>
      </c>
      <c r="B98" s="150" t="s">
        <v>2315</v>
      </c>
      <c r="C98" s="146" t="s">
        <v>2309</v>
      </c>
      <c r="D98" s="146" t="s">
        <v>2309</v>
      </c>
      <c r="E98" s="147" t="s">
        <v>2184</v>
      </c>
      <c r="F98" s="148">
        <v>4142</v>
      </c>
      <c r="G98" s="149">
        <v>4202</v>
      </c>
      <c r="H98" s="149">
        <v>38</v>
      </c>
      <c r="I98" s="196"/>
      <c r="J98" s="149">
        <v>3600</v>
      </c>
      <c r="K98" s="149">
        <v>4202</v>
      </c>
      <c r="L98" s="149">
        <v>36</v>
      </c>
      <c r="M98" s="149">
        <v>2310</v>
      </c>
      <c r="N98" s="149">
        <v>0</v>
      </c>
      <c r="O98" s="149">
        <v>2174</v>
      </c>
      <c r="P98" s="224"/>
      <c r="Q98" s="224"/>
      <c r="R98" s="224"/>
      <c r="S98" s="224"/>
      <c r="T98" s="224"/>
      <c r="U98" s="224"/>
      <c r="V98" s="224"/>
      <c r="W98" s="224"/>
      <c r="X98" s="224"/>
      <c r="Y98" s="224"/>
      <c r="Z98" s="224"/>
      <c r="AA98" s="224"/>
      <c r="AB98" s="224"/>
      <c r="AC98" s="224"/>
      <c r="AD98" s="143" t="s">
        <v>2185</v>
      </c>
      <c r="AE98" s="143" t="s">
        <v>2186</v>
      </c>
    </row>
    <row r="99" spans="1:31" ht="24.95" customHeight="1" x14ac:dyDescent="0.2">
      <c r="A99" s="144">
        <v>87</v>
      </c>
      <c r="B99" s="150" t="s">
        <v>2316</v>
      </c>
      <c r="C99" s="146" t="s">
        <v>2183</v>
      </c>
      <c r="D99" s="146" t="s">
        <v>2183</v>
      </c>
      <c r="E99" s="147" t="s">
        <v>2265</v>
      </c>
      <c r="F99" s="148">
        <v>3805</v>
      </c>
      <c r="G99" s="149">
        <v>4185</v>
      </c>
      <c r="H99" s="149">
        <v>40</v>
      </c>
      <c r="I99" s="196"/>
      <c r="J99" s="149">
        <v>3738</v>
      </c>
      <c r="K99" s="149">
        <v>4185</v>
      </c>
      <c r="L99" s="149">
        <v>30</v>
      </c>
      <c r="M99" s="149">
        <v>1322</v>
      </c>
      <c r="N99" s="149">
        <v>8</v>
      </c>
      <c r="O99" s="149">
        <v>1442</v>
      </c>
      <c r="P99" s="224"/>
      <c r="Q99" s="224"/>
      <c r="R99" s="224"/>
      <c r="S99" s="224"/>
      <c r="T99" s="224"/>
      <c r="U99" s="224"/>
      <c r="V99" s="224"/>
      <c r="W99" s="224"/>
      <c r="X99" s="224"/>
      <c r="Y99" s="224"/>
      <c r="Z99" s="224"/>
      <c r="AA99" s="224"/>
      <c r="AB99" s="224"/>
      <c r="AC99" s="224"/>
      <c r="AD99" s="143" t="s">
        <v>2185</v>
      </c>
      <c r="AE99" s="143" t="s">
        <v>2254</v>
      </c>
    </row>
    <row r="100" spans="1:31" ht="24.95" customHeight="1" x14ac:dyDescent="0.2">
      <c r="A100" s="144">
        <v>88</v>
      </c>
      <c r="B100" s="150" t="s">
        <v>2317</v>
      </c>
      <c r="C100" s="146" t="s">
        <v>2229</v>
      </c>
      <c r="D100" s="146" t="s">
        <v>2229</v>
      </c>
      <c r="E100" s="147" t="s">
        <v>2310</v>
      </c>
      <c r="F100" s="148">
        <v>2822</v>
      </c>
      <c r="G100" s="149">
        <v>4657</v>
      </c>
      <c r="H100" s="149">
        <v>59</v>
      </c>
      <c r="I100" s="196"/>
      <c r="J100" s="149">
        <v>4247</v>
      </c>
      <c r="K100" s="149">
        <v>4825</v>
      </c>
      <c r="L100" s="149">
        <v>68</v>
      </c>
      <c r="M100" s="149">
        <v>1248</v>
      </c>
      <c r="N100" s="149">
        <v>0</v>
      </c>
      <c r="O100" s="149">
        <v>2135</v>
      </c>
      <c r="P100" s="224"/>
      <c r="Q100" s="224"/>
      <c r="R100" s="224"/>
      <c r="S100" s="224"/>
      <c r="T100" s="224"/>
      <c r="U100" s="224"/>
      <c r="V100" s="224"/>
      <c r="W100" s="224"/>
      <c r="X100" s="224"/>
      <c r="Y100" s="224"/>
      <c r="Z100" s="224"/>
      <c r="AA100" s="224"/>
      <c r="AB100" s="224"/>
      <c r="AC100" s="224"/>
      <c r="AD100" s="143" t="s">
        <v>2185</v>
      </c>
      <c r="AE100" s="143" t="s">
        <v>2186</v>
      </c>
    </row>
    <row r="101" spans="1:31" ht="24.95" customHeight="1" x14ac:dyDescent="0.2">
      <c r="A101" s="144">
        <v>89</v>
      </c>
      <c r="B101" s="150" t="s">
        <v>2318</v>
      </c>
      <c r="C101" s="146" t="s">
        <v>2229</v>
      </c>
      <c r="D101" s="146" t="s">
        <v>2229</v>
      </c>
      <c r="E101" s="147" t="s">
        <v>2223</v>
      </c>
      <c r="F101" s="148">
        <v>3020</v>
      </c>
      <c r="G101" s="149">
        <v>4035</v>
      </c>
      <c r="H101" s="149">
        <v>58</v>
      </c>
      <c r="I101" s="196"/>
      <c r="J101" s="149">
        <v>2888</v>
      </c>
      <c r="K101" s="149">
        <v>4035</v>
      </c>
      <c r="L101" s="149">
        <v>55</v>
      </c>
      <c r="M101" s="149">
        <v>3212</v>
      </c>
      <c r="N101" s="149">
        <v>1</v>
      </c>
      <c r="O101" s="149">
        <v>3393</v>
      </c>
      <c r="P101" s="224"/>
      <c r="Q101" s="224"/>
      <c r="R101" s="224"/>
      <c r="S101" s="224"/>
      <c r="T101" s="224"/>
      <c r="U101" s="224"/>
      <c r="V101" s="224"/>
      <c r="W101" s="224"/>
      <c r="X101" s="224"/>
      <c r="Y101" s="224"/>
      <c r="Z101" s="224"/>
      <c r="AA101" s="224"/>
      <c r="AB101" s="224"/>
      <c r="AC101" s="224"/>
      <c r="AD101" s="143" t="s">
        <v>2185</v>
      </c>
      <c r="AE101" s="143" t="s">
        <v>2186</v>
      </c>
    </row>
    <row r="102" spans="1:31" ht="24.95" customHeight="1" x14ac:dyDescent="0.2">
      <c r="A102" s="144">
        <v>90</v>
      </c>
      <c r="B102" s="145" t="s">
        <v>2319</v>
      </c>
      <c r="C102" s="146" t="s">
        <v>2222</v>
      </c>
      <c r="D102" s="146" t="s">
        <v>2222</v>
      </c>
      <c r="E102" s="147" t="s">
        <v>2223</v>
      </c>
      <c r="F102" s="148">
        <v>3600</v>
      </c>
      <c r="G102" s="149">
        <f>9230-4355</f>
        <v>4875</v>
      </c>
      <c r="H102" s="149">
        <v>67</v>
      </c>
      <c r="I102" s="196"/>
      <c r="J102" s="149">
        <v>3546</v>
      </c>
      <c r="K102" s="149">
        <v>4897</v>
      </c>
      <c r="L102" s="149">
        <v>52</v>
      </c>
      <c r="M102" s="149">
        <v>3659</v>
      </c>
      <c r="N102" s="149">
        <v>0</v>
      </c>
      <c r="O102" s="149">
        <v>3665</v>
      </c>
      <c r="P102" s="224"/>
      <c r="Q102" s="224"/>
      <c r="R102" s="224"/>
      <c r="S102" s="224"/>
      <c r="T102" s="224"/>
      <c r="U102" s="224"/>
      <c r="V102" s="224"/>
      <c r="W102" s="224"/>
      <c r="X102" s="224"/>
      <c r="Y102" s="224"/>
      <c r="Z102" s="224"/>
      <c r="AA102" s="224"/>
      <c r="AB102" s="224"/>
      <c r="AC102" s="224"/>
      <c r="AD102" s="143" t="s">
        <v>2185</v>
      </c>
      <c r="AE102" s="143" t="s">
        <v>2254</v>
      </c>
    </row>
    <row r="103" spans="1:31" ht="24.95" customHeight="1" x14ac:dyDescent="0.2">
      <c r="A103" s="144">
        <v>91</v>
      </c>
      <c r="B103" s="150" t="s">
        <v>2320</v>
      </c>
      <c r="C103" s="146" t="s">
        <v>2222</v>
      </c>
      <c r="D103" s="146" t="s">
        <v>2222</v>
      </c>
      <c r="E103" s="147" t="s">
        <v>2310</v>
      </c>
      <c r="F103" s="148">
        <v>7947</v>
      </c>
      <c r="G103" s="149">
        <v>11240</v>
      </c>
      <c r="H103" s="149">
        <v>225</v>
      </c>
      <c r="I103" s="196"/>
      <c r="J103" s="149">
        <v>8070</v>
      </c>
      <c r="K103" s="149">
        <v>11207</v>
      </c>
      <c r="L103" s="149">
        <v>229</v>
      </c>
      <c r="M103" s="149">
        <v>23498</v>
      </c>
      <c r="N103" s="149">
        <v>2</v>
      </c>
      <c r="O103" s="149">
        <v>17780</v>
      </c>
      <c r="P103" s="224"/>
      <c r="Q103" s="224"/>
      <c r="R103" s="224"/>
      <c r="S103" s="224"/>
      <c r="T103" s="224"/>
      <c r="U103" s="224"/>
      <c r="V103" s="224"/>
      <c r="W103" s="224"/>
      <c r="X103" s="224"/>
      <c r="Y103" s="224"/>
      <c r="Z103" s="224"/>
      <c r="AA103" s="224"/>
      <c r="AB103" s="224"/>
      <c r="AC103" s="224"/>
      <c r="AD103" s="143" t="s">
        <v>2185</v>
      </c>
      <c r="AE103" s="143" t="s">
        <v>2186</v>
      </c>
    </row>
    <row r="104" spans="1:31" ht="24.95" customHeight="1" x14ac:dyDescent="0.2">
      <c r="A104" s="144">
        <v>92</v>
      </c>
      <c r="B104" s="150" t="s">
        <v>2321</v>
      </c>
      <c r="C104" s="146" t="s">
        <v>2322</v>
      </c>
      <c r="D104" s="146" t="s">
        <v>2304</v>
      </c>
      <c r="E104" s="147" t="s">
        <v>2184</v>
      </c>
      <c r="F104" s="148">
        <f>3739+1909</f>
        <v>5648</v>
      </c>
      <c r="G104" s="149">
        <f>1752+3820</f>
        <v>5572</v>
      </c>
      <c r="H104" s="149">
        <v>57</v>
      </c>
      <c r="I104" s="196"/>
      <c r="J104" s="149">
        <v>6827</v>
      </c>
      <c r="K104" s="149">
        <v>6738</v>
      </c>
      <c r="L104" s="149">
        <v>42</v>
      </c>
      <c r="M104" s="149">
        <v>2751</v>
      </c>
      <c r="N104" s="149">
        <v>6</v>
      </c>
      <c r="O104" s="149">
        <v>3322</v>
      </c>
      <c r="P104" s="224"/>
      <c r="Q104" s="224"/>
      <c r="R104" s="224"/>
      <c r="S104" s="224"/>
      <c r="T104" s="224"/>
      <c r="U104" s="224"/>
      <c r="V104" s="224"/>
      <c r="W104" s="224"/>
      <c r="X104" s="224"/>
      <c r="Y104" s="224"/>
      <c r="Z104" s="224"/>
      <c r="AA104" s="224"/>
      <c r="AB104" s="224"/>
      <c r="AC104" s="224"/>
      <c r="AD104" s="143" t="s">
        <v>2185</v>
      </c>
      <c r="AE104" s="143" t="s">
        <v>2186</v>
      </c>
    </row>
    <row r="105" spans="1:31" ht="24.95" customHeight="1" x14ac:dyDescent="0.2">
      <c r="A105" s="144">
        <v>93</v>
      </c>
      <c r="B105" s="150" t="s">
        <v>2323</v>
      </c>
      <c r="C105" s="146" t="s">
        <v>2225</v>
      </c>
      <c r="D105" s="146" t="s">
        <v>2225</v>
      </c>
      <c r="E105" s="147" t="s">
        <v>2184</v>
      </c>
      <c r="F105" s="148">
        <v>6995</v>
      </c>
      <c r="G105" s="149">
        <f>1015+650+5125</f>
        <v>6790</v>
      </c>
      <c r="H105" s="149">
        <v>112</v>
      </c>
      <c r="I105" s="196"/>
      <c r="J105" s="149">
        <v>7163</v>
      </c>
      <c r="K105" s="149">
        <v>7085</v>
      </c>
      <c r="L105" s="149">
        <v>112</v>
      </c>
      <c r="M105" s="149">
        <v>4724</v>
      </c>
      <c r="N105" s="149">
        <v>1</v>
      </c>
      <c r="O105" s="149">
        <v>5181</v>
      </c>
      <c r="P105" s="224"/>
      <c r="Q105" s="224"/>
      <c r="R105" s="224"/>
      <c r="S105" s="224"/>
      <c r="T105" s="224"/>
      <c r="U105" s="224"/>
      <c r="V105" s="224"/>
      <c r="W105" s="224"/>
      <c r="X105" s="224"/>
      <c r="Y105" s="224"/>
      <c r="Z105" s="224"/>
      <c r="AA105" s="224"/>
      <c r="AB105" s="224"/>
      <c r="AC105" s="224"/>
      <c r="AD105" s="143" t="s">
        <v>2185</v>
      </c>
      <c r="AE105" s="143" t="s">
        <v>2186</v>
      </c>
    </row>
    <row r="106" spans="1:31" ht="24.95" customHeight="1" x14ac:dyDescent="0.2">
      <c r="A106" s="144">
        <v>94</v>
      </c>
      <c r="B106" s="150" t="s">
        <v>2324</v>
      </c>
      <c r="C106" s="146" t="s">
        <v>2225</v>
      </c>
      <c r="D106" s="146" t="s">
        <v>2225</v>
      </c>
      <c r="E106" s="147" t="s">
        <v>2223</v>
      </c>
      <c r="F106" s="148">
        <v>5065</v>
      </c>
      <c r="G106" s="149">
        <f>910+4375</f>
        <v>5285</v>
      </c>
      <c r="H106" s="149">
        <v>87</v>
      </c>
      <c r="I106" s="196"/>
      <c r="J106" s="149">
        <v>5851</v>
      </c>
      <c r="K106" s="149">
        <v>5655</v>
      </c>
      <c r="L106" s="149">
        <v>97</v>
      </c>
      <c r="M106" s="149">
        <v>2995</v>
      </c>
      <c r="N106" s="149">
        <v>3</v>
      </c>
      <c r="O106" s="149">
        <v>3574</v>
      </c>
      <c r="P106" s="224"/>
      <c r="Q106" s="224"/>
      <c r="R106" s="224"/>
      <c r="S106" s="224"/>
      <c r="T106" s="224"/>
      <c r="U106" s="224"/>
      <c r="V106" s="224"/>
      <c r="W106" s="224"/>
      <c r="X106" s="224"/>
      <c r="Y106" s="224"/>
      <c r="Z106" s="224"/>
      <c r="AA106" s="224"/>
      <c r="AB106" s="224"/>
      <c r="AC106" s="224"/>
      <c r="AD106" s="143" t="s">
        <v>2185</v>
      </c>
      <c r="AE106" s="143" t="s">
        <v>2186</v>
      </c>
    </row>
    <row r="107" spans="1:31" ht="24.95" customHeight="1" x14ac:dyDescent="0.2">
      <c r="A107" s="144">
        <v>95</v>
      </c>
      <c r="B107" s="150" t="s">
        <v>2325</v>
      </c>
      <c r="C107" s="146" t="s">
        <v>2285</v>
      </c>
      <c r="D107" s="146" t="s">
        <v>2285</v>
      </c>
      <c r="E107" s="147" t="s">
        <v>2223</v>
      </c>
      <c r="F107" s="148">
        <v>8130</v>
      </c>
      <c r="G107" s="149">
        <f>1020+1365+2625</f>
        <v>5010</v>
      </c>
      <c r="H107" s="149">
        <v>106</v>
      </c>
      <c r="I107" s="196"/>
      <c r="J107" s="149">
        <v>8426</v>
      </c>
      <c r="K107" s="149">
        <v>4755</v>
      </c>
      <c r="L107" s="149">
        <v>110</v>
      </c>
      <c r="M107" s="149">
        <v>4678</v>
      </c>
      <c r="N107" s="149">
        <v>0</v>
      </c>
      <c r="O107" s="149">
        <v>6882</v>
      </c>
      <c r="P107" s="224"/>
      <c r="Q107" s="224"/>
      <c r="R107" s="224"/>
      <c r="S107" s="224"/>
      <c r="T107" s="224"/>
      <c r="U107" s="224"/>
      <c r="V107" s="224"/>
      <c r="W107" s="224"/>
      <c r="X107" s="224"/>
      <c r="Y107" s="224"/>
      <c r="Z107" s="224"/>
      <c r="AA107" s="224"/>
      <c r="AB107" s="224"/>
      <c r="AC107" s="224"/>
      <c r="AD107" s="143" t="s">
        <v>2185</v>
      </c>
      <c r="AE107" s="143" t="s">
        <v>2254</v>
      </c>
    </row>
    <row r="108" spans="1:31" ht="24.95" customHeight="1" x14ac:dyDescent="0.2">
      <c r="A108" s="144">
        <v>96</v>
      </c>
      <c r="B108" s="145" t="s">
        <v>2326</v>
      </c>
      <c r="C108" s="146" t="s">
        <v>2285</v>
      </c>
      <c r="D108" s="146" t="s">
        <v>2285</v>
      </c>
      <c r="E108" s="147" t="s">
        <v>2310</v>
      </c>
      <c r="F108" s="148">
        <v>9025</v>
      </c>
      <c r="G108" s="149">
        <v>7425</v>
      </c>
      <c r="H108" s="149">
        <v>125</v>
      </c>
      <c r="I108" s="196"/>
      <c r="J108" s="149">
        <v>11898</v>
      </c>
      <c r="K108" s="149">
        <v>7315</v>
      </c>
      <c r="L108" s="149">
        <v>124</v>
      </c>
      <c r="M108" s="149">
        <v>6709</v>
      </c>
      <c r="N108" s="149">
        <v>0</v>
      </c>
      <c r="O108" s="149">
        <v>9293</v>
      </c>
      <c r="P108" s="224"/>
      <c r="Q108" s="224"/>
      <c r="R108" s="224"/>
      <c r="S108" s="224"/>
      <c r="T108" s="224"/>
      <c r="U108" s="224"/>
      <c r="V108" s="224"/>
      <c r="W108" s="224"/>
      <c r="X108" s="224"/>
      <c r="Y108" s="224"/>
      <c r="Z108" s="224"/>
      <c r="AA108" s="224"/>
      <c r="AB108" s="224"/>
      <c r="AC108" s="224"/>
      <c r="AD108" s="143" t="s">
        <v>2185</v>
      </c>
      <c r="AE108" s="143" t="s">
        <v>2254</v>
      </c>
    </row>
    <row r="109" spans="1:31" ht="24.95" customHeight="1" x14ac:dyDescent="0.2">
      <c r="A109" s="144">
        <v>98</v>
      </c>
      <c r="B109" s="150" t="s">
        <v>2327</v>
      </c>
      <c r="C109" s="146" t="s">
        <v>2250</v>
      </c>
      <c r="D109" s="146" t="s">
        <v>2250</v>
      </c>
      <c r="E109" s="147" t="s">
        <v>2310</v>
      </c>
      <c r="F109" s="148">
        <v>5190</v>
      </c>
      <c r="G109" s="149">
        <v>7275</v>
      </c>
      <c r="H109" s="149">
        <v>128</v>
      </c>
      <c r="I109" s="196"/>
      <c r="J109" s="149">
        <v>5290</v>
      </c>
      <c r="K109" s="149">
        <v>7272</v>
      </c>
      <c r="L109" s="149">
        <v>128</v>
      </c>
      <c r="M109" s="149">
        <v>5766</v>
      </c>
      <c r="N109" s="149">
        <v>3</v>
      </c>
      <c r="O109" s="149">
        <v>4040</v>
      </c>
      <c r="P109" s="224"/>
      <c r="Q109" s="224"/>
      <c r="R109" s="224"/>
      <c r="S109" s="224"/>
      <c r="T109" s="224"/>
      <c r="U109" s="224"/>
      <c r="V109" s="224"/>
      <c r="W109" s="224"/>
      <c r="X109" s="224"/>
      <c r="Y109" s="224"/>
      <c r="Z109" s="224"/>
      <c r="AA109" s="224"/>
      <c r="AB109" s="224"/>
      <c r="AC109" s="224"/>
      <c r="AD109" s="143" t="s">
        <v>2185</v>
      </c>
      <c r="AE109" s="143" t="s">
        <v>2186</v>
      </c>
    </row>
    <row r="110" spans="1:31" ht="24.95" customHeight="1" x14ac:dyDescent="0.2">
      <c r="A110" s="144">
        <v>99</v>
      </c>
      <c r="B110" s="150" t="s">
        <v>2328</v>
      </c>
      <c r="C110" s="146" t="s">
        <v>2250</v>
      </c>
      <c r="D110" s="146" t="s">
        <v>2250</v>
      </c>
      <c r="E110" s="147" t="s">
        <v>2184</v>
      </c>
      <c r="F110" s="148">
        <v>6745</v>
      </c>
      <c r="G110" s="149">
        <v>6580</v>
      </c>
      <c r="H110" s="149">
        <v>178</v>
      </c>
      <c r="I110" s="196"/>
      <c r="J110" s="149">
        <v>6557</v>
      </c>
      <c r="K110" s="149">
        <v>6580</v>
      </c>
      <c r="L110" s="149">
        <v>174</v>
      </c>
      <c r="M110" s="149">
        <v>11193</v>
      </c>
      <c r="N110" s="149">
        <v>2</v>
      </c>
      <c r="O110" s="149">
        <v>9328</v>
      </c>
      <c r="P110" s="224"/>
      <c r="Q110" s="224"/>
      <c r="R110" s="224"/>
      <c r="S110" s="224"/>
      <c r="T110" s="224"/>
      <c r="U110" s="224"/>
      <c r="V110" s="224"/>
      <c r="W110" s="224"/>
      <c r="X110" s="224"/>
      <c r="Y110" s="224"/>
      <c r="Z110" s="224"/>
      <c r="AA110" s="224"/>
      <c r="AB110" s="224"/>
      <c r="AC110" s="224"/>
      <c r="AD110" s="143" t="s">
        <v>2185</v>
      </c>
      <c r="AE110" s="143" t="s">
        <v>2186</v>
      </c>
    </row>
    <row r="111" spans="1:31" ht="24.95" customHeight="1" x14ac:dyDescent="0.2">
      <c r="A111" s="144">
        <v>100</v>
      </c>
      <c r="B111" s="150" t="s">
        <v>2329</v>
      </c>
      <c r="C111" s="146" t="s">
        <v>2250</v>
      </c>
      <c r="D111" s="146" t="s">
        <v>2250</v>
      </c>
      <c r="E111" s="147" t="s">
        <v>2223</v>
      </c>
      <c r="F111" s="148">
        <v>2265</v>
      </c>
      <c r="G111" s="149">
        <v>2220</v>
      </c>
      <c r="H111" s="149">
        <v>45</v>
      </c>
      <c r="I111" s="196"/>
      <c r="J111" s="149">
        <v>2065</v>
      </c>
      <c r="K111" s="149">
        <v>2215</v>
      </c>
      <c r="L111" s="149">
        <v>43</v>
      </c>
      <c r="M111" s="149">
        <v>2965</v>
      </c>
      <c r="N111" s="149">
        <v>0</v>
      </c>
      <c r="O111" s="149">
        <v>2622</v>
      </c>
      <c r="P111" s="224"/>
      <c r="Q111" s="224"/>
      <c r="R111" s="224"/>
      <c r="S111" s="224"/>
      <c r="T111" s="224"/>
      <c r="U111" s="224"/>
      <c r="V111" s="224"/>
      <c r="W111" s="224"/>
      <c r="X111" s="224"/>
      <c r="Y111" s="224"/>
      <c r="Z111" s="224"/>
      <c r="AA111" s="224"/>
      <c r="AB111" s="224"/>
      <c r="AC111" s="224"/>
      <c r="AD111" s="143" t="s">
        <v>2185</v>
      </c>
      <c r="AE111" s="143" t="s">
        <v>2186</v>
      </c>
    </row>
    <row r="112" spans="1:31" ht="24.95" customHeight="1" x14ac:dyDescent="0.2">
      <c r="A112" s="144">
        <v>101</v>
      </c>
      <c r="B112" s="145" t="s">
        <v>2330</v>
      </c>
      <c r="C112" s="146" t="s">
        <v>2250</v>
      </c>
      <c r="D112" s="146" t="s">
        <v>2285</v>
      </c>
      <c r="E112" s="147" t="s">
        <v>2223</v>
      </c>
      <c r="F112" s="148">
        <v>7740</v>
      </c>
      <c r="G112" s="149">
        <v>5775</v>
      </c>
      <c r="H112" s="149">
        <v>102</v>
      </c>
      <c r="I112" s="196"/>
      <c r="J112" s="149">
        <v>6597</v>
      </c>
      <c r="K112" s="149">
        <v>5775</v>
      </c>
      <c r="L112" s="149">
        <v>91</v>
      </c>
      <c r="M112" s="149">
        <v>5454</v>
      </c>
      <c r="N112" s="149">
        <v>1</v>
      </c>
      <c r="O112" s="149">
        <v>6363</v>
      </c>
      <c r="P112" s="224"/>
      <c r="Q112" s="224"/>
      <c r="R112" s="224"/>
      <c r="S112" s="224"/>
      <c r="T112" s="224"/>
      <c r="U112" s="224"/>
      <c r="V112" s="224"/>
      <c r="W112" s="224"/>
      <c r="X112" s="224"/>
      <c r="Y112" s="224"/>
      <c r="Z112" s="224"/>
      <c r="AA112" s="224"/>
      <c r="AB112" s="224"/>
      <c r="AC112" s="224"/>
      <c r="AD112" s="143" t="s">
        <v>2185</v>
      </c>
      <c r="AE112" s="143" t="s">
        <v>2254</v>
      </c>
    </row>
    <row r="113" spans="1:31" ht="24.95" customHeight="1" x14ac:dyDescent="0.2">
      <c r="A113" s="144">
        <v>102</v>
      </c>
      <c r="B113" s="150" t="s">
        <v>2331</v>
      </c>
      <c r="C113" s="146" t="s">
        <v>2250</v>
      </c>
      <c r="D113" s="146" t="s">
        <v>2250</v>
      </c>
      <c r="E113" s="147" t="s">
        <v>2231</v>
      </c>
      <c r="F113" s="148">
        <v>9457</v>
      </c>
      <c r="G113" s="149">
        <v>8815</v>
      </c>
      <c r="H113" s="149">
        <v>162</v>
      </c>
      <c r="I113" s="196"/>
      <c r="J113" s="149">
        <v>8827</v>
      </c>
      <c r="K113" s="149">
        <v>9314</v>
      </c>
      <c r="L113" s="149">
        <v>147</v>
      </c>
      <c r="M113" s="149">
        <v>10629</v>
      </c>
      <c r="N113" s="149">
        <v>0</v>
      </c>
      <c r="O113" s="149">
        <v>10413</v>
      </c>
      <c r="P113" s="224"/>
      <c r="Q113" s="224"/>
      <c r="R113" s="224"/>
      <c r="S113" s="224"/>
      <c r="T113" s="224"/>
      <c r="U113" s="224"/>
      <c r="V113" s="224"/>
      <c r="W113" s="224"/>
      <c r="X113" s="224"/>
      <c r="Y113" s="224"/>
      <c r="Z113" s="224"/>
      <c r="AA113" s="224"/>
      <c r="AB113" s="224"/>
      <c r="AC113" s="224"/>
      <c r="AD113" s="143" t="s">
        <v>2185</v>
      </c>
      <c r="AE113" s="143" t="s">
        <v>2186</v>
      </c>
    </row>
    <row r="114" spans="1:31" ht="24.95" customHeight="1" x14ac:dyDescent="0.2">
      <c r="A114" s="144">
        <v>103</v>
      </c>
      <c r="B114" s="150" t="s">
        <v>2332</v>
      </c>
      <c r="C114" s="146" t="s">
        <v>2194</v>
      </c>
      <c r="D114" s="146" t="s">
        <v>2194</v>
      </c>
      <c r="E114" s="147" t="s">
        <v>2265</v>
      </c>
      <c r="F114" s="148">
        <v>6310</v>
      </c>
      <c r="G114" s="149">
        <v>8267</v>
      </c>
      <c r="H114" s="149">
        <v>94</v>
      </c>
      <c r="I114" s="196"/>
      <c r="J114" s="149">
        <v>6082</v>
      </c>
      <c r="K114" s="149">
        <v>7992</v>
      </c>
      <c r="L114" s="149">
        <v>69</v>
      </c>
      <c r="M114" s="149">
        <v>1481</v>
      </c>
      <c r="N114" s="149">
        <v>13</v>
      </c>
      <c r="O114" s="149">
        <v>1663</v>
      </c>
      <c r="P114" s="224"/>
      <c r="Q114" s="224"/>
      <c r="R114" s="224"/>
      <c r="S114" s="224"/>
      <c r="T114" s="224"/>
      <c r="U114" s="224"/>
      <c r="V114" s="224"/>
      <c r="W114" s="224"/>
      <c r="X114" s="224"/>
      <c r="Y114" s="224"/>
      <c r="Z114" s="224"/>
      <c r="AA114" s="224"/>
      <c r="AB114" s="224"/>
      <c r="AC114" s="224"/>
      <c r="AD114" s="143" t="s">
        <v>2185</v>
      </c>
      <c r="AE114" s="143" t="s">
        <v>2186</v>
      </c>
    </row>
    <row r="115" spans="1:31" ht="24.95" customHeight="1" x14ac:dyDescent="0.2">
      <c r="A115" s="144">
        <v>104</v>
      </c>
      <c r="B115" s="145" t="s">
        <v>2333</v>
      </c>
      <c r="C115" s="146" t="s">
        <v>2194</v>
      </c>
      <c r="D115" s="146" t="s">
        <v>2194</v>
      </c>
      <c r="E115" s="147" t="s">
        <v>2265</v>
      </c>
      <c r="F115" s="148">
        <f>3420+1480</f>
        <v>4900</v>
      </c>
      <c r="G115" s="149">
        <f>7732-34-8</f>
        <v>7690</v>
      </c>
      <c r="H115" s="149">
        <v>54</v>
      </c>
      <c r="I115" s="196"/>
      <c r="J115" s="149">
        <v>6118</v>
      </c>
      <c r="K115" s="149">
        <v>6330</v>
      </c>
      <c r="L115" s="149">
        <v>54</v>
      </c>
      <c r="M115" s="149">
        <v>4983</v>
      </c>
      <c r="N115" s="149">
        <v>0</v>
      </c>
      <c r="O115" s="149">
        <v>3666</v>
      </c>
      <c r="P115" s="224"/>
      <c r="Q115" s="224"/>
      <c r="R115" s="224"/>
      <c r="S115" s="224"/>
      <c r="T115" s="224"/>
      <c r="U115" s="224"/>
      <c r="V115" s="224"/>
      <c r="W115" s="224"/>
      <c r="X115" s="224"/>
      <c r="Y115" s="224"/>
      <c r="Z115" s="224"/>
      <c r="AA115" s="224"/>
      <c r="AB115" s="224"/>
      <c r="AC115" s="224"/>
      <c r="AD115" s="143" t="s">
        <v>2185</v>
      </c>
      <c r="AE115" s="143" t="s">
        <v>2254</v>
      </c>
    </row>
    <row r="116" spans="1:31" ht="24.95" customHeight="1" x14ac:dyDescent="0.2">
      <c r="A116" s="144">
        <v>105</v>
      </c>
      <c r="B116" s="150" t="s">
        <v>2334</v>
      </c>
      <c r="C116" s="146" t="s">
        <v>2247</v>
      </c>
      <c r="D116" s="146" t="s">
        <v>2247</v>
      </c>
      <c r="E116" s="147" t="s">
        <v>2184</v>
      </c>
      <c r="F116" s="148">
        <v>4980</v>
      </c>
      <c r="G116" s="149">
        <v>9670</v>
      </c>
      <c r="H116" s="149">
        <v>45</v>
      </c>
      <c r="I116" s="196"/>
      <c r="J116" s="149">
        <v>4502</v>
      </c>
      <c r="K116" s="149">
        <v>9706</v>
      </c>
      <c r="L116" s="149">
        <v>40</v>
      </c>
      <c r="M116" s="149">
        <v>3770</v>
      </c>
      <c r="N116" s="149">
        <v>1</v>
      </c>
      <c r="O116" s="149">
        <v>4807</v>
      </c>
      <c r="P116" s="224"/>
      <c r="Q116" s="224"/>
      <c r="R116" s="224"/>
      <c r="S116" s="224"/>
      <c r="T116" s="224"/>
      <c r="U116" s="224"/>
      <c r="V116" s="224"/>
      <c r="W116" s="224"/>
      <c r="X116" s="224"/>
      <c r="Y116" s="224"/>
      <c r="Z116" s="224"/>
      <c r="AA116" s="224"/>
      <c r="AB116" s="224"/>
      <c r="AC116" s="224"/>
      <c r="AD116" s="143" t="s">
        <v>2185</v>
      </c>
      <c r="AE116" s="143" t="s">
        <v>2186</v>
      </c>
    </row>
    <row r="117" spans="1:31" ht="24.95" customHeight="1" x14ac:dyDescent="0.2">
      <c r="A117" s="144">
        <v>106</v>
      </c>
      <c r="B117" s="150" t="s">
        <v>2335</v>
      </c>
      <c r="C117" s="146" t="s">
        <v>2194</v>
      </c>
      <c r="D117" s="146" t="s">
        <v>2194</v>
      </c>
      <c r="E117" s="147" t="s">
        <v>2184</v>
      </c>
      <c r="F117" s="148">
        <v>4386</v>
      </c>
      <c r="G117" s="149">
        <v>6278</v>
      </c>
      <c r="H117" s="149">
        <v>80</v>
      </c>
      <c r="I117" s="196"/>
      <c r="J117" s="149">
        <v>3863</v>
      </c>
      <c r="K117" s="149">
        <v>5212</v>
      </c>
      <c r="L117" s="149">
        <v>71</v>
      </c>
      <c r="M117" s="149">
        <v>4550</v>
      </c>
      <c r="N117" s="149">
        <v>2</v>
      </c>
      <c r="O117" s="149">
        <v>4115</v>
      </c>
      <c r="P117" s="224"/>
      <c r="Q117" s="224"/>
      <c r="R117" s="224"/>
      <c r="S117" s="224"/>
      <c r="T117" s="224"/>
      <c r="U117" s="224"/>
      <c r="V117" s="224"/>
      <c r="W117" s="224"/>
      <c r="X117" s="224"/>
      <c r="Y117" s="224"/>
      <c r="Z117" s="224"/>
      <c r="AA117" s="224"/>
      <c r="AB117" s="224"/>
      <c r="AC117" s="224"/>
      <c r="AD117" s="143" t="s">
        <v>2185</v>
      </c>
      <c r="AE117" s="143" t="s">
        <v>2186</v>
      </c>
    </row>
    <row r="118" spans="1:31" ht="24.95" customHeight="1" x14ac:dyDescent="0.2">
      <c r="A118" s="144">
        <v>107</v>
      </c>
      <c r="B118" s="145" t="s">
        <v>2336</v>
      </c>
      <c r="C118" s="146" t="s">
        <v>2222</v>
      </c>
      <c r="D118" s="146" t="s">
        <v>2222</v>
      </c>
      <c r="E118" s="147" t="s">
        <v>2310</v>
      </c>
      <c r="F118" s="148">
        <v>8265</v>
      </c>
      <c r="G118" s="149">
        <f>16926-6890-16</f>
        <v>10020</v>
      </c>
      <c r="H118" s="149">
        <v>106</v>
      </c>
      <c r="I118" s="196"/>
      <c r="J118" s="149">
        <v>9524</v>
      </c>
      <c r="K118" s="149">
        <v>10020</v>
      </c>
      <c r="L118" s="149">
        <v>92</v>
      </c>
      <c r="M118" s="149">
        <v>5911</v>
      </c>
      <c r="N118" s="149">
        <f>104-92</f>
        <v>12</v>
      </c>
      <c r="O118" s="149">
        <v>6204</v>
      </c>
      <c r="P118" s="224"/>
      <c r="Q118" s="224"/>
      <c r="R118" s="224"/>
      <c r="S118" s="224"/>
      <c r="T118" s="224"/>
      <c r="U118" s="224"/>
      <c r="V118" s="224"/>
      <c r="W118" s="224"/>
      <c r="X118" s="224"/>
      <c r="Y118" s="224"/>
      <c r="Z118" s="224"/>
      <c r="AA118" s="224"/>
      <c r="AB118" s="224"/>
      <c r="AC118" s="224"/>
      <c r="AD118" s="143" t="s">
        <v>2185</v>
      </c>
      <c r="AE118" s="143" t="s">
        <v>2254</v>
      </c>
    </row>
    <row r="119" spans="1:31" ht="24.95" customHeight="1" x14ac:dyDescent="0.2">
      <c r="A119" s="144">
        <v>108</v>
      </c>
      <c r="B119" s="145" t="s">
        <v>2337</v>
      </c>
      <c r="C119" s="146" t="s">
        <v>2222</v>
      </c>
      <c r="D119" s="146" t="s">
        <v>2222</v>
      </c>
      <c r="E119" s="147" t="s">
        <v>2310</v>
      </c>
      <c r="F119" s="148">
        <f>3090+1965</f>
        <v>5055</v>
      </c>
      <c r="G119" s="149">
        <f>40+95+370+1+1341+1852+2697</f>
        <v>6396</v>
      </c>
      <c r="H119" s="149">
        <v>60</v>
      </c>
      <c r="I119" s="196"/>
      <c r="J119" s="149">
        <v>0</v>
      </c>
      <c r="K119" s="149">
        <v>0</v>
      </c>
      <c r="L119" s="149">
        <v>0</v>
      </c>
      <c r="M119" s="149">
        <v>0</v>
      </c>
      <c r="N119" s="149">
        <v>0</v>
      </c>
      <c r="O119" s="149">
        <v>0</v>
      </c>
      <c r="P119" s="224"/>
      <c r="Q119" s="224"/>
      <c r="R119" s="224"/>
      <c r="S119" s="224"/>
      <c r="T119" s="224"/>
      <c r="U119" s="224"/>
      <c r="V119" s="224"/>
      <c r="W119" s="224"/>
      <c r="X119" s="224"/>
      <c r="Y119" s="224"/>
      <c r="Z119" s="224"/>
      <c r="AA119" s="224"/>
      <c r="AB119" s="224"/>
      <c r="AC119" s="224"/>
      <c r="AD119" s="143" t="s">
        <v>2185</v>
      </c>
      <c r="AE119" s="143" t="s">
        <v>2254</v>
      </c>
    </row>
    <row r="120" spans="1:31" ht="24.95" customHeight="1" x14ac:dyDescent="0.2">
      <c r="A120" s="144">
        <v>109</v>
      </c>
      <c r="B120" s="150" t="s">
        <v>2338</v>
      </c>
      <c r="C120" s="146" t="s">
        <v>2222</v>
      </c>
      <c r="D120" s="146" t="s">
        <v>2222</v>
      </c>
      <c r="E120" s="147" t="s">
        <v>2223</v>
      </c>
      <c r="F120" s="148">
        <v>1604</v>
      </c>
      <c r="G120" s="149">
        <v>2134</v>
      </c>
      <c r="H120" s="149">
        <v>12</v>
      </c>
      <c r="I120" s="196"/>
      <c r="J120" s="149">
        <v>1351</v>
      </c>
      <c r="K120" s="149">
        <v>3200</v>
      </c>
      <c r="L120" s="149">
        <v>9</v>
      </c>
      <c r="M120" s="149">
        <v>466</v>
      </c>
      <c r="N120" s="149">
        <v>0</v>
      </c>
      <c r="O120" s="149">
        <v>516</v>
      </c>
      <c r="P120" s="224"/>
      <c r="Q120" s="224"/>
      <c r="R120" s="224"/>
      <c r="S120" s="224"/>
      <c r="T120" s="224"/>
      <c r="U120" s="224"/>
      <c r="V120" s="224"/>
      <c r="W120" s="224"/>
      <c r="X120" s="224"/>
      <c r="Y120" s="224"/>
      <c r="Z120" s="224"/>
      <c r="AA120" s="224"/>
      <c r="AB120" s="224"/>
      <c r="AC120" s="224"/>
      <c r="AD120" s="143" t="s">
        <v>2185</v>
      </c>
      <c r="AE120" s="143" t="s">
        <v>2254</v>
      </c>
    </row>
    <row r="121" spans="1:31" ht="24.95" customHeight="1" x14ac:dyDescent="0.2">
      <c r="A121" s="144">
        <v>110</v>
      </c>
      <c r="B121" s="145" t="s">
        <v>2339</v>
      </c>
      <c r="C121" s="146" t="s">
        <v>2222</v>
      </c>
      <c r="D121" s="146" t="s">
        <v>2222</v>
      </c>
      <c r="E121" s="147" t="s">
        <v>2223</v>
      </c>
      <c r="F121" s="148">
        <v>5550</v>
      </c>
      <c r="G121" s="149">
        <f>360+1+3837</f>
        <v>4198</v>
      </c>
      <c r="H121" s="149">
        <v>101</v>
      </c>
      <c r="I121" s="196"/>
      <c r="J121" s="149">
        <v>0</v>
      </c>
      <c r="K121" s="149">
        <v>0</v>
      </c>
      <c r="L121" s="149">
        <v>0</v>
      </c>
      <c r="M121" s="149">
        <v>0</v>
      </c>
      <c r="N121" s="149">
        <v>0</v>
      </c>
      <c r="O121" s="149">
        <v>0</v>
      </c>
      <c r="P121" s="224"/>
      <c r="Q121" s="224"/>
      <c r="R121" s="224"/>
      <c r="S121" s="224"/>
      <c r="T121" s="224"/>
      <c r="U121" s="224"/>
      <c r="V121" s="224"/>
      <c r="W121" s="224"/>
      <c r="X121" s="224"/>
      <c r="Y121" s="224"/>
      <c r="Z121" s="224"/>
      <c r="AA121" s="224"/>
      <c r="AB121" s="224"/>
      <c r="AC121" s="224"/>
      <c r="AD121" s="143" t="s">
        <v>2185</v>
      </c>
      <c r="AE121" s="143" t="s">
        <v>2254</v>
      </c>
    </row>
    <row r="122" spans="1:31" ht="24.95" customHeight="1" x14ac:dyDescent="0.2">
      <c r="A122" s="144">
        <v>111</v>
      </c>
      <c r="B122" s="150" t="s">
        <v>2340</v>
      </c>
      <c r="C122" s="146" t="s">
        <v>2183</v>
      </c>
      <c r="D122" s="146" t="s">
        <v>2183</v>
      </c>
      <c r="E122" s="147" t="s">
        <v>2223</v>
      </c>
      <c r="F122" s="148">
        <v>2061</v>
      </c>
      <c r="G122" s="149">
        <v>2121</v>
      </c>
      <c r="H122" s="149">
        <v>42</v>
      </c>
      <c r="I122" s="196"/>
      <c r="J122" s="149">
        <v>2529</v>
      </c>
      <c r="K122" s="149">
        <v>2121</v>
      </c>
      <c r="L122" s="149">
        <v>34</v>
      </c>
      <c r="M122" s="149">
        <v>2009</v>
      </c>
      <c r="N122" s="149">
        <v>4</v>
      </c>
      <c r="O122" s="149">
        <v>2262</v>
      </c>
      <c r="P122" s="224"/>
      <c r="Q122" s="224"/>
      <c r="R122" s="224"/>
      <c r="S122" s="224"/>
      <c r="T122" s="224"/>
      <c r="U122" s="224"/>
      <c r="V122" s="224"/>
      <c r="W122" s="224"/>
      <c r="X122" s="224"/>
      <c r="Y122" s="224"/>
      <c r="Z122" s="224"/>
      <c r="AA122" s="224"/>
      <c r="AB122" s="224"/>
      <c r="AC122" s="224"/>
      <c r="AD122" s="143" t="s">
        <v>2185</v>
      </c>
      <c r="AE122" s="143" t="s">
        <v>2186</v>
      </c>
    </row>
    <row r="123" spans="1:31" ht="24.95" customHeight="1" x14ac:dyDescent="0.2">
      <c r="A123" s="144">
        <v>112</v>
      </c>
      <c r="B123" s="150" t="s">
        <v>2341</v>
      </c>
      <c r="C123" s="146" t="s">
        <v>2222</v>
      </c>
      <c r="D123" s="146" t="s">
        <v>2222</v>
      </c>
      <c r="E123" s="147" t="s">
        <v>2223</v>
      </c>
      <c r="F123" s="148">
        <v>3506</v>
      </c>
      <c r="G123" s="149">
        <v>5046</v>
      </c>
      <c r="H123" s="149">
        <v>31</v>
      </c>
      <c r="I123" s="196"/>
      <c r="J123" s="149">
        <v>3584</v>
      </c>
      <c r="K123" s="149">
        <v>4756</v>
      </c>
      <c r="L123" s="149">
        <v>19</v>
      </c>
      <c r="M123" s="149">
        <v>787</v>
      </c>
      <c r="N123" s="149">
        <v>2</v>
      </c>
      <c r="O123" s="149">
        <v>1111</v>
      </c>
      <c r="P123" s="224"/>
      <c r="Q123" s="224"/>
      <c r="R123" s="224"/>
      <c r="S123" s="224"/>
      <c r="T123" s="224"/>
      <c r="U123" s="224"/>
      <c r="V123" s="224"/>
      <c r="W123" s="224"/>
      <c r="X123" s="224"/>
      <c r="Y123" s="224"/>
      <c r="Z123" s="224"/>
      <c r="AA123" s="224"/>
      <c r="AB123" s="224"/>
      <c r="AC123" s="224"/>
      <c r="AD123" s="143" t="s">
        <v>2185</v>
      </c>
      <c r="AE123" s="143" t="s">
        <v>2254</v>
      </c>
    </row>
    <row r="124" spans="1:31" ht="24.95" customHeight="1" x14ac:dyDescent="0.2">
      <c r="A124" s="144">
        <v>115</v>
      </c>
      <c r="B124" s="145" t="s">
        <v>2342</v>
      </c>
      <c r="C124" s="146" t="s">
        <v>2183</v>
      </c>
      <c r="D124" s="146" t="s">
        <v>2183</v>
      </c>
      <c r="E124" s="147" t="s">
        <v>2265</v>
      </c>
      <c r="F124" s="148">
        <v>6910</v>
      </c>
      <c r="G124" s="149">
        <f>7093-92</f>
        <v>7001</v>
      </c>
      <c r="H124" s="149">
        <v>143</v>
      </c>
      <c r="I124" s="196"/>
      <c r="J124" s="149">
        <v>6539</v>
      </c>
      <c r="K124" s="149">
        <v>7003</v>
      </c>
      <c r="L124" s="149">
        <v>144</v>
      </c>
      <c r="M124" s="149">
        <v>7770</v>
      </c>
      <c r="N124" s="149">
        <v>1</v>
      </c>
      <c r="O124" s="149">
        <v>7445</v>
      </c>
      <c r="P124" s="224"/>
      <c r="Q124" s="224"/>
      <c r="R124" s="224"/>
      <c r="S124" s="224"/>
      <c r="T124" s="224"/>
      <c r="U124" s="224"/>
      <c r="V124" s="224"/>
      <c r="W124" s="224"/>
      <c r="X124" s="224"/>
      <c r="Y124" s="224"/>
      <c r="Z124" s="224"/>
      <c r="AA124" s="224"/>
      <c r="AB124" s="224"/>
      <c r="AC124" s="224"/>
      <c r="AD124" s="143" t="s">
        <v>2185</v>
      </c>
      <c r="AE124" s="143" t="s">
        <v>2254</v>
      </c>
    </row>
    <row r="125" spans="1:31" ht="24.95" customHeight="1" x14ac:dyDescent="0.2">
      <c r="A125" s="144">
        <v>116</v>
      </c>
      <c r="B125" s="150" t="s">
        <v>2343</v>
      </c>
      <c r="C125" s="146" t="s">
        <v>2183</v>
      </c>
      <c r="D125" s="146" t="s">
        <v>2183</v>
      </c>
      <c r="E125" s="147" t="s">
        <v>2184</v>
      </c>
      <c r="F125" s="148">
        <v>6595</v>
      </c>
      <c r="G125" s="149">
        <v>8085</v>
      </c>
      <c r="H125" s="149">
        <v>122</v>
      </c>
      <c r="I125" s="196"/>
      <c r="J125" s="149">
        <v>6645</v>
      </c>
      <c r="K125" s="149">
        <v>8085</v>
      </c>
      <c r="L125" s="149">
        <v>84</v>
      </c>
      <c r="M125" s="149">
        <v>5127</v>
      </c>
      <c r="N125" s="149">
        <v>26</v>
      </c>
      <c r="O125" s="149">
        <v>5670</v>
      </c>
      <c r="P125" s="224"/>
      <c r="Q125" s="224"/>
      <c r="R125" s="224"/>
      <c r="S125" s="224"/>
      <c r="T125" s="224"/>
      <c r="U125" s="224"/>
      <c r="V125" s="224"/>
      <c r="W125" s="224"/>
      <c r="X125" s="224"/>
      <c r="Y125" s="224"/>
      <c r="Z125" s="224"/>
      <c r="AA125" s="224"/>
      <c r="AB125" s="224"/>
      <c r="AC125" s="224"/>
      <c r="AD125" s="143" t="s">
        <v>2185</v>
      </c>
      <c r="AE125" s="143" t="s">
        <v>2254</v>
      </c>
    </row>
    <row r="126" spans="1:31" ht="24.95" customHeight="1" x14ac:dyDescent="0.2">
      <c r="A126" s="144">
        <v>118</v>
      </c>
      <c r="B126" s="150" t="s">
        <v>2344</v>
      </c>
      <c r="C126" s="146" t="s">
        <v>2237</v>
      </c>
      <c r="D126" s="146" t="s">
        <v>2237</v>
      </c>
      <c r="E126" s="147" t="s">
        <v>2184</v>
      </c>
      <c r="F126" s="148">
        <f>6515+1390</f>
        <v>7905</v>
      </c>
      <c r="G126" s="149">
        <v>9085</v>
      </c>
      <c r="H126" s="149">
        <v>167</v>
      </c>
      <c r="I126" s="196"/>
      <c r="J126" s="149">
        <v>8288</v>
      </c>
      <c r="K126" s="149">
        <v>9072</v>
      </c>
      <c r="L126" s="149">
        <v>156</v>
      </c>
      <c r="M126" s="149">
        <v>9908</v>
      </c>
      <c r="N126" s="149">
        <v>13</v>
      </c>
      <c r="O126" s="149">
        <v>8044</v>
      </c>
      <c r="P126" s="224"/>
      <c r="Q126" s="224"/>
      <c r="R126" s="224"/>
      <c r="S126" s="224"/>
      <c r="T126" s="224"/>
      <c r="U126" s="224"/>
      <c r="V126" s="224"/>
      <c r="W126" s="224"/>
      <c r="X126" s="224"/>
      <c r="Y126" s="224"/>
      <c r="Z126" s="224"/>
      <c r="AA126" s="224"/>
      <c r="AB126" s="224"/>
      <c r="AC126" s="224"/>
      <c r="AD126" s="143" t="s">
        <v>2185</v>
      </c>
      <c r="AE126" s="143" t="s">
        <v>2186</v>
      </c>
    </row>
    <row r="127" spans="1:31" ht="24.95" customHeight="1" x14ac:dyDescent="0.2">
      <c r="A127" s="144">
        <v>119</v>
      </c>
      <c r="B127" s="150" t="s">
        <v>2345</v>
      </c>
      <c r="C127" s="146" t="s">
        <v>2237</v>
      </c>
      <c r="D127" s="146" t="s">
        <v>2237</v>
      </c>
      <c r="E127" s="147" t="s">
        <v>2184</v>
      </c>
      <c r="F127" s="148">
        <v>11530</v>
      </c>
      <c r="G127" s="149">
        <v>13504</v>
      </c>
      <c r="H127" s="149">
        <v>170</v>
      </c>
      <c r="I127" s="196"/>
      <c r="J127" s="149">
        <f>8256+1835</f>
        <v>10091</v>
      </c>
      <c r="K127" s="149">
        <f>2583+123+937+3694+2975+1889+84</f>
        <v>12285</v>
      </c>
      <c r="L127" s="149">
        <v>138</v>
      </c>
      <c r="M127" s="149">
        <v>10178</v>
      </c>
      <c r="N127" s="149">
        <v>19</v>
      </c>
      <c r="O127" s="149">
        <f>6197+3967</f>
        <v>10164</v>
      </c>
      <c r="P127" s="224"/>
      <c r="Q127" s="224"/>
      <c r="R127" s="224"/>
      <c r="S127" s="224"/>
      <c r="T127" s="224"/>
      <c r="U127" s="224"/>
      <c r="V127" s="224"/>
      <c r="W127" s="224"/>
      <c r="X127" s="224"/>
      <c r="Y127" s="224"/>
      <c r="Z127" s="224"/>
      <c r="AA127" s="224"/>
      <c r="AB127" s="224"/>
      <c r="AC127" s="224"/>
      <c r="AD127" s="143" t="s">
        <v>2185</v>
      </c>
      <c r="AE127" s="143" t="s">
        <v>2186</v>
      </c>
    </row>
    <row r="128" spans="1:31" ht="24.95" customHeight="1" x14ac:dyDescent="0.2">
      <c r="A128" s="144">
        <v>120</v>
      </c>
      <c r="B128" s="145" t="s">
        <v>2346</v>
      </c>
      <c r="C128" s="146" t="s">
        <v>2183</v>
      </c>
      <c r="D128" s="146" t="s">
        <v>2237</v>
      </c>
      <c r="E128" s="147" t="s">
        <v>2265</v>
      </c>
      <c r="F128" s="148">
        <v>2455</v>
      </c>
      <c r="G128" s="149">
        <v>2615</v>
      </c>
      <c r="H128" s="149">
        <v>21</v>
      </c>
      <c r="I128" s="196"/>
      <c r="J128" s="149">
        <v>2465</v>
      </c>
      <c r="K128" s="149">
        <v>2615</v>
      </c>
      <c r="L128" s="149">
        <v>0</v>
      </c>
      <c r="M128" s="149">
        <v>1402</v>
      </c>
      <c r="N128" s="149">
        <v>1</v>
      </c>
      <c r="O128" s="149">
        <v>1415</v>
      </c>
      <c r="P128" s="224"/>
      <c r="Q128" s="224"/>
      <c r="R128" s="224"/>
      <c r="S128" s="224"/>
      <c r="T128" s="224"/>
      <c r="U128" s="224"/>
      <c r="V128" s="224"/>
      <c r="W128" s="224"/>
      <c r="X128" s="224"/>
      <c r="Y128" s="224"/>
      <c r="Z128" s="224"/>
      <c r="AA128" s="224"/>
      <c r="AB128" s="224"/>
      <c r="AC128" s="224"/>
      <c r="AD128" s="143" t="s">
        <v>2347</v>
      </c>
      <c r="AE128" s="143" t="s">
        <v>2254</v>
      </c>
    </row>
    <row r="129" spans="1:31" ht="24.95" customHeight="1" x14ac:dyDescent="0.2">
      <c r="A129" s="144">
        <v>121</v>
      </c>
      <c r="B129" s="145" t="s">
        <v>2348</v>
      </c>
      <c r="C129" s="146" t="s">
        <v>2183</v>
      </c>
      <c r="D129" s="146" t="s">
        <v>2237</v>
      </c>
      <c r="E129" s="147" t="s">
        <v>2265</v>
      </c>
      <c r="F129" s="148">
        <v>3590</v>
      </c>
      <c r="G129" s="149">
        <v>4360</v>
      </c>
      <c r="H129" s="149">
        <v>45</v>
      </c>
      <c r="I129" s="196"/>
      <c r="J129" s="149">
        <v>3685</v>
      </c>
      <c r="K129" s="149">
        <v>4360</v>
      </c>
      <c r="L129" s="149">
        <v>0</v>
      </c>
      <c r="M129" s="149">
        <v>2979</v>
      </c>
      <c r="N129" s="149">
        <v>7</v>
      </c>
      <c r="O129" s="149">
        <v>2674</v>
      </c>
      <c r="P129" s="224"/>
      <c r="Q129" s="224"/>
      <c r="R129" s="224"/>
      <c r="S129" s="224"/>
      <c r="T129" s="224"/>
      <c r="U129" s="224"/>
      <c r="V129" s="224"/>
      <c r="W129" s="224"/>
      <c r="X129" s="224"/>
      <c r="Y129" s="224"/>
      <c r="Z129" s="224"/>
      <c r="AA129" s="224"/>
      <c r="AB129" s="224"/>
      <c r="AC129" s="224"/>
      <c r="AD129" s="143" t="s">
        <v>2347</v>
      </c>
      <c r="AE129" s="143" t="s">
        <v>2254</v>
      </c>
    </row>
    <row r="130" spans="1:31" ht="24.95" customHeight="1" x14ac:dyDescent="0.2">
      <c r="A130" s="144">
        <v>122</v>
      </c>
      <c r="B130" s="150" t="s">
        <v>2349</v>
      </c>
      <c r="C130" s="146" t="s">
        <v>2275</v>
      </c>
      <c r="D130" s="146" t="s">
        <v>2275</v>
      </c>
      <c r="E130" s="147" t="s">
        <v>2223</v>
      </c>
      <c r="F130" s="148">
        <v>7625</v>
      </c>
      <c r="G130" s="149">
        <v>8240</v>
      </c>
      <c r="H130" s="149">
        <v>128</v>
      </c>
      <c r="I130" s="196"/>
      <c r="J130" s="149">
        <v>8292</v>
      </c>
      <c r="K130" s="149">
        <v>8240</v>
      </c>
      <c r="L130" s="149">
        <v>98</v>
      </c>
      <c r="M130" s="149">
        <v>4226</v>
      </c>
      <c r="N130" s="149">
        <v>12</v>
      </c>
      <c r="O130" s="149">
        <v>5190</v>
      </c>
      <c r="P130" s="224"/>
      <c r="Q130" s="224"/>
      <c r="R130" s="224"/>
      <c r="S130" s="224"/>
      <c r="T130" s="224"/>
      <c r="U130" s="224"/>
      <c r="V130" s="224"/>
      <c r="W130" s="224"/>
      <c r="X130" s="224"/>
      <c r="Y130" s="224"/>
      <c r="Z130" s="224"/>
      <c r="AA130" s="224"/>
      <c r="AB130" s="224"/>
      <c r="AC130" s="224"/>
      <c r="AD130" s="143" t="s">
        <v>2185</v>
      </c>
      <c r="AE130" s="143" t="s">
        <v>2186</v>
      </c>
    </row>
    <row r="131" spans="1:31" ht="24.95" customHeight="1" x14ac:dyDescent="0.2">
      <c r="A131" s="144">
        <v>123</v>
      </c>
      <c r="B131" s="145" t="s">
        <v>2350</v>
      </c>
      <c r="C131" s="146" t="s">
        <v>2215</v>
      </c>
      <c r="D131" s="146" t="s">
        <v>2215</v>
      </c>
      <c r="E131" s="147" t="s">
        <v>2184</v>
      </c>
      <c r="F131" s="148">
        <f>505+7500</f>
        <v>8005</v>
      </c>
      <c r="G131" s="149">
        <v>9830</v>
      </c>
      <c r="H131" s="149">
        <v>104</v>
      </c>
      <c r="I131" s="196"/>
      <c r="J131" s="149">
        <v>8016</v>
      </c>
      <c r="K131" s="149">
        <v>9830</v>
      </c>
      <c r="L131" s="149">
        <v>87</v>
      </c>
      <c r="M131" s="149">
        <v>3821</v>
      </c>
      <c r="N131" s="149">
        <v>12</v>
      </c>
      <c r="O131" s="149">
        <v>3369</v>
      </c>
      <c r="P131" s="224"/>
      <c r="Q131" s="224"/>
      <c r="R131" s="224"/>
      <c r="S131" s="224"/>
      <c r="T131" s="224"/>
      <c r="U131" s="224"/>
      <c r="V131" s="224"/>
      <c r="W131" s="224"/>
      <c r="X131" s="224"/>
      <c r="Y131" s="224"/>
      <c r="Z131" s="224"/>
      <c r="AA131" s="224"/>
      <c r="AB131" s="224"/>
      <c r="AC131" s="224"/>
      <c r="AD131" s="143" t="s">
        <v>2185</v>
      </c>
      <c r="AE131" s="143" t="s">
        <v>2254</v>
      </c>
    </row>
    <row r="132" spans="1:31" ht="24.95" customHeight="1" x14ac:dyDescent="0.2">
      <c r="A132" s="144">
        <v>124</v>
      </c>
      <c r="B132" s="150" t="s">
        <v>2351</v>
      </c>
      <c r="C132" s="146" t="s">
        <v>2237</v>
      </c>
      <c r="D132" s="146" t="s">
        <v>2237</v>
      </c>
      <c r="E132" s="147" t="s">
        <v>2184</v>
      </c>
      <c r="F132" s="148">
        <v>6064</v>
      </c>
      <c r="G132" s="149">
        <v>6805</v>
      </c>
      <c r="H132" s="149">
        <v>109</v>
      </c>
      <c r="I132" s="196"/>
      <c r="J132" s="149">
        <v>5853</v>
      </c>
      <c r="K132" s="149">
        <v>7371</v>
      </c>
      <c r="L132" s="149">
        <v>93</v>
      </c>
      <c r="M132" s="149">
        <v>5559</v>
      </c>
      <c r="N132" s="149">
        <v>14</v>
      </c>
      <c r="O132" s="149">
        <v>5668</v>
      </c>
      <c r="P132" s="224"/>
      <c r="Q132" s="224"/>
      <c r="R132" s="224"/>
      <c r="S132" s="224"/>
      <c r="T132" s="224"/>
      <c r="U132" s="224"/>
      <c r="V132" s="224"/>
      <c r="W132" s="224"/>
      <c r="X132" s="224"/>
      <c r="Y132" s="224"/>
      <c r="Z132" s="224"/>
      <c r="AA132" s="224"/>
      <c r="AB132" s="224"/>
      <c r="AC132" s="224"/>
      <c r="AD132" s="143" t="s">
        <v>2185</v>
      </c>
      <c r="AE132" s="143" t="s">
        <v>2186</v>
      </c>
    </row>
    <row r="133" spans="1:31" ht="24.95" customHeight="1" x14ac:dyDescent="0.2">
      <c r="A133" s="144">
        <v>125</v>
      </c>
      <c r="B133" s="145" t="s">
        <v>2352</v>
      </c>
      <c r="C133" s="146" t="s">
        <v>2215</v>
      </c>
      <c r="D133" s="146" t="s">
        <v>2258</v>
      </c>
      <c r="E133" s="147" t="s">
        <v>2265</v>
      </c>
      <c r="F133" s="148">
        <v>4765</v>
      </c>
      <c r="G133" s="149">
        <v>4915</v>
      </c>
      <c r="H133" s="149">
        <v>149</v>
      </c>
      <c r="I133" s="196"/>
      <c r="J133" s="149">
        <v>4730</v>
      </c>
      <c r="K133" s="149">
        <v>4643</v>
      </c>
      <c r="L133" s="149">
        <v>124</v>
      </c>
      <c r="M133" s="149">
        <v>6418</v>
      </c>
      <c r="N133" s="149">
        <v>25</v>
      </c>
      <c r="O133" s="149">
        <v>8099</v>
      </c>
      <c r="P133" s="224"/>
      <c r="Q133" s="224"/>
      <c r="R133" s="224"/>
      <c r="S133" s="224"/>
      <c r="T133" s="224"/>
      <c r="U133" s="224"/>
      <c r="V133" s="224"/>
      <c r="W133" s="224"/>
      <c r="X133" s="224"/>
      <c r="Y133" s="224"/>
      <c r="Z133" s="224"/>
      <c r="AA133" s="224"/>
      <c r="AB133" s="224"/>
      <c r="AC133" s="224"/>
      <c r="AD133" s="143" t="s">
        <v>2185</v>
      </c>
      <c r="AE133" s="143" t="s">
        <v>2254</v>
      </c>
    </row>
    <row r="134" spans="1:31" ht="24.95" customHeight="1" x14ac:dyDescent="0.2">
      <c r="A134" s="144">
        <v>126</v>
      </c>
      <c r="B134" s="150" t="s">
        <v>2353</v>
      </c>
      <c r="C134" s="146" t="s">
        <v>2215</v>
      </c>
      <c r="D134" s="146" t="s">
        <v>2215</v>
      </c>
      <c r="E134" s="147" t="s">
        <v>2184</v>
      </c>
      <c r="F134" s="148">
        <v>8599</v>
      </c>
      <c r="G134" s="149">
        <v>13967</v>
      </c>
      <c r="H134" s="149">
        <v>197</v>
      </c>
      <c r="I134" s="196"/>
      <c r="J134" s="149">
        <v>8889</v>
      </c>
      <c r="K134" s="149">
        <v>14349</v>
      </c>
      <c r="L134" s="149">
        <v>160</v>
      </c>
      <c r="M134" s="149">
        <v>9137</v>
      </c>
      <c r="N134" s="149">
        <v>34</v>
      </c>
      <c r="O134" s="149">
        <v>10954</v>
      </c>
      <c r="P134" s="224"/>
      <c r="Q134" s="224"/>
      <c r="R134" s="224"/>
      <c r="S134" s="224"/>
      <c r="T134" s="224"/>
      <c r="U134" s="224"/>
      <c r="V134" s="224"/>
      <c r="W134" s="224"/>
      <c r="X134" s="224"/>
      <c r="Y134" s="224"/>
      <c r="Z134" s="224"/>
      <c r="AA134" s="224"/>
      <c r="AB134" s="224"/>
      <c r="AC134" s="224"/>
      <c r="AD134" s="143" t="s">
        <v>2185</v>
      </c>
      <c r="AE134" s="143" t="s">
        <v>2254</v>
      </c>
    </row>
    <row r="135" spans="1:31" ht="24.95" customHeight="1" x14ac:dyDescent="0.2">
      <c r="A135" s="144">
        <v>127</v>
      </c>
      <c r="B135" s="150" t="s">
        <v>2354</v>
      </c>
      <c r="C135" s="146" t="s">
        <v>2256</v>
      </c>
      <c r="D135" s="146" t="s">
        <v>2282</v>
      </c>
      <c r="E135" s="147" t="s">
        <v>2184</v>
      </c>
      <c r="F135" s="148">
        <v>4727</v>
      </c>
      <c r="G135" s="149">
        <v>5400</v>
      </c>
      <c r="H135" s="149">
        <v>80</v>
      </c>
      <c r="I135" s="196"/>
      <c r="J135" s="149">
        <v>4723</v>
      </c>
      <c r="K135" s="149">
        <v>6540</v>
      </c>
      <c r="L135" s="149">
        <v>74</v>
      </c>
      <c r="M135" s="149">
        <v>4537</v>
      </c>
      <c r="N135" s="149">
        <v>4</v>
      </c>
      <c r="O135" s="149">
        <v>2936</v>
      </c>
      <c r="P135" s="224"/>
      <c r="Q135" s="224"/>
      <c r="R135" s="224"/>
      <c r="S135" s="224"/>
      <c r="T135" s="224"/>
      <c r="U135" s="224"/>
      <c r="V135" s="224"/>
      <c r="W135" s="224"/>
      <c r="X135" s="224"/>
      <c r="Y135" s="224"/>
      <c r="Z135" s="224"/>
      <c r="AA135" s="224"/>
      <c r="AB135" s="224"/>
      <c r="AC135" s="224"/>
      <c r="AD135" s="143" t="s">
        <v>2185</v>
      </c>
      <c r="AE135" s="143" t="s">
        <v>2186</v>
      </c>
    </row>
    <row r="136" spans="1:31" ht="24.95" customHeight="1" x14ac:dyDescent="0.2">
      <c r="A136" s="144">
        <v>129</v>
      </c>
      <c r="B136" s="150" t="s">
        <v>2355</v>
      </c>
      <c r="C136" s="146" t="s">
        <v>2222</v>
      </c>
      <c r="D136" s="146" t="s">
        <v>2222</v>
      </c>
      <c r="E136" s="147" t="s">
        <v>2223</v>
      </c>
      <c r="F136" s="148">
        <v>5550</v>
      </c>
      <c r="G136" s="149">
        <v>7305</v>
      </c>
      <c r="H136" s="149">
        <v>61</v>
      </c>
      <c r="I136" s="196"/>
      <c r="J136" s="149">
        <v>5784</v>
      </c>
      <c r="K136" s="149">
        <v>8485</v>
      </c>
      <c r="L136" s="149">
        <v>45</v>
      </c>
      <c r="M136" s="149">
        <v>3422</v>
      </c>
      <c r="N136" s="149">
        <v>3</v>
      </c>
      <c r="O136" s="149">
        <v>2132</v>
      </c>
      <c r="P136" s="224"/>
      <c r="Q136" s="224"/>
      <c r="R136" s="224"/>
      <c r="S136" s="224"/>
      <c r="T136" s="224"/>
      <c r="U136" s="224"/>
      <c r="V136" s="224"/>
      <c r="W136" s="224"/>
      <c r="X136" s="224"/>
      <c r="Y136" s="224"/>
      <c r="Z136" s="224"/>
      <c r="AA136" s="224"/>
      <c r="AB136" s="224"/>
      <c r="AC136" s="224"/>
      <c r="AD136" s="143" t="s">
        <v>2185</v>
      </c>
      <c r="AE136" s="143" t="s">
        <v>2254</v>
      </c>
    </row>
    <row r="137" spans="1:31" ht="24.95" customHeight="1" x14ac:dyDescent="0.2">
      <c r="A137" s="144">
        <v>130</v>
      </c>
      <c r="B137" s="145" t="s">
        <v>2356</v>
      </c>
      <c r="C137" s="146" t="s">
        <v>2222</v>
      </c>
      <c r="D137" s="146" t="s">
        <v>2222</v>
      </c>
      <c r="E137" s="147" t="s">
        <v>2310</v>
      </c>
      <c r="F137" s="148">
        <v>4145</v>
      </c>
      <c r="G137" s="149">
        <v>5055</v>
      </c>
      <c r="H137" s="149">
        <v>36</v>
      </c>
      <c r="I137" s="196"/>
      <c r="J137" s="149">
        <v>9008</v>
      </c>
      <c r="K137" s="149">
        <v>8248</v>
      </c>
      <c r="L137" s="149">
        <v>92</v>
      </c>
      <c r="M137" s="149">
        <v>4158</v>
      </c>
      <c r="N137" s="149">
        <v>5</v>
      </c>
      <c r="O137" s="149">
        <v>5524</v>
      </c>
      <c r="P137" s="224"/>
      <c r="Q137" s="224"/>
      <c r="R137" s="224"/>
      <c r="S137" s="224"/>
      <c r="T137" s="224"/>
      <c r="U137" s="224"/>
      <c r="V137" s="224"/>
      <c r="W137" s="224"/>
      <c r="X137" s="224"/>
      <c r="Y137" s="224"/>
      <c r="Z137" s="224"/>
      <c r="AA137" s="224"/>
      <c r="AB137" s="224"/>
      <c r="AC137" s="224"/>
      <c r="AD137" s="143" t="s">
        <v>2185</v>
      </c>
      <c r="AE137" s="143" t="s">
        <v>2254</v>
      </c>
    </row>
    <row r="138" spans="1:31" ht="24.95" customHeight="1" x14ac:dyDescent="0.2">
      <c r="A138" s="144">
        <v>131</v>
      </c>
      <c r="B138" s="150" t="s">
        <v>2357</v>
      </c>
      <c r="C138" s="146" t="s">
        <v>2215</v>
      </c>
      <c r="D138" s="146" t="s">
        <v>2215</v>
      </c>
      <c r="E138" s="147" t="s">
        <v>2184</v>
      </c>
      <c r="F138" s="148">
        <v>3300</v>
      </c>
      <c r="G138" s="149">
        <v>5300</v>
      </c>
      <c r="H138" s="149">
        <v>50</v>
      </c>
      <c r="I138" s="196"/>
      <c r="J138" s="149">
        <v>3244</v>
      </c>
      <c r="K138" s="149">
        <v>5300</v>
      </c>
      <c r="L138" s="149">
        <v>48</v>
      </c>
      <c r="M138" s="149">
        <v>1940</v>
      </c>
      <c r="N138" s="149">
        <v>0</v>
      </c>
      <c r="O138" s="149">
        <v>2249</v>
      </c>
      <c r="P138" s="224"/>
      <c r="Q138" s="224"/>
      <c r="R138" s="224"/>
      <c r="S138" s="224"/>
      <c r="T138" s="224"/>
      <c r="U138" s="224"/>
      <c r="V138" s="224"/>
      <c r="W138" s="224"/>
      <c r="X138" s="224"/>
      <c r="Y138" s="224"/>
      <c r="Z138" s="224"/>
      <c r="AA138" s="224"/>
      <c r="AB138" s="224"/>
      <c r="AC138" s="224"/>
      <c r="AD138" s="143" t="s">
        <v>2185</v>
      </c>
      <c r="AE138" s="143" t="s">
        <v>2186</v>
      </c>
    </row>
    <row r="139" spans="1:31" ht="24.95" customHeight="1" x14ac:dyDescent="0.2">
      <c r="A139" s="144">
        <v>132</v>
      </c>
      <c r="B139" s="150" t="s">
        <v>2358</v>
      </c>
      <c r="C139" s="146" t="s">
        <v>2222</v>
      </c>
      <c r="D139" s="146" t="s">
        <v>2222</v>
      </c>
      <c r="E139" s="147" t="s">
        <v>2223</v>
      </c>
      <c r="F139" s="148">
        <v>3721</v>
      </c>
      <c r="G139" s="149">
        <v>4791</v>
      </c>
      <c r="H139" s="149">
        <v>36</v>
      </c>
      <c r="I139" s="196"/>
      <c r="J139" s="149">
        <v>2858</v>
      </c>
      <c r="K139" s="149">
        <v>5070</v>
      </c>
      <c r="L139" s="149">
        <v>26</v>
      </c>
      <c r="M139" s="149">
        <v>1685</v>
      </c>
      <c r="N139" s="149">
        <v>4</v>
      </c>
      <c r="O139" s="149">
        <v>1745</v>
      </c>
      <c r="P139" s="224"/>
      <c r="Q139" s="224"/>
      <c r="R139" s="224"/>
      <c r="S139" s="224"/>
      <c r="T139" s="224"/>
      <c r="U139" s="224"/>
      <c r="V139" s="224"/>
      <c r="W139" s="224"/>
      <c r="X139" s="224"/>
      <c r="Y139" s="224"/>
      <c r="Z139" s="224"/>
      <c r="AA139" s="224"/>
      <c r="AB139" s="224"/>
      <c r="AC139" s="224"/>
      <c r="AD139" s="143" t="s">
        <v>2185</v>
      </c>
      <c r="AE139" s="143" t="s">
        <v>2254</v>
      </c>
    </row>
    <row r="140" spans="1:31" ht="24.95" customHeight="1" x14ac:dyDescent="0.2">
      <c r="A140" s="144">
        <v>133</v>
      </c>
      <c r="B140" s="150" t="s">
        <v>2359</v>
      </c>
      <c r="C140" s="146" t="s">
        <v>2229</v>
      </c>
      <c r="D140" s="146" t="s">
        <v>2229</v>
      </c>
      <c r="E140" s="147" t="s">
        <v>2310</v>
      </c>
      <c r="F140" s="148">
        <v>2263</v>
      </c>
      <c r="G140" s="149">
        <v>3078</v>
      </c>
      <c r="H140" s="149">
        <v>34</v>
      </c>
      <c r="I140" s="196"/>
      <c r="J140" s="149">
        <v>2270</v>
      </c>
      <c r="K140" s="149">
        <v>3481</v>
      </c>
      <c r="L140" s="149">
        <v>26</v>
      </c>
      <c r="M140" s="149">
        <v>949</v>
      </c>
      <c r="N140" s="149">
        <v>2</v>
      </c>
      <c r="O140" s="149">
        <v>3126</v>
      </c>
      <c r="P140" s="224"/>
      <c r="Q140" s="224"/>
      <c r="R140" s="224"/>
      <c r="S140" s="224"/>
      <c r="T140" s="224"/>
      <c r="U140" s="224"/>
      <c r="V140" s="224"/>
      <c r="W140" s="224"/>
      <c r="X140" s="224"/>
      <c r="Y140" s="224"/>
      <c r="Z140" s="224"/>
      <c r="AA140" s="224"/>
      <c r="AB140" s="224"/>
      <c r="AC140" s="224"/>
      <c r="AD140" s="143" t="s">
        <v>2185</v>
      </c>
      <c r="AE140" s="143" t="s">
        <v>2186</v>
      </c>
    </row>
    <row r="141" spans="1:31" ht="24.95" customHeight="1" x14ac:dyDescent="0.2">
      <c r="A141" s="144">
        <v>134</v>
      </c>
      <c r="B141" s="150" t="s">
        <v>2360</v>
      </c>
      <c r="C141" s="146" t="s">
        <v>2222</v>
      </c>
      <c r="D141" s="146" t="s">
        <v>2222</v>
      </c>
      <c r="E141" s="147" t="s">
        <v>2223</v>
      </c>
      <c r="F141" s="148">
        <v>2671</v>
      </c>
      <c r="G141" s="149">
        <v>8163</v>
      </c>
      <c r="H141" s="149">
        <v>28</v>
      </c>
      <c r="I141" s="196"/>
      <c r="J141" s="149">
        <v>2258</v>
      </c>
      <c r="K141" s="149">
        <v>8458</v>
      </c>
      <c r="L141" s="149">
        <v>12</v>
      </c>
      <c r="M141" s="149">
        <v>484</v>
      </c>
      <c r="N141" s="149">
        <v>0</v>
      </c>
      <c r="O141" s="149">
        <v>480</v>
      </c>
      <c r="P141" s="224"/>
      <c r="Q141" s="224"/>
      <c r="R141" s="224"/>
      <c r="S141" s="224"/>
      <c r="T141" s="224"/>
      <c r="U141" s="224"/>
      <c r="V141" s="224"/>
      <c r="W141" s="224"/>
      <c r="X141" s="224"/>
      <c r="Y141" s="224"/>
      <c r="Z141" s="224"/>
      <c r="AA141" s="224"/>
      <c r="AB141" s="224"/>
      <c r="AC141" s="224"/>
      <c r="AD141" s="143" t="s">
        <v>2185</v>
      </c>
      <c r="AE141" s="143" t="s">
        <v>2186</v>
      </c>
    </row>
    <row r="142" spans="1:31" ht="24.95" customHeight="1" x14ac:dyDescent="0.2">
      <c r="A142" s="144">
        <v>136</v>
      </c>
      <c r="B142" s="145" t="s">
        <v>2361</v>
      </c>
      <c r="C142" s="146" t="s">
        <v>2215</v>
      </c>
      <c r="D142" s="146" t="s">
        <v>2253</v>
      </c>
      <c r="E142" s="147" t="s">
        <v>2265</v>
      </c>
      <c r="F142" s="148">
        <v>7945</v>
      </c>
      <c r="G142" s="149">
        <v>7275</v>
      </c>
      <c r="H142" s="149">
        <v>130</v>
      </c>
      <c r="I142" s="196"/>
      <c r="J142" s="149">
        <v>7412</v>
      </c>
      <c r="K142" s="149">
        <v>7275</v>
      </c>
      <c r="L142" s="149">
        <v>107</v>
      </c>
      <c r="M142" s="149">
        <v>6261</v>
      </c>
      <c r="N142" s="149">
        <v>8</v>
      </c>
      <c r="O142" s="149">
        <v>5300</v>
      </c>
      <c r="P142" s="224"/>
      <c r="Q142" s="224"/>
      <c r="R142" s="224"/>
      <c r="S142" s="224"/>
      <c r="T142" s="224"/>
      <c r="U142" s="224"/>
      <c r="V142" s="224"/>
      <c r="W142" s="224"/>
      <c r="X142" s="224"/>
      <c r="Y142" s="224"/>
      <c r="Z142" s="224"/>
      <c r="AA142" s="224"/>
      <c r="AB142" s="224"/>
      <c r="AC142" s="224"/>
      <c r="AD142" s="143" t="s">
        <v>2185</v>
      </c>
      <c r="AE142" s="143" t="s">
        <v>2254</v>
      </c>
    </row>
    <row r="143" spans="1:31" ht="24.95" customHeight="1" x14ac:dyDescent="0.2">
      <c r="A143" s="144">
        <v>137</v>
      </c>
      <c r="B143" s="150" t="s">
        <v>2362</v>
      </c>
      <c r="C143" s="146" t="s">
        <v>2363</v>
      </c>
      <c r="D143" s="146" t="s">
        <v>2237</v>
      </c>
      <c r="E143" s="147" t="s">
        <v>2184</v>
      </c>
      <c r="F143" s="148">
        <f>528+4351</f>
        <v>4879</v>
      </c>
      <c r="G143" s="149">
        <v>5606</v>
      </c>
      <c r="H143" s="149">
        <v>104</v>
      </c>
      <c r="I143" s="196"/>
      <c r="J143" s="149">
        <v>5094</v>
      </c>
      <c r="K143" s="149">
        <v>5641</v>
      </c>
      <c r="L143" s="149">
        <v>92</v>
      </c>
      <c r="M143" s="149">
        <v>6913</v>
      </c>
      <c r="N143" s="149">
        <v>5</v>
      </c>
      <c r="O143" s="149">
        <v>7074</v>
      </c>
      <c r="P143" s="224"/>
      <c r="Q143" s="224"/>
      <c r="R143" s="224"/>
      <c r="S143" s="224"/>
      <c r="T143" s="224"/>
      <c r="U143" s="224"/>
      <c r="V143" s="224"/>
      <c r="W143" s="224"/>
      <c r="X143" s="224"/>
      <c r="Y143" s="224"/>
      <c r="Z143" s="224"/>
      <c r="AA143" s="224"/>
      <c r="AB143" s="224"/>
      <c r="AC143" s="224"/>
      <c r="AD143" s="143" t="s">
        <v>2185</v>
      </c>
      <c r="AE143" s="143" t="s">
        <v>2186</v>
      </c>
    </row>
    <row r="144" spans="1:31" ht="24.95" customHeight="1" x14ac:dyDescent="0.2">
      <c r="A144" s="144">
        <v>138</v>
      </c>
      <c r="B144" s="150" t="s">
        <v>2364</v>
      </c>
      <c r="C144" s="146" t="s">
        <v>2365</v>
      </c>
      <c r="D144" s="146" t="s">
        <v>2365</v>
      </c>
      <c r="E144" s="147" t="s">
        <v>2223</v>
      </c>
      <c r="F144" s="148">
        <v>5515</v>
      </c>
      <c r="G144" s="149">
        <v>6670</v>
      </c>
      <c r="H144" s="149">
        <v>108</v>
      </c>
      <c r="I144" s="196"/>
      <c r="J144" s="149">
        <v>9574</v>
      </c>
      <c r="K144" s="149">
        <f>60+850+6610</f>
        <v>7520</v>
      </c>
      <c r="L144" s="149">
        <v>116</v>
      </c>
      <c r="M144" s="149">
        <v>7131</v>
      </c>
      <c r="N144" s="149">
        <v>0</v>
      </c>
      <c r="O144" s="149">
        <v>8450</v>
      </c>
      <c r="P144" s="224"/>
      <c r="Q144" s="224"/>
      <c r="R144" s="224"/>
      <c r="S144" s="224"/>
      <c r="T144" s="224"/>
      <c r="U144" s="224"/>
      <c r="V144" s="224"/>
      <c r="W144" s="224"/>
      <c r="X144" s="224"/>
      <c r="Y144" s="224"/>
      <c r="Z144" s="224"/>
      <c r="AA144" s="224"/>
      <c r="AB144" s="224"/>
      <c r="AC144" s="224"/>
      <c r="AD144" s="143" t="s">
        <v>2185</v>
      </c>
      <c r="AE144" s="143" t="s">
        <v>2186</v>
      </c>
    </row>
    <row r="145" spans="1:31" ht="24.95" customHeight="1" x14ac:dyDescent="0.2">
      <c r="A145" s="144">
        <v>139</v>
      </c>
      <c r="B145" s="150" t="s">
        <v>2366</v>
      </c>
      <c r="C145" s="146" t="s">
        <v>2365</v>
      </c>
      <c r="D145" s="146" t="s">
        <v>2365</v>
      </c>
      <c r="E145" s="147" t="s">
        <v>2223</v>
      </c>
      <c r="F145" s="148">
        <f>8490+2575</f>
        <v>11065</v>
      </c>
      <c r="G145" s="149">
        <v>9130</v>
      </c>
      <c r="H145" s="149">
        <v>196</v>
      </c>
      <c r="I145" s="196"/>
      <c r="J145" s="149">
        <v>11808</v>
      </c>
      <c r="K145" s="149">
        <v>9130</v>
      </c>
      <c r="L145" s="149">
        <v>191</v>
      </c>
      <c r="M145" s="149">
        <v>5572</v>
      </c>
      <c r="N145" s="149">
        <v>1</v>
      </c>
      <c r="O145" s="149">
        <v>8472</v>
      </c>
      <c r="P145" s="224"/>
      <c r="Q145" s="224"/>
      <c r="R145" s="224"/>
      <c r="S145" s="224"/>
      <c r="T145" s="224"/>
      <c r="U145" s="224"/>
      <c r="V145" s="224"/>
      <c r="W145" s="224"/>
      <c r="X145" s="224"/>
      <c r="Y145" s="224"/>
      <c r="Z145" s="224"/>
      <c r="AA145" s="224"/>
      <c r="AB145" s="224"/>
      <c r="AC145" s="224"/>
      <c r="AD145" s="143" t="s">
        <v>2185</v>
      </c>
      <c r="AE145" s="143" t="s">
        <v>2186</v>
      </c>
    </row>
    <row r="146" spans="1:31" ht="24.95" customHeight="1" x14ac:dyDescent="0.2">
      <c r="A146" s="144">
        <v>140</v>
      </c>
      <c r="B146" s="150" t="s">
        <v>2367</v>
      </c>
      <c r="C146" s="146" t="s">
        <v>2368</v>
      </c>
      <c r="D146" s="146" t="s">
        <v>2368</v>
      </c>
      <c r="E146" s="147" t="s">
        <v>2184</v>
      </c>
      <c r="F146" s="148">
        <f>400+4065</f>
        <v>4465</v>
      </c>
      <c r="G146" s="149">
        <v>5035</v>
      </c>
      <c r="H146" s="149">
        <v>67</v>
      </c>
      <c r="I146" s="196"/>
      <c r="J146" s="149">
        <v>5417</v>
      </c>
      <c r="K146" s="149">
        <v>5975</v>
      </c>
      <c r="L146" s="149">
        <v>71</v>
      </c>
      <c r="M146" s="149">
        <v>4923</v>
      </c>
      <c r="N146" s="149">
        <v>4</v>
      </c>
      <c r="O146" s="149">
        <v>4759</v>
      </c>
      <c r="P146" s="224"/>
      <c r="Q146" s="224"/>
      <c r="R146" s="224"/>
      <c r="S146" s="224"/>
      <c r="T146" s="224"/>
      <c r="U146" s="224"/>
      <c r="V146" s="224"/>
      <c r="W146" s="224"/>
      <c r="X146" s="224"/>
      <c r="Y146" s="224"/>
      <c r="Z146" s="224"/>
      <c r="AA146" s="224"/>
      <c r="AB146" s="224"/>
      <c r="AC146" s="224"/>
      <c r="AD146" s="143" t="s">
        <v>2185</v>
      </c>
      <c r="AE146" s="143" t="s">
        <v>2186</v>
      </c>
    </row>
    <row r="147" spans="1:31" ht="24.95" customHeight="1" x14ac:dyDescent="0.2">
      <c r="A147" s="144">
        <v>141</v>
      </c>
      <c r="B147" s="150" t="s">
        <v>2369</v>
      </c>
      <c r="C147" s="146" t="s">
        <v>2250</v>
      </c>
      <c r="D147" s="146" t="s">
        <v>2250</v>
      </c>
      <c r="E147" s="147" t="s">
        <v>2265</v>
      </c>
      <c r="F147" s="148">
        <v>4396</v>
      </c>
      <c r="G147" s="149">
        <v>4787</v>
      </c>
      <c r="H147" s="149">
        <v>17</v>
      </c>
      <c r="I147" s="196"/>
      <c r="J147" s="149">
        <v>4394</v>
      </c>
      <c r="K147" s="149">
        <v>4390</v>
      </c>
      <c r="L147" s="149">
        <v>14</v>
      </c>
      <c r="M147" s="149">
        <v>1671</v>
      </c>
      <c r="N147" s="149">
        <v>1</v>
      </c>
      <c r="O147" s="149">
        <v>959</v>
      </c>
      <c r="P147" s="224"/>
      <c r="Q147" s="224"/>
      <c r="R147" s="224"/>
      <c r="S147" s="224"/>
      <c r="T147" s="224"/>
      <c r="U147" s="224"/>
      <c r="V147" s="224"/>
      <c r="W147" s="224"/>
      <c r="X147" s="224"/>
      <c r="Y147" s="224"/>
      <c r="Z147" s="224"/>
      <c r="AA147" s="224"/>
      <c r="AB147" s="224"/>
      <c r="AC147" s="224"/>
      <c r="AD147" s="143" t="s">
        <v>2185</v>
      </c>
      <c r="AE147" s="143" t="s">
        <v>2186</v>
      </c>
    </row>
    <row r="148" spans="1:31" ht="24.95" customHeight="1" x14ac:dyDescent="0.2">
      <c r="A148" s="144">
        <v>142</v>
      </c>
      <c r="B148" s="150" t="s">
        <v>2370</v>
      </c>
      <c r="C148" s="146" t="s">
        <v>2183</v>
      </c>
      <c r="D148" s="146" t="s">
        <v>2183</v>
      </c>
      <c r="E148" s="147" t="s">
        <v>2265</v>
      </c>
      <c r="F148" s="148">
        <v>2480</v>
      </c>
      <c r="G148" s="149">
        <v>5455</v>
      </c>
      <c r="H148" s="149">
        <v>97</v>
      </c>
      <c r="I148" s="196"/>
      <c r="J148" s="149">
        <v>2198</v>
      </c>
      <c r="K148" s="149">
        <v>2784</v>
      </c>
      <c r="L148" s="149">
        <v>50</v>
      </c>
      <c r="M148" s="149">
        <v>2138</v>
      </c>
      <c r="N148" s="149">
        <v>4</v>
      </c>
      <c r="O148" s="149">
        <v>2127</v>
      </c>
      <c r="P148" s="224"/>
      <c r="Q148" s="224"/>
      <c r="R148" s="224"/>
      <c r="S148" s="224"/>
      <c r="T148" s="224"/>
      <c r="U148" s="224"/>
      <c r="V148" s="224"/>
      <c r="W148" s="224"/>
      <c r="X148" s="224"/>
      <c r="Y148" s="224"/>
      <c r="Z148" s="224"/>
      <c r="AA148" s="224"/>
      <c r="AB148" s="224"/>
      <c r="AC148" s="224"/>
      <c r="AD148" s="143" t="s">
        <v>2185</v>
      </c>
      <c r="AE148" s="143" t="s">
        <v>2186</v>
      </c>
    </row>
    <row r="149" spans="1:31" ht="24.95" customHeight="1" x14ac:dyDescent="0.2">
      <c r="A149" s="144">
        <v>143</v>
      </c>
      <c r="B149" s="145" t="s">
        <v>2371</v>
      </c>
      <c r="C149" s="146" t="s">
        <v>2194</v>
      </c>
      <c r="D149" s="146" t="s">
        <v>2194</v>
      </c>
      <c r="E149" s="147" t="s">
        <v>2265</v>
      </c>
      <c r="F149" s="148">
        <f>280+2275+1305</f>
        <v>3860</v>
      </c>
      <c r="G149" s="149">
        <f>4091-31</f>
        <v>4060</v>
      </c>
      <c r="H149" s="149">
        <v>48</v>
      </c>
      <c r="I149" s="196"/>
      <c r="J149" s="149">
        <v>3599</v>
      </c>
      <c r="K149" s="149">
        <v>4060</v>
      </c>
      <c r="L149" s="149">
        <v>38</v>
      </c>
      <c r="M149" s="149">
        <v>2899</v>
      </c>
      <c r="N149" s="149" t="s">
        <v>2372</v>
      </c>
      <c r="O149" s="149">
        <v>2506</v>
      </c>
      <c r="P149" s="224"/>
      <c r="Q149" s="224"/>
      <c r="R149" s="224"/>
      <c r="S149" s="224"/>
      <c r="T149" s="224"/>
      <c r="U149" s="224"/>
      <c r="V149" s="224"/>
      <c r="W149" s="224"/>
      <c r="X149" s="224"/>
      <c r="Y149" s="224"/>
      <c r="Z149" s="224"/>
      <c r="AA149" s="224"/>
      <c r="AB149" s="224"/>
      <c r="AC149" s="224"/>
      <c r="AD149" s="143" t="s">
        <v>2185</v>
      </c>
      <c r="AE149" s="143" t="s">
        <v>2254</v>
      </c>
    </row>
    <row r="150" spans="1:31" ht="24.95" customHeight="1" x14ac:dyDescent="0.2">
      <c r="A150" s="144">
        <v>145</v>
      </c>
      <c r="B150" s="150" t="s">
        <v>2373</v>
      </c>
      <c r="C150" s="146" t="s">
        <v>2183</v>
      </c>
      <c r="D150" s="146" t="s">
        <v>2183</v>
      </c>
      <c r="E150" s="147" t="s">
        <v>2265</v>
      </c>
      <c r="F150" s="148">
        <f>17+7+3686</f>
        <v>3710</v>
      </c>
      <c r="G150" s="149">
        <v>5135</v>
      </c>
      <c r="H150" s="149">
        <v>62</v>
      </c>
      <c r="I150" s="196"/>
      <c r="J150" s="149">
        <v>3418</v>
      </c>
      <c r="K150" s="149">
        <v>4687</v>
      </c>
      <c r="L150" s="149">
        <v>57</v>
      </c>
      <c r="M150" s="149">
        <v>1859</v>
      </c>
      <c r="N150" s="149">
        <v>7</v>
      </c>
      <c r="O150" s="149">
        <v>2580</v>
      </c>
      <c r="P150" s="224"/>
      <c r="Q150" s="224"/>
      <c r="R150" s="224"/>
      <c r="S150" s="224"/>
      <c r="T150" s="224"/>
      <c r="U150" s="224"/>
      <c r="V150" s="224"/>
      <c r="W150" s="224"/>
      <c r="X150" s="224"/>
      <c r="Y150" s="224"/>
      <c r="Z150" s="224"/>
      <c r="AA150" s="224"/>
      <c r="AB150" s="224"/>
      <c r="AC150" s="224"/>
      <c r="AD150" s="143" t="s">
        <v>2347</v>
      </c>
      <c r="AE150" s="143" t="s">
        <v>2186</v>
      </c>
    </row>
    <row r="151" spans="1:31" ht="24.95" customHeight="1" x14ac:dyDescent="0.2">
      <c r="A151" s="144">
        <v>146</v>
      </c>
      <c r="B151" s="150" t="s">
        <v>2374</v>
      </c>
      <c r="C151" s="146" t="s">
        <v>2183</v>
      </c>
      <c r="D151" s="146" t="s">
        <v>2183</v>
      </c>
      <c r="E151" s="147" t="s">
        <v>2265</v>
      </c>
      <c r="F151" s="148">
        <v>7219</v>
      </c>
      <c r="G151" s="149">
        <v>8290</v>
      </c>
      <c r="H151" s="149">
        <v>143</v>
      </c>
      <c r="I151" s="196"/>
      <c r="J151" s="149">
        <v>8597</v>
      </c>
      <c r="K151" s="149">
        <v>8695</v>
      </c>
      <c r="L151" s="149">
        <v>144</v>
      </c>
      <c r="M151" s="149">
        <v>6634</v>
      </c>
      <c r="N151" s="149">
        <v>8</v>
      </c>
      <c r="O151" s="149">
        <v>5696</v>
      </c>
      <c r="P151" s="224"/>
      <c r="Q151" s="224"/>
      <c r="R151" s="224"/>
      <c r="S151" s="224"/>
      <c r="T151" s="224"/>
      <c r="U151" s="224"/>
      <c r="V151" s="224"/>
      <c r="W151" s="224"/>
      <c r="X151" s="224"/>
      <c r="Y151" s="224"/>
      <c r="Z151" s="224"/>
      <c r="AA151" s="224"/>
      <c r="AB151" s="224"/>
      <c r="AC151" s="224"/>
      <c r="AD151" s="143" t="s">
        <v>2347</v>
      </c>
      <c r="AE151" s="143" t="s">
        <v>2186</v>
      </c>
    </row>
    <row r="152" spans="1:31" ht="24.95" customHeight="1" x14ac:dyDescent="0.2">
      <c r="A152" s="144">
        <v>147</v>
      </c>
      <c r="B152" s="150" t="s">
        <v>2375</v>
      </c>
      <c r="C152" s="146" t="s">
        <v>2222</v>
      </c>
      <c r="D152" s="146" t="s">
        <v>2222</v>
      </c>
      <c r="E152" s="147" t="s">
        <v>2231</v>
      </c>
      <c r="F152" s="148">
        <f>3064+2002</f>
        <v>5066</v>
      </c>
      <c r="G152" s="149">
        <v>3919</v>
      </c>
      <c r="H152" s="149">
        <v>109</v>
      </c>
      <c r="I152" s="196"/>
      <c r="J152" s="149">
        <v>5294</v>
      </c>
      <c r="K152" s="149">
        <v>3919</v>
      </c>
      <c r="L152" s="149">
        <v>100</v>
      </c>
      <c r="M152" s="149">
        <v>9951</v>
      </c>
      <c r="N152" s="149">
        <v>7</v>
      </c>
      <c r="O152" s="149">
        <v>7281</v>
      </c>
      <c r="P152" s="224"/>
      <c r="Q152" s="224"/>
      <c r="R152" s="224"/>
      <c r="S152" s="224"/>
      <c r="T152" s="224"/>
      <c r="U152" s="224"/>
      <c r="V152" s="224"/>
      <c r="W152" s="224"/>
      <c r="X152" s="224"/>
      <c r="Y152" s="224"/>
      <c r="Z152" s="224"/>
      <c r="AA152" s="224"/>
      <c r="AB152" s="224"/>
      <c r="AC152" s="224"/>
      <c r="AD152" s="143" t="s">
        <v>2185</v>
      </c>
      <c r="AE152" s="143" t="s">
        <v>2186</v>
      </c>
    </row>
    <row r="153" spans="1:31" ht="24.95" customHeight="1" x14ac:dyDescent="0.2">
      <c r="A153" s="144">
        <v>148</v>
      </c>
      <c r="B153" s="150" t="s">
        <v>2376</v>
      </c>
      <c r="C153" s="146" t="s">
        <v>2222</v>
      </c>
      <c r="D153" s="146" t="s">
        <v>2222</v>
      </c>
      <c r="E153" s="147" t="s">
        <v>2231</v>
      </c>
      <c r="F153" s="148">
        <f>2246+1276</f>
        <v>3522</v>
      </c>
      <c r="G153" s="149">
        <v>1207</v>
      </c>
      <c r="H153" s="149">
        <v>78</v>
      </c>
      <c r="I153" s="196"/>
      <c r="J153" s="149">
        <v>3755</v>
      </c>
      <c r="K153" s="149">
        <v>1052</v>
      </c>
      <c r="L153" s="149">
        <v>74</v>
      </c>
      <c r="M153" s="149">
        <v>7053</v>
      </c>
      <c r="N153" s="149">
        <v>1</v>
      </c>
      <c r="O153" s="149">
        <v>6082</v>
      </c>
      <c r="P153" s="224"/>
      <c r="Q153" s="224"/>
      <c r="R153" s="224"/>
      <c r="S153" s="224"/>
      <c r="T153" s="224"/>
      <c r="U153" s="224"/>
      <c r="V153" s="224"/>
      <c r="W153" s="224"/>
      <c r="X153" s="224"/>
      <c r="Y153" s="224"/>
      <c r="Z153" s="224"/>
      <c r="AA153" s="224"/>
      <c r="AB153" s="224"/>
      <c r="AC153" s="224"/>
      <c r="AD153" s="143" t="s">
        <v>2185</v>
      </c>
      <c r="AE153" s="143" t="s">
        <v>2186</v>
      </c>
    </row>
    <row r="154" spans="1:31" ht="24.95" customHeight="1" x14ac:dyDescent="0.2">
      <c r="A154" s="144">
        <v>149</v>
      </c>
      <c r="B154" s="150" t="s">
        <v>2377</v>
      </c>
      <c r="C154" s="146" t="s">
        <v>2222</v>
      </c>
      <c r="D154" s="146" t="s">
        <v>2222</v>
      </c>
      <c r="E154" s="147" t="s">
        <v>2223</v>
      </c>
      <c r="F154" s="148">
        <f>16+3570</f>
        <v>3586</v>
      </c>
      <c r="G154" s="149">
        <v>4304</v>
      </c>
      <c r="H154" s="149">
        <v>116</v>
      </c>
      <c r="I154" s="196"/>
      <c r="J154" s="149">
        <v>3436</v>
      </c>
      <c r="K154" s="149">
        <v>4424</v>
      </c>
      <c r="L154" s="149">
        <v>111</v>
      </c>
      <c r="M154" s="149">
        <v>11727</v>
      </c>
      <c r="N154" s="149">
        <v>2</v>
      </c>
      <c r="O154" s="149">
        <v>8468</v>
      </c>
      <c r="P154" s="224"/>
      <c r="Q154" s="224"/>
      <c r="R154" s="224"/>
      <c r="S154" s="224"/>
      <c r="T154" s="224"/>
      <c r="U154" s="224"/>
      <c r="V154" s="224"/>
      <c r="W154" s="224"/>
      <c r="X154" s="224"/>
      <c r="Y154" s="224"/>
      <c r="Z154" s="224"/>
      <c r="AA154" s="224"/>
      <c r="AB154" s="224"/>
      <c r="AC154" s="224"/>
      <c r="AD154" s="143" t="s">
        <v>2185</v>
      </c>
      <c r="AE154" s="143" t="s">
        <v>2186</v>
      </c>
    </row>
    <row r="155" spans="1:31" ht="24.95" customHeight="1" x14ac:dyDescent="0.2">
      <c r="A155" s="144">
        <v>150</v>
      </c>
      <c r="B155" s="145" t="s">
        <v>2378</v>
      </c>
      <c r="C155" s="146" t="s">
        <v>2222</v>
      </c>
      <c r="D155" s="146" t="s">
        <v>2222</v>
      </c>
      <c r="E155" s="147" t="s">
        <v>2223</v>
      </c>
      <c r="F155" s="148">
        <v>6430</v>
      </c>
      <c r="G155" s="149">
        <v>8145</v>
      </c>
      <c r="H155" s="149">
        <v>176</v>
      </c>
      <c r="I155" s="196"/>
      <c r="J155" s="149">
        <v>6657</v>
      </c>
      <c r="K155" s="149">
        <v>8145</v>
      </c>
      <c r="L155" s="149">
        <v>178</v>
      </c>
      <c r="M155" s="149">
        <v>17009</v>
      </c>
      <c r="N155" s="149">
        <v>1</v>
      </c>
      <c r="O155" s="149">
        <v>13838</v>
      </c>
      <c r="P155" s="224"/>
      <c r="Q155" s="224"/>
      <c r="R155" s="224"/>
      <c r="S155" s="224"/>
      <c r="T155" s="224"/>
      <c r="U155" s="224"/>
      <c r="V155" s="224"/>
      <c r="W155" s="224"/>
      <c r="X155" s="224"/>
      <c r="Y155" s="224"/>
      <c r="Z155" s="224"/>
      <c r="AA155" s="224"/>
      <c r="AB155" s="224"/>
      <c r="AC155" s="224"/>
      <c r="AD155" s="143" t="s">
        <v>2185</v>
      </c>
      <c r="AE155" s="143" t="s">
        <v>2254</v>
      </c>
    </row>
    <row r="156" spans="1:31" ht="24.95" customHeight="1" x14ac:dyDescent="0.2">
      <c r="A156" s="144">
        <v>151</v>
      </c>
      <c r="B156" s="145" t="s">
        <v>2379</v>
      </c>
      <c r="C156" s="146" t="s">
        <v>2222</v>
      </c>
      <c r="D156" s="146" t="s">
        <v>2222</v>
      </c>
      <c r="E156" s="147" t="s">
        <v>2310</v>
      </c>
      <c r="F156" s="148">
        <v>9860</v>
      </c>
      <c r="G156" s="149">
        <v>9830</v>
      </c>
      <c r="H156" s="149">
        <v>213</v>
      </c>
      <c r="I156" s="196"/>
      <c r="J156" s="149">
        <v>9860</v>
      </c>
      <c r="K156" s="149">
        <v>9830</v>
      </c>
      <c r="L156" s="149">
        <v>187</v>
      </c>
      <c r="M156" s="149">
        <v>9104</v>
      </c>
      <c r="N156" s="149">
        <v>6</v>
      </c>
      <c r="O156" s="149">
        <v>12171</v>
      </c>
      <c r="P156" s="224"/>
      <c r="Q156" s="224"/>
      <c r="R156" s="224"/>
      <c r="S156" s="224"/>
      <c r="T156" s="224"/>
      <c r="U156" s="224"/>
      <c r="V156" s="224"/>
      <c r="W156" s="224"/>
      <c r="X156" s="224"/>
      <c r="Y156" s="224"/>
      <c r="Z156" s="224"/>
      <c r="AA156" s="224"/>
      <c r="AB156" s="224"/>
      <c r="AC156" s="224"/>
      <c r="AD156" s="143" t="s">
        <v>2185</v>
      </c>
      <c r="AE156" s="143" t="s">
        <v>2254</v>
      </c>
    </row>
    <row r="157" spans="1:31" ht="24.95" customHeight="1" x14ac:dyDescent="0.2">
      <c r="A157" s="144">
        <v>152</v>
      </c>
      <c r="B157" s="150" t="s">
        <v>2380</v>
      </c>
      <c r="C157" s="146" t="s">
        <v>2309</v>
      </c>
      <c r="D157" s="146" t="s">
        <v>2309</v>
      </c>
      <c r="E157" s="147" t="s">
        <v>2310</v>
      </c>
      <c r="F157" s="148">
        <v>4465</v>
      </c>
      <c r="G157" s="149">
        <v>4850</v>
      </c>
      <c r="H157" s="149">
        <v>62</v>
      </c>
      <c r="I157" s="196"/>
      <c r="J157" s="149">
        <v>4630</v>
      </c>
      <c r="K157" s="149">
        <v>5020</v>
      </c>
      <c r="L157" s="149">
        <v>62</v>
      </c>
      <c r="M157" s="149">
        <v>5551</v>
      </c>
      <c r="N157" s="149">
        <v>0</v>
      </c>
      <c r="O157" s="149">
        <v>3792</v>
      </c>
      <c r="P157" s="224"/>
      <c r="Q157" s="224"/>
      <c r="R157" s="224"/>
      <c r="S157" s="224"/>
      <c r="T157" s="224"/>
      <c r="U157" s="224"/>
      <c r="V157" s="224"/>
      <c r="W157" s="224"/>
      <c r="X157" s="224"/>
      <c r="Y157" s="224"/>
      <c r="Z157" s="224"/>
      <c r="AA157" s="224"/>
      <c r="AB157" s="224"/>
      <c r="AC157" s="224"/>
      <c r="AD157" s="143" t="s">
        <v>2185</v>
      </c>
      <c r="AE157" s="143" t="s">
        <v>2186</v>
      </c>
    </row>
    <row r="158" spans="1:31" ht="24.95" customHeight="1" x14ac:dyDescent="0.2">
      <c r="A158" s="144">
        <v>153</v>
      </c>
      <c r="B158" s="150" t="s">
        <v>2381</v>
      </c>
      <c r="C158" s="146" t="s">
        <v>2194</v>
      </c>
      <c r="D158" s="146" t="s">
        <v>2194</v>
      </c>
      <c r="E158" s="147" t="s">
        <v>2184</v>
      </c>
      <c r="F158" s="148">
        <v>6081</v>
      </c>
      <c r="G158" s="149">
        <v>6358</v>
      </c>
      <c r="H158" s="149">
        <v>91</v>
      </c>
      <c r="I158" s="196"/>
      <c r="J158" s="149">
        <v>6367</v>
      </c>
      <c r="K158" s="149">
        <v>6335</v>
      </c>
      <c r="L158" s="149">
        <v>95</v>
      </c>
      <c r="M158" s="149">
        <v>5829</v>
      </c>
      <c r="N158" s="149">
        <v>5</v>
      </c>
      <c r="O158" s="149">
        <v>5839</v>
      </c>
      <c r="P158" s="224"/>
      <c r="Q158" s="224"/>
      <c r="R158" s="224"/>
      <c r="S158" s="224"/>
      <c r="T158" s="224"/>
      <c r="U158" s="224"/>
      <c r="V158" s="224"/>
      <c r="W158" s="224"/>
      <c r="X158" s="224"/>
      <c r="Y158" s="224"/>
      <c r="Z158" s="224"/>
      <c r="AA158" s="224"/>
      <c r="AB158" s="224"/>
      <c r="AC158" s="224"/>
      <c r="AD158" s="143" t="s">
        <v>2185</v>
      </c>
      <c r="AE158" s="143" t="s">
        <v>2254</v>
      </c>
    </row>
    <row r="159" spans="1:31" ht="24.95" customHeight="1" x14ac:dyDescent="0.2">
      <c r="A159" s="144">
        <v>154</v>
      </c>
      <c r="B159" s="145" t="s">
        <v>2382</v>
      </c>
      <c r="C159" s="146" t="s">
        <v>2194</v>
      </c>
      <c r="D159" s="146" t="s">
        <v>2194</v>
      </c>
      <c r="E159" s="147" t="s">
        <v>2310</v>
      </c>
      <c r="F159" s="148">
        <f>4115+1425</f>
        <v>5540</v>
      </c>
      <c r="G159" s="149">
        <v>9320</v>
      </c>
      <c r="H159" s="149">
        <v>96</v>
      </c>
      <c r="I159" s="196"/>
      <c r="J159" s="149">
        <v>6316</v>
      </c>
      <c r="K159" s="149">
        <v>9320</v>
      </c>
      <c r="L159" s="149">
        <v>91</v>
      </c>
      <c r="M159" s="149">
        <v>4331</v>
      </c>
      <c r="N159" s="149">
        <v>0</v>
      </c>
      <c r="O159" s="149">
        <v>3612</v>
      </c>
      <c r="P159" s="224"/>
      <c r="Q159" s="224"/>
      <c r="R159" s="224"/>
      <c r="S159" s="224"/>
      <c r="T159" s="224"/>
      <c r="U159" s="224"/>
      <c r="V159" s="224"/>
      <c r="W159" s="224"/>
      <c r="X159" s="224"/>
      <c r="Y159" s="224"/>
      <c r="Z159" s="224"/>
      <c r="AA159" s="224"/>
      <c r="AB159" s="224"/>
      <c r="AC159" s="224"/>
      <c r="AD159" s="143" t="s">
        <v>2185</v>
      </c>
      <c r="AE159" s="143" t="s">
        <v>2254</v>
      </c>
    </row>
    <row r="160" spans="1:31" ht="24.95" customHeight="1" x14ac:dyDescent="0.2">
      <c r="A160" s="144">
        <v>155</v>
      </c>
      <c r="B160" s="150" t="s">
        <v>2383</v>
      </c>
      <c r="C160" s="146" t="s">
        <v>2194</v>
      </c>
      <c r="D160" s="146" t="s">
        <v>2194</v>
      </c>
      <c r="E160" s="147" t="s">
        <v>2184</v>
      </c>
      <c r="F160" s="148">
        <v>7232</v>
      </c>
      <c r="G160" s="149">
        <v>9453</v>
      </c>
      <c r="H160" s="149">
        <v>126</v>
      </c>
      <c r="I160" s="196"/>
      <c r="J160" s="149">
        <v>6399</v>
      </c>
      <c r="K160" s="149">
        <v>15757</v>
      </c>
      <c r="L160" s="149">
        <v>107</v>
      </c>
      <c r="M160" s="149">
        <v>7449</v>
      </c>
      <c r="N160" s="149">
        <v>7</v>
      </c>
      <c r="O160" s="149">
        <v>7802</v>
      </c>
      <c r="P160" s="224"/>
      <c r="Q160" s="224"/>
      <c r="R160" s="224"/>
      <c r="S160" s="224"/>
      <c r="T160" s="224"/>
      <c r="U160" s="224"/>
      <c r="V160" s="224"/>
      <c r="W160" s="224"/>
      <c r="X160" s="224"/>
      <c r="Y160" s="224"/>
      <c r="Z160" s="224"/>
      <c r="AA160" s="224"/>
      <c r="AB160" s="224"/>
      <c r="AC160" s="224"/>
      <c r="AD160" s="143" t="s">
        <v>2185</v>
      </c>
      <c r="AE160" s="143" t="s">
        <v>2186</v>
      </c>
    </row>
    <row r="161" spans="1:31" ht="24.95" customHeight="1" x14ac:dyDescent="0.2">
      <c r="A161" s="144">
        <v>156</v>
      </c>
      <c r="B161" s="150" t="s">
        <v>2384</v>
      </c>
      <c r="C161" s="146" t="s">
        <v>2194</v>
      </c>
      <c r="D161" s="146" t="s">
        <v>2194</v>
      </c>
      <c r="E161" s="147" t="s">
        <v>2184</v>
      </c>
      <c r="F161" s="148">
        <v>1064</v>
      </c>
      <c r="G161" s="149">
        <v>6353</v>
      </c>
      <c r="H161" s="149">
        <v>30</v>
      </c>
      <c r="I161" s="196"/>
      <c r="J161" s="149">
        <v>1102</v>
      </c>
      <c r="K161" s="149">
        <v>1002</v>
      </c>
      <c r="L161" s="149">
        <v>21</v>
      </c>
      <c r="M161" s="149">
        <v>1667</v>
      </c>
      <c r="N161" s="149">
        <v>5</v>
      </c>
      <c r="O161" s="149">
        <v>1558</v>
      </c>
      <c r="P161" s="224"/>
      <c r="Q161" s="224"/>
      <c r="R161" s="224"/>
      <c r="S161" s="224"/>
      <c r="T161" s="224"/>
      <c r="U161" s="224"/>
      <c r="V161" s="224"/>
      <c r="W161" s="224"/>
      <c r="X161" s="224"/>
      <c r="Y161" s="224"/>
      <c r="Z161" s="224"/>
      <c r="AA161" s="224"/>
      <c r="AB161" s="224"/>
      <c r="AC161" s="224"/>
      <c r="AD161" s="143" t="s">
        <v>2185</v>
      </c>
      <c r="AE161" s="143" t="s">
        <v>2186</v>
      </c>
    </row>
    <row r="162" spans="1:31" ht="24.95" customHeight="1" x14ac:dyDescent="0.2">
      <c r="A162" s="144">
        <v>157</v>
      </c>
      <c r="B162" s="150" t="s">
        <v>2385</v>
      </c>
      <c r="C162" s="146" t="s">
        <v>2229</v>
      </c>
      <c r="D162" s="146" t="s">
        <v>2229</v>
      </c>
      <c r="E162" s="147" t="s">
        <v>2223</v>
      </c>
      <c r="F162" s="148">
        <v>7745</v>
      </c>
      <c r="G162" s="149">
        <v>5010</v>
      </c>
      <c r="H162" s="149">
        <v>109</v>
      </c>
      <c r="I162" s="196"/>
      <c r="J162" s="149">
        <v>8177</v>
      </c>
      <c r="K162" s="149">
        <v>4850</v>
      </c>
      <c r="L162" s="149">
        <v>102</v>
      </c>
      <c r="M162" s="149">
        <v>2775</v>
      </c>
      <c r="N162" s="149">
        <v>1</v>
      </c>
      <c r="O162" s="149">
        <v>4669</v>
      </c>
      <c r="P162" s="224"/>
      <c r="Q162" s="224"/>
      <c r="R162" s="224"/>
      <c r="S162" s="224"/>
      <c r="T162" s="224"/>
      <c r="U162" s="224"/>
      <c r="V162" s="224"/>
      <c r="W162" s="224"/>
      <c r="X162" s="224"/>
      <c r="Y162" s="224"/>
      <c r="Z162" s="224"/>
      <c r="AA162" s="224"/>
      <c r="AB162" s="224"/>
      <c r="AC162" s="224"/>
      <c r="AD162" s="143" t="s">
        <v>2185</v>
      </c>
      <c r="AE162" s="143" t="s">
        <v>2186</v>
      </c>
    </row>
    <row r="163" spans="1:31" ht="24.95" customHeight="1" x14ac:dyDescent="0.2">
      <c r="A163" s="144">
        <v>158</v>
      </c>
      <c r="B163" s="150" t="s">
        <v>2386</v>
      </c>
      <c r="C163" s="146" t="s">
        <v>2229</v>
      </c>
      <c r="D163" s="146" t="s">
        <v>2229</v>
      </c>
      <c r="E163" s="147" t="s">
        <v>2265</v>
      </c>
      <c r="F163" s="148">
        <v>2790</v>
      </c>
      <c r="G163" s="149">
        <v>2790</v>
      </c>
      <c r="H163" s="149">
        <v>61</v>
      </c>
      <c r="I163" s="196"/>
      <c r="J163" s="149">
        <v>4722</v>
      </c>
      <c r="K163" s="149">
        <v>2738</v>
      </c>
      <c r="L163" s="149">
        <v>64</v>
      </c>
      <c r="M163" s="149">
        <v>830</v>
      </c>
      <c r="N163" s="149">
        <v>0</v>
      </c>
      <c r="O163" s="149">
        <v>1638</v>
      </c>
      <c r="P163" s="224"/>
      <c r="Q163" s="224"/>
      <c r="R163" s="224"/>
      <c r="S163" s="224"/>
      <c r="T163" s="224"/>
      <c r="U163" s="224"/>
      <c r="V163" s="224"/>
      <c r="W163" s="224"/>
      <c r="X163" s="224"/>
      <c r="Y163" s="224"/>
      <c r="Z163" s="224"/>
      <c r="AA163" s="224"/>
      <c r="AB163" s="224"/>
      <c r="AC163" s="224"/>
      <c r="AD163" s="143" t="s">
        <v>2185</v>
      </c>
      <c r="AE163" s="143" t="s">
        <v>2186</v>
      </c>
    </row>
    <row r="164" spans="1:31" ht="24.95" customHeight="1" x14ac:dyDescent="0.2">
      <c r="A164" s="144">
        <v>159</v>
      </c>
      <c r="B164" s="150" t="s">
        <v>2387</v>
      </c>
      <c r="C164" s="146" t="s">
        <v>2229</v>
      </c>
      <c r="D164" s="146" t="s">
        <v>2229</v>
      </c>
      <c r="E164" s="147" t="s">
        <v>2310</v>
      </c>
      <c r="F164" s="148">
        <v>1525</v>
      </c>
      <c r="G164" s="149">
        <v>1705</v>
      </c>
      <c r="H164" s="149">
        <v>31</v>
      </c>
      <c r="I164" s="196"/>
      <c r="J164" s="149">
        <v>2328</v>
      </c>
      <c r="K164" s="149">
        <v>2110</v>
      </c>
      <c r="L164" s="149">
        <v>32</v>
      </c>
      <c r="M164" s="149">
        <v>947</v>
      </c>
      <c r="N164" s="149">
        <v>0</v>
      </c>
      <c r="O164" s="149">
        <v>1629</v>
      </c>
      <c r="P164" s="224"/>
      <c r="Q164" s="224"/>
      <c r="R164" s="224"/>
      <c r="S164" s="224"/>
      <c r="T164" s="224"/>
      <c r="U164" s="224"/>
      <c r="V164" s="224"/>
      <c r="W164" s="224"/>
      <c r="X164" s="224"/>
      <c r="Y164" s="224"/>
      <c r="Z164" s="224"/>
      <c r="AA164" s="224"/>
      <c r="AB164" s="224"/>
      <c r="AC164" s="224"/>
      <c r="AD164" s="143" t="s">
        <v>2185</v>
      </c>
      <c r="AE164" s="143" t="s">
        <v>2186</v>
      </c>
    </row>
    <row r="165" spans="1:31" ht="24.95" customHeight="1" x14ac:dyDescent="0.2">
      <c r="A165" s="144">
        <v>160</v>
      </c>
      <c r="B165" s="150" t="s">
        <v>2388</v>
      </c>
      <c r="C165" s="146" t="s">
        <v>2222</v>
      </c>
      <c r="D165" s="146" t="s">
        <v>2222</v>
      </c>
      <c r="E165" s="147" t="s">
        <v>2223</v>
      </c>
      <c r="F165" s="148">
        <v>6185</v>
      </c>
      <c r="G165" s="149">
        <v>2280</v>
      </c>
      <c r="H165" s="149">
        <v>58</v>
      </c>
      <c r="I165" s="196"/>
      <c r="J165" s="149">
        <v>6109</v>
      </c>
      <c r="K165" s="149">
        <v>2280</v>
      </c>
      <c r="L165" s="149">
        <v>64</v>
      </c>
      <c r="M165" s="149">
        <v>6340</v>
      </c>
      <c r="N165" s="149">
        <v>1</v>
      </c>
      <c r="O165" s="149">
        <v>4581</v>
      </c>
      <c r="P165" s="224"/>
      <c r="Q165" s="224"/>
      <c r="R165" s="224"/>
      <c r="S165" s="224"/>
      <c r="T165" s="224"/>
      <c r="U165" s="224"/>
      <c r="V165" s="224"/>
      <c r="W165" s="224"/>
      <c r="X165" s="224"/>
      <c r="Y165" s="224"/>
      <c r="Z165" s="224"/>
      <c r="AA165" s="224"/>
      <c r="AB165" s="224"/>
      <c r="AC165" s="224"/>
      <c r="AD165" s="143" t="s">
        <v>2347</v>
      </c>
      <c r="AE165" s="143" t="s">
        <v>2186</v>
      </c>
    </row>
    <row r="166" spans="1:31" ht="24.95" customHeight="1" x14ac:dyDescent="0.2">
      <c r="A166" s="144">
        <v>161</v>
      </c>
      <c r="B166" s="150" t="s">
        <v>2389</v>
      </c>
      <c r="C166" s="146" t="s">
        <v>2225</v>
      </c>
      <c r="D166" s="146" t="s">
        <v>2226</v>
      </c>
      <c r="E166" s="147" t="s">
        <v>2265</v>
      </c>
      <c r="F166" s="148">
        <v>4720</v>
      </c>
      <c r="G166" s="149">
        <v>4620</v>
      </c>
      <c r="H166" s="149">
        <v>86</v>
      </c>
      <c r="I166" s="196"/>
      <c r="J166" s="149">
        <v>4682</v>
      </c>
      <c r="K166" s="149">
        <v>4620</v>
      </c>
      <c r="L166" s="149">
        <v>88</v>
      </c>
      <c r="M166" s="149">
        <v>3188</v>
      </c>
      <c r="N166" s="149">
        <v>0</v>
      </c>
      <c r="O166" s="149">
        <v>6696</v>
      </c>
      <c r="P166" s="224"/>
      <c r="Q166" s="224"/>
      <c r="R166" s="224"/>
      <c r="S166" s="224"/>
      <c r="T166" s="224"/>
      <c r="U166" s="224"/>
      <c r="V166" s="224"/>
      <c r="W166" s="224"/>
      <c r="X166" s="224"/>
      <c r="Y166" s="224"/>
      <c r="Z166" s="224"/>
      <c r="AA166" s="224"/>
      <c r="AB166" s="224"/>
      <c r="AC166" s="224"/>
      <c r="AD166" s="143" t="s">
        <v>2185</v>
      </c>
      <c r="AE166" s="143" t="s">
        <v>2186</v>
      </c>
    </row>
    <row r="167" spans="1:31" ht="24.95" customHeight="1" x14ac:dyDescent="0.2">
      <c r="A167" s="144">
        <v>162</v>
      </c>
      <c r="B167" s="150" t="s">
        <v>2390</v>
      </c>
      <c r="C167" s="146" t="s">
        <v>2222</v>
      </c>
      <c r="D167" s="146" t="s">
        <v>2222</v>
      </c>
      <c r="E167" s="147" t="s">
        <v>2310</v>
      </c>
      <c r="F167" s="148">
        <v>540</v>
      </c>
      <c r="G167" s="149">
        <v>730</v>
      </c>
      <c r="H167" s="149">
        <v>0</v>
      </c>
      <c r="I167" s="196"/>
      <c r="J167" s="149">
        <v>535</v>
      </c>
      <c r="K167" s="149">
        <v>716</v>
      </c>
      <c r="L167" s="149">
        <v>1</v>
      </c>
      <c r="M167" s="149">
        <v>35</v>
      </c>
      <c r="N167" s="149">
        <v>0</v>
      </c>
      <c r="O167" s="149">
        <v>43</v>
      </c>
      <c r="P167" s="224"/>
      <c r="Q167" s="224"/>
      <c r="R167" s="224"/>
      <c r="S167" s="224"/>
      <c r="T167" s="224"/>
      <c r="U167" s="224"/>
      <c r="V167" s="224"/>
      <c r="W167" s="224"/>
      <c r="X167" s="224"/>
      <c r="Y167" s="224"/>
      <c r="Z167" s="224"/>
      <c r="AA167" s="224"/>
      <c r="AB167" s="224"/>
      <c r="AC167" s="224"/>
      <c r="AD167" s="143" t="s">
        <v>2185</v>
      </c>
      <c r="AE167" s="143" t="s">
        <v>2186</v>
      </c>
    </row>
    <row r="168" spans="1:31" ht="24.95" customHeight="1" x14ac:dyDescent="0.2">
      <c r="A168" s="144">
        <v>200</v>
      </c>
      <c r="B168" s="145" t="s">
        <v>2391</v>
      </c>
      <c r="C168" s="146" t="s">
        <v>2215</v>
      </c>
      <c r="D168" s="146" t="s">
        <v>2215</v>
      </c>
      <c r="E168" s="147" t="s">
        <v>2265</v>
      </c>
      <c r="F168" s="148">
        <v>6470</v>
      </c>
      <c r="G168" s="149">
        <v>7515</v>
      </c>
      <c r="H168" s="149">
        <v>82</v>
      </c>
      <c r="I168" s="196"/>
      <c r="J168" s="149">
        <v>5870</v>
      </c>
      <c r="K168" s="149">
        <v>7078</v>
      </c>
      <c r="L168" s="149">
        <v>81</v>
      </c>
      <c r="M168" s="149">
        <v>4343</v>
      </c>
      <c r="N168" s="149">
        <v>1</v>
      </c>
      <c r="O168" s="149">
        <v>4022</v>
      </c>
      <c r="P168" s="224"/>
      <c r="Q168" s="224"/>
      <c r="R168" s="224"/>
      <c r="S168" s="224"/>
      <c r="T168" s="224"/>
      <c r="U168" s="224"/>
      <c r="V168" s="224"/>
      <c r="W168" s="224"/>
      <c r="X168" s="224"/>
      <c r="Y168" s="224"/>
      <c r="Z168" s="224"/>
      <c r="AA168" s="224"/>
      <c r="AB168" s="224"/>
      <c r="AC168" s="224"/>
      <c r="AD168" s="143" t="s">
        <v>2185</v>
      </c>
      <c r="AE168" s="143" t="s">
        <v>2254</v>
      </c>
    </row>
    <row r="169" spans="1:31" ht="24.95" customHeight="1" x14ac:dyDescent="0.2">
      <c r="A169" s="144">
        <v>201</v>
      </c>
      <c r="B169" s="145" t="s">
        <v>2392</v>
      </c>
      <c r="C169" s="146" t="s">
        <v>2215</v>
      </c>
      <c r="D169" s="146" t="s">
        <v>2215</v>
      </c>
      <c r="E169" s="147" t="s">
        <v>2265</v>
      </c>
      <c r="F169" s="148">
        <v>4205</v>
      </c>
      <c r="G169" s="149">
        <v>4575</v>
      </c>
      <c r="H169" s="149">
        <v>29</v>
      </c>
      <c r="I169" s="196"/>
      <c r="J169" s="149">
        <v>5124</v>
      </c>
      <c r="K169" s="149">
        <v>5200</v>
      </c>
      <c r="L169" s="149">
        <v>20</v>
      </c>
      <c r="M169" s="149">
        <v>1256</v>
      </c>
      <c r="N169" s="149">
        <v>0</v>
      </c>
      <c r="O169" s="149">
        <v>1041</v>
      </c>
      <c r="P169" s="224"/>
      <c r="Q169" s="224"/>
      <c r="R169" s="224"/>
      <c r="S169" s="224"/>
      <c r="T169" s="224"/>
      <c r="U169" s="224"/>
      <c r="V169" s="224"/>
      <c r="W169" s="224"/>
      <c r="X169" s="224"/>
      <c r="Y169" s="224"/>
      <c r="Z169" s="224"/>
      <c r="AA169" s="224"/>
      <c r="AB169" s="224"/>
      <c r="AC169" s="224"/>
      <c r="AD169" s="143" t="s">
        <v>2185</v>
      </c>
      <c r="AE169" s="143" t="s">
        <v>2254</v>
      </c>
    </row>
    <row r="170" spans="1:31" ht="24.95" customHeight="1" x14ac:dyDescent="0.2">
      <c r="A170" s="144">
        <v>202</v>
      </c>
      <c r="B170" s="145" t="s">
        <v>2393</v>
      </c>
      <c r="C170" s="146" t="s">
        <v>2215</v>
      </c>
      <c r="D170" s="146" t="s">
        <v>2215</v>
      </c>
      <c r="E170" s="147" t="s">
        <v>2265</v>
      </c>
      <c r="F170" s="148">
        <v>1440</v>
      </c>
      <c r="G170" s="149">
        <v>4755</v>
      </c>
      <c r="H170" s="149">
        <v>38</v>
      </c>
      <c r="I170" s="196"/>
      <c r="J170" s="149">
        <v>1497</v>
      </c>
      <c r="K170" s="149">
        <v>4755</v>
      </c>
      <c r="L170" s="149">
        <v>33</v>
      </c>
      <c r="M170" s="149">
        <v>1925</v>
      </c>
      <c r="N170" s="149">
        <v>2</v>
      </c>
      <c r="O170" s="149">
        <v>1747</v>
      </c>
      <c r="P170" s="224"/>
      <c r="Q170" s="224"/>
      <c r="R170" s="224"/>
      <c r="S170" s="224"/>
      <c r="T170" s="224"/>
      <c r="U170" s="224"/>
      <c r="V170" s="224"/>
      <c r="W170" s="224"/>
      <c r="X170" s="224"/>
      <c r="Y170" s="224"/>
      <c r="Z170" s="224"/>
      <c r="AA170" s="224"/>
      <c r="AB170" s="224"/>
      <c r="AC170" s="224"/>
      <c r="AD170" s="143" t="s">
        <v>2185</v>
      </c>
      <c r="AE170" s="143" t="s">
        <v>2254</v>
      </c>
    </row>
    <row r="171" spans="1:31" ht="24.95" customHeight="1" x14ac:dyDescent="0.2">
      <c r="A171" s="144">
        <v>203</v>
      </c>
      <c r="B171" s="145" t="s">
        <v>2394</v>
      </c>
      <c r="C171" s="146" t="s">
        <v>2215</v>
      </c>
      <c r="D171" s="146" t="s">
        <v>2215</v>
      </c>
      <c r="E171" s="147" t="s">
        <v>2265</v>
      </c>
      <c r="F171" s="148">
        <v>6520</v>
      </c>
      <c r="G171" s="149">
        <f>50+1975+5+3515</f>
        <v>5545</v>
      </c>
      <c r="H171" s="149">
        <v>125</v>
      </c>
      <c r="I171" s="196"/>
      <c r="J171" s="149">
        <v>6500</v>
      </c>
      <c r="K171" s="149">
        <v>5545</v>
      </c>
      <c r="L171" s="149">
        <v>124</v>
      </c>
      <c r="M171" s="149">
        <v>8532</v>
      </c>
      <c r="N171" s="149">
        <v>4</v>
      </c>
      <c r="O171" s="149">
        <v>6557</v>
      </c>
      <c r="P171" s="224"/>
      <c r="Q171" s="224"/>
      <c r="R171" s="224"/>
      <c r="S171" s="224"/>
      <c r="T171" s="224"/>
      <c r="U171" s="224"/>
      <c r="V171" s="224"/>
      <c r="W171" s="224"/>
      <c r="X171" s="224"/>
      <c r="Y171" s="224"/>
      <c r="Z171" s="224"/>
      <c r="AA171" s="224"/>
      <c r="AB171" s="224"/>
      <c r="AC171" s="224"/>
      <c r="AD171" s="143" t="s">
        <v>2185</v>
      </c>
      <c r="AE171" s="143" t="s">
        <v>2254</v>
      </c>
    </row>
    <row r="172" spans="1:31" ht="24.95" customHeight="1" x14ac:dyDescent="0.2">
      <c r="A172" s="144">
        <v>211</v>
      </c>
      <c r="B172" s="145" t="s">
        <v>2395</v>
      </c>
      <c r="C172" s="146" t="s">
        <v>2183</v>
      </c>
      <c r="D172" s="146" t="s">
        <v>2183</v>
      </c>
      <c r="E172" s="147" t="s">
        <v>2265</v>
      </c>
      <c r="F172" s="148">
        <v>5185</v>
      </c>
      <c r="G172" s="149">
        <v>6635</v>
      </c>
      <c r="H172" s="149">
        <v>60</v>
      </c>
      <c r="I172" s="196"/>
      <c r="J172" s="149">
        <v>5007</v>
      </c>
      <c r="K172" s="149">
        <v>2780</v>
      </c>
      <c r="L172" s="149">
        <v>55</v>
      </c>
      <c r="M172" s="149">
        <v>3469</v>
      </c>
      <c r="N172" s="149">
        <v>6</v>
      </c>
      <c r="O172" s="149">
        <v>3304</v>
      </c>
      <c r="P172" s="224"/>
      <c r="Q172" s="224"/>
      <c r="R172" s="224"/>
      <c r="S172" s="224"/>
      <c r="T172" s="224"/>
      <c r="U172" s="224"/>
      <c r="V172" s="224"/>
      <c r="W172" s="224"/>
      <c r="X172" s="224"/>
      <c r="Y172" s="224"/>
      <c r="Z172" s="224"/>
      <c r="AA172" s="224"/>
      <c r="AB172" s="224"/>
      <c r="AC172" s="224"/>
      <c r="AD172" s="143" t="s">
        <v>2185</v>
      </c>
      <c r="AE172" s="143" t="s">
        <v>2254</v>
      </c>
    </row>
    <row r="173" spans="1:31" ht="24.95" customHeight="1" x14ac:dyDescent="0.2">
      <c r="A173" s="144">
        <v>212</v>
      </c>
      <c r="B173" s="145" t="s">
        <v>2396</v>
      </c>
      <c r="C173" s="146" t="s">
        <v>2183</v>
      </c>
      <c r="D173" s="146" t="s">
        <v>2183</v>
      </c>
      <c r="E173" s="147" t="s">
        <v>2265</v>
      </c>
      <c r="F173" s="148">
        <v>4570</v>
      </c>
      <c r="G173" s="149">
        <f>3981-51</f>
        <v>3930</v>
      </c>
      <c r="H173" s="149">
        <v>55</v>
      </c>
      <c r="I173" s="196"/>
      <c r="J173" s="149">
        <v>0</v>
      </c>
      <c r="K173" s="149">
        <v>0</v>
      </c>
      <c r="L173" s="149">
        <v>0</v>
      </c>
      <c r="M173" s="149">
        <v>0</v>
      </c>
      <c r="N173" s="149">
        <v>0</v>
      </c>
      <c r="O173" s="149">
        <v>0</v>
      </c>
      <c r="P173" s="224"/>
      <c r="Q173" s="224"/>
      <c r="R173" s="224"/>
      <c r="S173" s="224"/>
      <c r="T173" s="224"/>
      <c r="U173" s="224"/>
      <c r="V173" s="224"/>
      <c r="W173" s="224"/>
      <c r="X173" s="224"/>
      <c r="Y173" s="224"/>
      <c r="Z173" s="224"/>
      <c r="AA173" s="224"/>
      <c r="AB173" s="224"/>
      <c r="AC173" s="224"/>
      <c r="AD173" s="143" t="s">
        <v>2185</v>
      </c>
      <c r="AE173" s="143" t="s">
        <v>2254</v>
      </c>
    </row>
    <row r="174" spans="1:31" ht="24.95" customHeight="1" x14ac:dyDescent="0.2">
      <c r="A174" s="144">
        <v>285</v>
      </c>
      <c r="B174" s="145" t="s">
        <v>2397</v>
      </c>
      <c r="C174" s="146" t="s">
        <v>2309</v>
      </c>
      <c r="D174" s="146" t="s">
        <v>2309</v>
      </c>
      <c r="E174" s="147" t="s">
        <v>2265</v>
      </c>
      <c r="F174" s="148">
        <f>145+3190</f>
        <v>3335</v>
      </c>
      <c r="G174" s="149">
        <f>85+3180+11+2+2</f>
        <v>3280</v>
      </c>
      <c r="H174" s="149">
        <v>17</v>
      </c>
      <c r="I174" s="196"/>
      <c r="J174" s="149">
        <v>0</v>
      </c>
      <c r="K174" s="149">
        <v>0</v>
      </c>
      <c r="L174" s="149">
        <v>0</v>
      </c>
      <c r="M174" s="149">
        <v>0</v>
      </c>
      <c r="N174" s="149">
        <v>0</v>
      </c>
      <c r="O174" s="149">
        <v>0</v>
      </c>
      <c r="P174" s="224"/>
      <c r="Q174" s="224"/>
      <c r="R174" s="224"/>
      <c r="S174" s="224"/>
      <c r="T174" s="224"/>
      <c r="U174" s="224"/>
      <c r="V174" s="224"/>
      <c r="W174" s="224"/>
      <c r="X174" s="224"/>
      <c r="Y174" s="224"/>
      <c r="Z174" s="224"/>
      <c r="AA174" s="224"/>
      <c r="AB174" s="224"/>
      <c r="AC174" s="224"/>
      <c r="AD174" s="143" t="s">
        <v>2185</v>
      </c>
      <c r="AE174" s="143" t="s">
        <v>2254</v>
      </c>
    </row>
    <row r="175" spans="1:31" ht="24.95" customHeight="1" x14ac:dyDescent="0.2">
      <c r="A175" s="144">
        <v>287</v>
      </c>
      <c r="B175" s="150" t="s">
        <v>2398</v>
      </c>
      <c r="C175" s="146" t="s">
        <v>2183</v>
      </c>
      <c r="D175" s="146" t="s">
        <v>2183</v>
      </c>
      <c r="E175" s="147" t="s">
        <v>2184</v>
      </c>
      <c r="F175" s="148">
        <f>63+50+1904+1347</f>
        <v>3364</v>
      </c>
      <c r="G175" s="149">
        <v>6044</v>
      </c>
      <c r="H175" s="149">
        <v>90</v>
      </c>
      <c r="I175" s="196"/>
      <c r="J175" s="149">
        <v>4004</v>
      </c>
      <c r="K175" s="149">
        <v>6044</v>
      </c>
      <c r="L175" s="149">
        <v>76</v>
      </c>
      <c r="M175" s="149">
        <v>3719</v>
      </c>
      <c r="N175" s="149">
        <v>22</v>
      </c>
      <c r="O175" s="149">
        <v>4128</v>
      </c>
      <c r="P175" s="224"/>
      <c r="Q175" s="224"/>
      <c r="R175" s="224"/>
      <c r="S175" s="224"/>
      <c r="T175" s="224"/>
      <c r="U175" s="224"/>
      <c r="V175" s="224"/>
      <c r="W175" s="224"/>
      <c r="X175" s="224"/>
      <c r="Y175" s="224"/>
      <c r="Z175" s="224"/>
      <c r="AA175" s="224"/>
      <c r="AB175" s="224"/>
      <c r="AC175" s="224"/>
      <c r="AD175" s="143" t="s">
        <v>2185</v>
      </c>
      <c r="AE175" s="143" t="s">
        <v>2254</v>
      </c>
    </row>
    <row r="176" spans="1:31" ht="24.95" customHeight="1" x14ac:dyDescent="0.2">
      <c r="A176" s="144">
        <v>288</v>
      </c>
      <c r="B176" s="150" t="s">
        <v>2399</v>
      </c>
      <c r="C176" s="146" t="s">
        <v>2309</v>
      </c>
      <c r="D176" s="146" t="s">
        <v>2309</v>
      </c>
      <c r="E176" s="147" t="s">
        <v>2223</v>
      </c>
      <c r="F176" s="148">
        <v>3827</v>
      </c>
      <c r="G176" s="149">
        <v>4572</v>
      </c>
      <c r="H176" s="149">
        <v>66</v>
      </c>
      <c r="I176" s="196"/>
      <c r="J176" s="149">
        <v>4062</v>
      </c>
      <c r="K176" s="149">
        <v>4184</v>
      </c>
      <c r="L176" s="149">
        <v>56</v>
      </c>
      <c r="M176" s="149">
        <v>3206</v>
      </c>
      <c r="N176" s="149">
        <v>0</v>
      </c>
      <c r="O176" s="149">
        <v>2535</v>
      </c>
      <c r="P176" s="224"/>
      <c r="Q176" s="224"/>
      <c r="R176" s="224"/>
      <c r="S176" s="224"/>
      <c r="T176" s="224"/>
      <c r="U176" s="224"/>
      <c r="V176" s="224"/>
      <c r="W176" s="224"/>
      <c r="X176" s="224"/>
      <c r="Y176" s="224"/>
      <c r="Z176" s="224"/>
      <c r="AA176" s="224"/>
      <c r="AB176" s="224"/>
      <c r="AC176" s="224"/>
      <c r="AD176" s="143" t="s">
        <v>2185</v>
      </c>
      <c r="AE176" s="143" t="s">
        <v>2254</v>
      </c>
    </row>
    <row r="177" spans="1:31" ht="24.95" customHeight="1" x14ac:dyDescent="0.2">
      <c r="A177" s="144">
        <v>289</v>
      </c>
      <c r="B177" s="150" t="s">
        <v>2400</v>
      </c>
      <c r="C177" s="146" t="s">
        <v>2256</v>
      </c>
      <c r="D177" s="146" t="s">
        <v>2282</v>
      </c>
      <c r="E177" s="147" t="s">
        <v>2184</v>
      </c>
      <c r="F177" s="148">
        <v>325</v>
      </c>
      <c r="G177" s="149">
        <v>440</v>
      </c>
      <c r="H177" s="149">
        <v>12</v>
      </c>
      <c r="I177" s="196"/>
      <c r="J177" s="149">
        <v>270</v>
      </c>
      <c r="K177" s="149">
        <v>425</v>
      </c>
      <c r="L177" s="149">
        <v>11</v>
      </c>
      <c r="M177" s="149">
        <v>393</v>
      </c>
      <c r="N177" s="149">
        <v>1</v>
      </c>
      <c r="O177" s="149">
        <v>357</v>
      </c>
      <c r="P177" s="224"/>
      <c r="Q177" s="224"/>
      <c r="R177" s="224"/>
      <c r="S177" s="224"/>
      <c r="T177" s="224"/>
      <c r="U177" s="224"/>
      <c r="V177" s="224"/>
      <c r="W177" s="224"/>
      <c r="X177" s="224"/>
      <c r="Y177" s="224"/>
      <c r="Z177" s="224"/>
      <c r="AA177" s="224"/>
      <c r="AB177" s="224"/>
      <c r="AC177" s="224"/>
      <c r="AD177" s="143" t="s">
        <v>2185</v>
      </c>
      <c r="AE177" s="143" t="s">
        <v>2186</v>
      </c>
    </row>
    <row r="178" spans="1:31" ht="24.95" customHeight="1" x14ac:dyDescent="0.2">
      <c r="A178" s="144">
        <v>290</v>
      </c>
      <c r="B178" s="150" t="s">
        <v>2401</v>
      </c>
      <c r="C178" s="146" t="s">
        <v>2309</v>
      </c>
      <c r="D178" s="146" t="s">
        <v>2309</v>
      </c>
      <c r="E178" s="147" t="s">
        <v>2223</v>
      </c>
      <c r="F178" s="148">
        <v>3185</v>
      </c>
      <c r="G178" s="149">
        <v>4230</v>
      </c>
      <c r="H178" s="149">
        <v>22</v>
      </c>
      <c r="I178" s="196"/>
      <c r="J178" s="149">
        <v>2664</v>
      </c>
      <c r="K178" s="149">
        <v>3929</v>
      </c>
      <c r="L178" s="149">
        <v>17</v>
      </c>
      <c r="M178" s="149">
        <v>1289</v>
      </c>
      <c r="N178" s="149">
        <v>0</v>
      </c>
      <c r="O178" s="149">
        <v>721</v>
      </c>
      <c r="P178" s="224"/>
      <c r="Q178" s="224"/>
      <c r="R178" s="224"/>
      <c r="S178" s="224"/>
      <c r="T178" s="224"/>
      <c r="U178" s="224"/>
      <c r="V178" s="224"/>
      <c r="W178" s="224"/>
      <c r="X178" s="224"/>
      <c r="Y178" s="224"/>
      <c r="Z178" s="224"/>
      <c r="AA178" s="224"/>
      <c r="AB178" s="224"/>
      <c r="AC178" s="224"/>
      <c r="AD178" s="143" t="s">
        <v>2185</v>
      </c>
      <c r="AE178" s="143" t="s">
        <v>2254</v>
      </c>
    </row>
    <row r="179" spans="1:31" ht="24.95" customHeight="1" x14ac:dyDescent="0.2">
      <c r="A179" s="144">
        <v>303</v>
      </c>
      <c r="B179" s="145" t="s">
        <v>2402</v>
      </c>
      <c r="C179" s="146" t="s">
        <v>2215</v>
      </c>
      <c r="D179" s="146" t="s">
        <v>2215</v>
      </c>
      <c r="E179" s="147" t="s">
        <v>2265</v>
      </c>
      <c r="F179" s="148">
        <v>0</v>
      </c>
      <c r="G179" s="149">
        <f>60+145+570+830+1425+91</f>
        <v>3121</v>
      </c>
      <c r="H179" s="149">
        <v>0</v>
      </c>
      <c r="I179" s="196"/>
      <c r="J179" s="149">
        <v>3191</v>
      </c>
      <c r="K179" s="149">
        <v>3120</v>
      </c>
      <c r="L179" s="149">
        <v>7</v>
      </c>
      <c r="M179" s="149">
        <v>2019</v>
      </c>
      <c r="N179" s="149">
        <v>0</v>
      </c>
      <c r="O179" s="149">
        <v>2830</v>
      </c>
      <c r="P179" s="224"/>
      <c r="Q179" s="224"/>
      <c r="R179" s="224"/>
      <c r="S179" s="224"/>
      <c r="T179" s="224"/>
      <c r="U179" s="224"/>
      <c r="V179" s="224"/>
      <c r="W179" s="224"/>
      <c r="X179" s="224"/>
      <c r="Y179" s="224"/>
      <c r="Z179" s="224"/>
      <c r="AA179" s="224"/>
      <c r="AB179" s="224"/>
      <c r="AC179" s="224"/>
      <c r="AD179" s="143" t="s">
        <v>2185</v>
      </c>
      <c r="AE179" s="143" t="s">
        <v>2254</v>
      </c>
    </row>
    <row r="180" spans="1:31" ht="24.95" customHeight="1" x14ac:dyDescent="0.2">
      <c r="A180" s="144">
        <v>381</v>
      </c>
      <c r="B180" s="145" t="s">
        <v>2403</v>
      </c>
      <c r="C180" s="146" t="s">
        <v>2183</v>
      </c>
      <c r="D180" s="146" t="s">
        <v>2183</v>
      </c>
      <c r="E180" s="147" t="s">
        <v>2404</v>
      </c>
      <c r="F180" s="148">
        <v>4960</v>
      </c>
      <c r="G180" s="149">
        <f>110+510+915+2810+136+31+2432</f>
        <v>6944</v>
      </c>
      <c r="H180" s="149">
        <v>114</v>
      </c>
      <c r="I180" s="196"/>
      <c r="J180" s="149">
        <v>4440</v>
      </c>
      <c r="K180" s="149">
        <v>6940</v>
      </c>
      <c r="L180" s="149">
        <v>18</v>
      </c>
      <c r="M180" s="149">
        <v>6479</v>
      </c>
      <c r="N180" s="149">
        <v>0</v>
      </c>
      <c r="O180" s="149">
        <v>6209</v>
      </c>
      <c r="P180" s="224"/>
      <c r="Q180" s="224"/>
      <c r="R180" s="224"/>
      <c r="S180" s="224"/>
      <c r="T180" s="224"/>
      <c r="U180" s="224"/>
      <c r="V180" s="224"/>
      <c r="W180" s="224"/>
      <c r="X180" s="224"/>
      <c r="Y180" s="224"/>
      <c r="Z180" s="224"/>
      <c r="AA180" s="224"/>
      <c r="AB180" s="224"/>
      <c r="AC180" s="224"/>
      <c r="AD180" s="143" t="s">
        <v>2185</v>
      </c>
      <c r="AE180" s="143" t="s">
        <v>2254</v>
      </c>
    </row>
    <row r="181" spans="1:31" ht="24.95" customHeight="1" x14ac:dyDescent="0.2">
      <c r="A181" s="144">
        <v>382</v>
      </c>
      <c r="B181" s="145" t="s">
        <v>2405</v>
      </c>
      <c r="C181" s="146" t="s">
        <v>2183</v>
      </c>
      <c r="D181" s="146" t="s">
        <v>2183</v>
      </c>
      <c r="E181" s="147" t="s">
        <v>2404</v>
      </c>
      <c r="F181" s="148">
        <f>1000+4410</f>
        <v>5410</v>
      </c>
      <c r="G181" s="149">
        <f>65+200+815+1+2818+4844</f>
        <v>8743</v>
      </c>
      <c r="H181" s="149">
        <v>98</v>
      </c>
      <c r="I181" s="196"/>
      <c r="J181" s="149">
        <v>6285</v>
      </c>
      <c r="K181" s="149">
        <v>9685</v>
      </c>
      <c r="L181" s="149">
        <v>6</v>
      </c>
      <c r="M181" s="149">
        <v>4662</v>
      </c>
      <c r="N181" s="149">
        <v>0</v>
      </c>
      <c r="O181" s="149">
        <v>4821</v>
      </c>
      <c r="P181" s="224"/>
      <c r="Q181" s="224"/>
      <c r="R181" s="224"/>
      <c r="S181" s="224"/>
      <c r="T181" s="224"/>
      <c r="U181" s="224"/>
      <c r="V181" s="224"/>
      <c r="W181" s="224"/>
      <c r="X181" s="224"/>
      <c r="Y181" s="224"/>
      <c r="Z181" s="224"/>
      <c r="AA181" s="224"/>
      <c r="AB181" s="224"/>
      <c r="AC181" s="224"/>
      <c r="AD181" s="143" t="s">
        <v>2185</v>
      </c>
      <c r="AE181" s="143" t="s">
        <v>2254</v>
      </c>
    </row>
    <row r="182" spans="1:31" ht="24.95" customHeight="1" x14ac:dyDescent="0.2">
      <c r="A182" s="144">
        <v>385</v>
      </c>
      <c r="B182" s="150" t="s">
        <v>2406</v>
      </c>
      <c r="C182" s="146" t="s">
        <v>2309</v>
      </c>
      <c r="D182" s="146" t="s">
        <v>2309</v>
      </c>
      <c r="E182" s="147" t="s">
        <v>2223</v>
      </c>
      <c r="F182" s="148">
        <v>471</v>
      </c>
      <c r="G182" s="149">
        <v>1833</v>
      </c>
      <c r="H182" s="149">
        <v>4</v>
      </c>
      <c r="I182" s="196"/>
      <c r="J182" s="149">
        <v>549</v>
      </c>
      <c r="K182" s="149">
        <v>1832</v>
      </c>
      <c r="L182" s="149">
        <v>3</v>
      </c>
      <c r="M182" s="149">
        <v>278</v>
      </c>
      <c r="N182" s="149">
        <v>0</v>
      </c>
      <c r="O182" s="149">
        <v>137</v>
      </c>
      <c r="P182" s="224"/>
      <c r="Q182" s="224"/>
      <c r="R182" s="224"/>
      <c r="S182" s="224"/>
      <c r="T182" s="224"/>
      <c r="U182" s="224"/>
      <c r="V182" s="224"/>
      <c r="W182" s="224"/>
      <c r="X182" s="224"/>
      <c r="Y182" s="224"/>
      <c r="Z182" s="224"/>
      <c r="AA182" s="224"/>
      <c r="AB182" s="224"/>
      <c r="AC182" s="224"/>
      <c r="AD182" s="143" t="s">
        <v>2185</v>
      </c>
      <c r="AE182" s="143" t="s">
        <v>2254</v>
      </c>
    </row>
    <row r="183" spans="1:31" ht="24.95" customHeight="1" x14ac:dyDescent="0.2">
      <c r="A183" s="144">
        <v>386</v>
      </c>
      <c r="B183" s="150" t="s">
        <v>2407</v>
      </c>
      <c r="C183" s="146" t="s">
        <v>2230</v>
      </c>
      <c r="D183" s="146" t="s">
        <v>2230</v>
      </c>
      <c r="E183" s="147" t="s">
        <v>2223</v>
      </c>
      <c r="F183" s="148">
        <v>6440</v>
      </c>
      <c r="G183" s="149">
        <v>5405</v>
      </c>
      <c r="H183" s="149">
        <v>75</v>
      </c>
      <c r="I183" s="196"/>
      <c r="J183" s="149">
        <v>5664</v>
      </c>
      <c r="K183" s="149">
        <v>5405</v>
      </c>
      <c r="L183" s="149">
        <v>75</v>
      </c>
      <c r="M183" s="149">
        <v>1270</v>
      </c>
      <c r="N183" s="149">
        <v>0</v>
      </c>
      <c r="O183" s="149">
        <v>1979</v>
      </c>
      <c r="P183" s="224"/>
      <c r="Q183" s="224"/>
      <c r="R183" s="224"/>
      <c r="S183" s="224"/>
      <c r="T183" s="224"/>
      <c r="U183" s="224"/>
      <c r="V183" s="224"/>
      <c r="W183" s="224"/>
      <c r="X183" s="224"/>
      <c r="Y183" s="224"/>
      <c r="Z183" s="224"/>
      <c r="AA183" s="224"/>
      <c r="AB183" s="224"/>
      <c r="AC183" s="224"/>
      <c r="AD183" s="143" t="s">
        <v>2185</v>
      </c>
      <c r="AE183" s="143" t="s">
        <v>2186</v>
      </c>
    </row>
    <row r="184" spans="1:31" ht="24.95" customHeight="1" x14ac:dyDescent="0.2">
      <c r="A184" s="144">
        <v>387</v>
      </c>
      <c r="B184" s="145" t="s">
        <v>2408</v>
      </c>
      <c r="C184" s="146" t="s">
        <v>2312</v>
      </c>
      <c r="D184" s="146" t="s">
        <v>2312</v>
      </c>
      <c r="E184" s="147" t="s">
        <v>2265</v>
      </c>
      <c r="F184" s="148">
        <v>4560</v>
      </c>
      <c r="G184" s="149">
        <v>4445</v>
      </c>
      <c r="H184" s="149">
        <v>53</v>
      </c>
      <c r="I184" s="196"/>
      <c r="J184" s="149">
        <v>4507</v>
      </c>
      <c r="K184" s="149">
        <v>4615</v>
      </c>
      <c r="L184" s="149">
        <v>51</v>
      </c>
      <c r="M184" s="149">
        <v>2854</v>
      </c>
      <c r="N184" s="149">
        <v>1</v>
      </c>
      <c r="O184" s="149">
        <v>2833</v>
      </c>
      <c r="P184" s="224"/>
      <c r="Q184" s="224"/>
      <c r="R184" s="224"/>
      <c r="S184" s="224"/>
      <c r="T184" s="224"/>
      <c r="U184" s="224"/>
      <c r="V184" s="224"/>
      <c r="W184" s="224"/>
      <c r="X184" s="224"/>
      <c r="Y184" s="224"/>
      <c r="Z184" s="224"/>
      <c r="AA184" s="224"/>
      <c r="AB184" s="224"/>
      <c r="AC184" s="224"/>
      <c r="AD184" s="143" t="s">
        <v>2185</v>
      </c>
      <c r="AE184" s="143" t="s">
        <v>2254</v>
      </c>
    </row>
    <row r="185" spans="1:31" ht="24.95" customHeight="1" x14ac:dyDescent="0.2">
      <c r="A185" s="144">
        <v>389</v>
      </c>
      <c r="B185" s="145" t="s">
        <v>2409</v>
      </c>
      <c r="C185" s="146" t="s">
        <v>2256</v>
      </c>
      <c r="D185" s="146" t="s">
        <v>2256</v>
      </c>
      <c r="E185" s="147" t="s">
        <v>2265</v>
      </c>
      <c r="F185" s="148">
        <v>2675</v>
      </c>
      <c r="G185" s="149">
        <v>2955</v>
      </c>
      <c r="H185" s="149">
        <v>43</v>
      </c>
      <c r="I185" s="196"/>
      <c r="J185" s="149">
        <v>2445</v>
      </c>
      <c r="K185" s="149">
        <v>2820</v>
      </c>
      <c r="L185" s="149">
        <v>38</v>
      </c>
      <c r="M185" s="149">
        <v>3891</v>
      </c>
      <c r="N185" s="149">
        <v>1</v>
      </c>
      <c r="O185" s="149">
        <v>2390</v>
      </c>
      <c r="P185" s="224"/>
      <c r="Q185" s="224"/>
      <c r="R185" s="224"/>
      <c r="S185" s="224"/>
      <c r="T185" s="224"/>
      <c r="U185" s="224"/>
      <c r="V185" s="224"/>
      <c r="W185" s="224"/>
      <c r="X185" s="224"/>
      <c r="Y185" s="224"/>
      <c r="Z185" s="224"/>
      <c r="AA185" s="224"/>
      <c r="AB185" s="224"/>
      <c r="AC185" s="224"/>
      <c r="AD185" s="143" t="s">
        <v>2185</v>
      </c>
      <c r="AE185" s="143" t="s">
        <v>2254</v>
      </c>
    </row>
    <row r="186" spans="1:31" ht="24.95" customHeight="1" x14ac:dyDescent="0.2">
      <c r="A186" s="144">
        <v>390</v>
      </c>
      <c r="B186" s="150" t="s">
        <v>2410</v>
      </c>
      <c r="C186" s="146" t="s">
        <v>2250</v>
      </c>
      <c r="D186" s="146" t="s">
        <v>2250</v>
      </c>
      <c r="E186" s="147" t="s">
        <v>2310</v>
      </c>
      <c r="F186" s="148">
        <v>3090</v>
      </c>
      <c r="G186" s="149">
        <v>4215</v>
      </c>
      <c r="H186" s="149">
        <v>42</v>
      </c>
      <c r="I186" s="196"/>
      <c r="J186" s="149">
        <v>3065</v>
      </c>
      <c r="K186" s="149">
        <v>4200</v>
      </c>
      <c r="L186" s="149">
        <v>32</v>
      </c>
      <c r="M186" s="149">
        <v>1518</v>
      </c>
      <c r="N186" s="149">
        <v>1</v>
      </c>
      <c r="O186" s="149">
        <v>1422</v>
      </c>
      <c r="P186" s="224"/>
      <c r="Q186" s="224"/>
      <c r="R186" s="224"/>
      <c r="S186" s="224"/>
      <c r="T186" s="224"/>
      <c r="U186" s="224"/>
      <c r="V186" s="224"/>
      <c r="W186" s="224"/>
      <c r="X186" s="224"/>
      <c r="Y186" s="224"/>
      <c r="Z186" s="224"/>
      <c r="AA186" s="224"/>
      <c r="AB186" s="224"/>
      <c r="AC186" s="224"/>
      <c r="AD186" s="143" t="s">
        <v>2185</v>
      </c>
      <c r="AE186" s="143" t="s">
        <v>2186</v>
      </c>
    </row>
    <row r="187" spans="1:31" ht="24.95" customHeight="1" x14ac:dyDescent="0.2">
      <c r="A187" s="144">
        <v>391</v>
      </c>
      <c r="B187" s="150" t="s">
        <v>2411</v>
      </c>
      <c r="C187" s="146" t="s">
        <v>2412</v>
      </c>
      <c r="D187" s="146" t="s">
        <v>2250</v>
      </c>
      <c r="E187" s="147" t="s">
        <v>2223</v>
      </c>
      <c r="F187" s="148">
        <v>9070</v>
      </c>
      <c r="G187" s="149">
        <v>9465</v>
      </c>
      <c r="H187" s="149">
        <v>110</v>
      </c>
      <c r="I187" s="196"/>
      <c r="J187" s="149">
        <v>8909</v>
      </c>
      <c r="K187" s="149">
        <v>6456</v>
      </c>
      <c r="L187" s="149">
        <v>111</v>
      </c>
      <c r="M187" s="149">
        <v>9735</v>
      </c>
      <c r="N187" s="149">
        <v>0</v>
      </c>
      <c r="O187" s="149">
        <v>9845</v>
      </c>
      <c r="P187" s="224"/>
      <c r="Q187" s="224"/>
      <c r="R187" s="224"/>
      <c r="S187" s="224"/>
      <c r="T187" s="224"/>
      <c r="U187" s="224"/>
      <c r="V187" s="224"/>
      <c r="W187" s="224"/>
      <c r="X187" s="224"/>
      <c r="Y187" s="224"/>
      <c r="Z187" s="224"/>
      <c r="AA187" s="224"/>
      <c r="AB187" s="224"/>
      <c r="AC187" s="224"/>
      <c r="AD187" s="143" t="s">
        <v>2185</v>
      </c>
      <c r="AE187" s="143" t="s">
        <v>2186</v>
      </c>
    </row>
    <row r="188" spans="1:31" ht="24.95" customHeight="1" x14ac:dyDescent="0.2">
      <c r="A188" s="144">
        <v>392</v>
      </c>
      <c r="B188" s="145" t="s">
        <v>2413</v>
      </c>
      <c r="C188" s="146" t="s">
        <v>2250</v>
      </c>
      <c r="D188" s="146" t="s">
        <v>2250</v>
      </c>
      <c r="E188" s="147" t="s">
        <v>2310</v>
      </c>
      <c r="F188" s="148">
        <v>7813</v>
      </c>
      <c r="G188" s="149">
        <v>4520</v>
      </c>
      <c r="H188" s="149">
        <v>68</v>
      </c>
      <c r="I188" s="196"/>
      <c r="J188" s="149">
        <v>7813</v>
      </c>
      <c r="K188" s="149">
        <v>4520</v>
      </c>
      <c r="L188" s="149">
        <v>66</v>
      </c>
      <c r="M188" s="149">
        <v>4253</v>
      </c>
      <c r="N188" s="149">
        <v>2</v>
      </c>
      <c r="O188" s="149">
        <v>5662</v>
      </c>
      <c r="P188" s="224"/>
      <c r="Q188" s="224"/>
      <c r="R188" s="224"/>
      <c r="S188" s="224"/>
      <c r="T188" s="224"/>
      <c r="U188" s="224"/>
      <c r="V188" s="224"/>
      <c r="W188" s="224"/>
      <c r="X188" s="224"/>
      <c r="Y188" s="224"/>
      <c r="Z188" s="224"/>
      <c r="AA188" s="224"/>
      <c r="AB188" s="224"/>
      <c r="AC188" s="224"/>
      <c r="AD188" s="143" t="s">
        <v>2185</v>
      </c>
      <c r="AE188" s="143" t="s">
        <v>2254</v>
      </c>
    </row>
    <row r="189" spans="1:31" ht="24.95" customHeight="1" x14ac:dyDescent="0.2">
      <c r="A189" s="144">
        <v>393</v>
      </c>
      <c r="B189" s="150" t="s">
        <v>2414</v>
      </c>
      <c r="C189" s="146" t="s">
        <v>2250</v>
      </c>
      <c r="D189" s="146" t="s">
        <v>2250</v>
      </c>
      <c r="E189" s="147" t="s">
        <v>2223</v>
      </c>
      <c r="F189" s="148">
        <v>3370</v>
      </c>
      <c r="G189" s="149">
        <v>6135</v>
      </c>
      <c r="H189" s="149">
        <v>58</v>
      </c>
      <c r="I189" s="196"/>
      <c r="J189" s="149">
        <v>2855</v>
      </c>
      <c r="K189" s="149">
        <v>6135</v>
      </c>
      <c r="L189" s="149">
        <v>19</v>
      </c>
      <c r="M189" s="149">
        <v>1171</v>
      </c>
      <c r="N189" s="149">
        <v>0</v>
      </c>
      <c r="O189" s="149">
        <v>1061</v>
      </c>
      <c r="P189" s="224"/>
      <c r="Q189" s="224"/>
      <c r="R189" s="224"/>
      <c r="S189" s="224"/>
      <c r="T189" s="224"/>
      <c r="U189" s="224"/>
      <c r="V189" s="224"/>
      <c r="W189" s="224"/>
      <c r="X189" s="224"/>
      <c r="Y189" s="224"/>
      <c r="Z189" s="224"/>
      <c r="AA189" s="224"/>
      <c r="AB189" s="224"/>
      <c r="AC189" s="224"/>
      <c r="AD189" s="143" t="s">
        <v>2185</v>
      </c>
      <c r="AE189" s="143" t="s">
        <v>2254</v>
      </c>
    </row>
    <row r="190" spans="1:31" ht="24.95" customHeight="1" x14ac:dyDescent="0.2">
      <c r="A190" s="144">
        <v>394</v>
      </c>
      <c r="B190" s="145" t="s">
        <v>2415</v>
      </c>
      <c r="C190" s="146" t="s">
        <v>2250</v>
      </c>
      <c r="D190" s="146" t="s">
        <v>2250</v>
      </c>
      <c r="E190" s="147" t="s">
        <v>2310</v>
      </c>
      <c r="F190" s="148">
        <v>10300</v>
      </c>
      <c r="G190" s="149">
        <v>7250</v>
      </c>
      <c r="H190" s="149">
        <v>109</v>
      </c>
      <c r="I190" s="196"/>
      <c r="J190" s="149">
        <v>10315</v>
      </c>
      <c r="K190" s="149">
        <v>7055</v>
      </c>
      <c r="L190" s="149">
        <v>106</v>
      </c>
      <c r="M190" s="149">
        <v>6225</v>
      </c>
      <c r="N190" s="149">
        <v>1</v>
      </c>
      <c r="O190" s="149">
        <v>8394</v>
      </c>
      <c r="P190" s="224"/>
      <c r="Q190" s="224"/>
      <c r="R190" s="224"/>
      <c r="S190" s="224"/>
      <c r="T190" s="224"/>
      <c r="U190" s="224"/>
      <c r="V190" s="224"/>
      <c r="W190" s="224"/>
      <c r="X190" s="224"/>
      <c r="Y190" s="224"/>
      <c r="Z190" s="224"/>
      <c r="AA190" s="224"/>
      <c r="AB190" s="224"/>
      <c r="AC190" s="224"/>
      <c r="AD190" s="143" t="s">
        <v>2185</v>
      </c>
      <c r="AE190" s="143" t="s">
        <v>2254</v>
      </c>
    </row>
    <row r="191" spans="1:31" ht="24.95" customHeight="1" x14ac:dyDescent="0.2">
      <c r="A191" s="144">
        <v>395</v>
      </c>
      <c r="B191" s="145" t="s">
        <v>2416</v>
      </c>
      <c r="C191" s="146" t="s">
        <v>2250</v>
      </c>
      <c r="D191" s="146" t="s">
        <v>2250</v>
      </c>
      <c r="E191" s="147" t="s">
        <v>2310</v>
      </c>
      <c r="F191" s="148">
        <v>11880</v>
      </c>
      <c r="G191" s="149">
        <v>7765</v>
      </c>
      <c r="H191" s="149">
        <v>154</v>
      </c>
      <c r="I191" s="196"/>
      <c r="J191" s="149">
        <v>12154</v>
      </c>
      <c r="K191" s="149">
        <v>7325</v>
      </c>
      <c r="L191" s="149">
        <v>152</v>
      </c>
      <c r="M191" s="149">
        <v>6783</v>
      </c>
      <c r="N191" s="149">
        <v>0</v>
      </c>
      <c r="O191" s="149">
        <v>8401</v>
      </c>
      <c r="P191" s="224"/>
      <c r="Q191" s="224"/>
      <c r="R191" s="224"/>
      <c r="S191" s="224"/>
      <c r="T191" s="224"/>
      <c r="U191" s="224"/>
      <c r="V191" s="224"/>
      <c r="W191" s="224"/>
      <c r="X191" s="224"/>
      <c r="Y191" s="224"/>
      <c r="Z191" s="224"/>
      <c r="AA191" s="224"/>
      <c r="AB191" s="224"/>
      <c r="AC191" s="224"/>
      <c r="AD191" s="143" t="s">
        <v>2185</v>
      </c>
      <c r="AE191" s="143" t="s">
        <v>2254</v>
      </c>
    </row>
    <row r="192" spans="1:31" ht="24.95" customHeight="1" x14ac:dyDescent="0.2">
      <c r="A192" s="144">
        <v>397</v>
      </c>
      <c r="B192" s="150" t="s">
        <v>2417</v>
      </c>
      <c r="C192" s="146" t="s">
        <v>2225</v>
      </c>
      <c r="D192" s="146" t="s">
        <v>2225</v>
      </c>
      <c r="E192" s="147" t="s">
        <v>2223</v>
      </c>
      <c r="F192" s="148">
        <v>6734</v>
      </c>
      <c r="G192" s="149">
        <v>4733</v>
      </c>
      <c r="H192" s="149">
        <v>82</v>
      </c>
      <c r="I192" s="196"/>
      <c r="J192" s="149">
        <v>6893</v>
      </c>
      <c r="K192" s="149">
        <v>4863</v>
      </c>
      <c r="L192" s="149">
        <v>78</v>
      </c>
      <c r="M192" s="149">
        <v>4531</v>
      </c>
      <c r="N192" s="149">
        <v>6</v>
      </c>
      <c r="O192" s="149">
        <v>5001</v>
      </c>
      <c r="P192" s="224"/>
      <c r="Q192" s="224"/>
      <c r="R192" s="224"/>
      <c r="S192" s="224"/>
      <c r="T192" s="224"/>
      <c r="U192" s="224"/>
      <c r="V192" s="224"/>
      <c r="W192" s="224"/>
      <c r="X192" s="224"/>
      <c r="Y192" s="224"/>
      <c r="Z192" s="224"/>
      <c r="AA192" s="224"/>
      <c r="AB192" s="224"/>
      <c r="AC192" s="224"/>
      <c r="AD192" s="143" t="s">
        <v>2185</v>
      </c>
      <c r="AE192" s="143" t="s">
        <v>2186</v>
      </c>
    </row>
    <row r="193" spans="1:31" ht="24.95" customHeight="1" x14ac:dyDescent="0.2">
      <c r="A193" s="144">
        <v>398</v>
      </c>
      <c r="B193" s="150" t="s">
        <v>2418</v>
      </c>
      <c r="C193" s="146" t="s">
        <v>2194</v>
      </c>
      <c r="D193" s="146" t="s">
        <v>2194</v>
      </c>
      <c r="E193" s="147" t="s">
        <v>2184</v>
      </c>
      <c r="F193" s="148">
        <v>1966</v>
      </c>
      <c r="G193" s="149">
        <v>2555</v>
      </c>
      <c r="H193" s="149">
        <v>31</v>
      </c>
      <c r="I193" s="196"/>
      <c r="J193" s="149">
        <v>2160</v>
      </c>
      <c r="K193" s="149">
        <v>2555</v>
      </c>
      <c r="L193" s="149">
        <v>27</v>
      </c>
      <c r="M193" s="149">
        <v>1557</v>
      </c>
      <c r="N193" s="149">
        <v>5</v>
      </c>
      <c r="O193" s="149">
        <v>1966</v>
      </c>
      <c r="P193" s="224"/>
      <c r="Q193" s="224"/>
      <c r="R193" s="224"/>
      <c r="S193" s="224"/>
      <c r="T193" s="224"/>
      <c r="U193" s="224"/>
      <c r="V193" s="224"/>
      <c r="W193" s="224"/>
      <c r="X193" s="224"/>
      <c r="Y193" s="224"/>
      <c r="Z193" s="224"/>
      <c r="AA193" s="224"/>
      <c r="AB193" s="224"/>
      <c r="AC193" s="224"/>
      <c r="AD193" s="143" t="s">
        <v>2185</v>
      </c>
      <c r="AE193" s="143" t="s">
        <v>2186</v>
      </c>
    </row>
    <row r="194" spans="1:31" ht="24.95" customHeight="1" x14ac:dyDescent="0.2">
      <c r="A194" s="144">
        <v>399</v>
      </c>
      <c r="B194" s="145" t="s">
        <v>2419</v>
      </c>
      <c r="C194" s="146" t="s">
        <v>2194</v>
      </c>
      <c r="D194" s="146" t="s">
        <v>2420</v>
      </c>
      <c r="E194" s="147" t="s">
        <v>2265</v>
      </c>
      <c r="F194" s="148">
        <f>50+620+4460</f>
        <v>5130</v>
      </c>
      <c r="G194" s="149">
        <v>4860</v>
      </c>
      <c r="H194" s="149">
        <v>20</v>
      </c>
      <c r="I194" s="196"/>
      <c r="J194" s="149">
        <v>4393</v>
      </c>
      <c r="K194" s="149">
        <v>4855</v>
      </c>
      <c r="L194" s="149">
        <v>17</v>
      </c>
      <c r="M194" s="149">
        <v>719</v>
      </c>
      <c r="N194" s="149">
        <v>1</v>
      </c>
      <c r="O194" s="149">
        <v>1103</v>
      </c>
      <c r="P194" s="224"/>
      <c r="Q194" s="224"/>
      <c r="R194" s="224"/>
      <c r="S194" s="224"/>
      <c r="T194" s="224"/>
      <c r="U194" s="224"/>
      <c r="V194" s="224"/>
      <c r="W194" s="224"/>
      <c r="X194" s="224"/>
      <c r="Y194" s="224"/>
      <c r="Z194" s="224"/>
      <c r="AA194" s="224"/>
      <c r="AB194" s="224"/>
      <c r="AC194" s="224"/>
      <c r="AD194" s="143" t="s">
        <v>2185</v>
      </c>
      <c r="AE194" s="143" t="s">
        <v>2254</v>
      </c>
    </row>
    <row r="195" spans="1:31" ht="24.95" customHeight="1" x14ac:dyDescent="0.2">
      <c r="A195" s="144">
        <v>402</v>
      </c>
      <c r="B195" s="150" t="s">
        <v>2421</v>
      </c>
      <c r="C195" s="146" t="s">
        <v>2215</v>
      </c>
      <c r="D195" s="146" t="s">
        <v>2215</v>
      </c>
      <c r="E195" s="147" t="s">
        <v>2184</v>
      </c>
      <c r="F195" s="148">
        <v>7788</v>
      </c>
      <c r="G195" s="149">
        <v>7235</v>
      </c>
      <c r="H195" s="149">
        <v>102</v>
      </c>
      <c r="I195" s="196"/>
      <c r="J195" s="149">
        <v>7607</v>
      </c>
      <c r="K195" s="149">
        <v>7376</v>
      </c>
      <c r="L195" s="149">
        <v>74</v>
      </c>
      <c r="M195" s="149">
        <v>5203</v>
      </c>
      <c r="N195" s="149">
        <v>18</v>
      </c>
      <c r="O195" s="149">
        <v>4566</v>
      </c>
      <c r="P195" s="224"/>
      <c r="Q195" s="224"/>
      <c r="R195" s="224"/>
      <c r="S195" s="224"/>
      <c r="T195" s="224"/>
      <c r="U195" s="224"/>
      <c r="V195" s="224"/>
      <c r="W195" s="224"/>
      <c r="X195" s="224"/>
      <c r="Y195" s="224"/>
      <c r="Z195" s="224"/>
      <c r="AA195" s="224"/>
      <c r="AB195" s="224"/>
      <c r="AC195" s="224"/>
      <c r="AD195" s="143" t="s">
        <v>2185</v>
      </c>
      <c r="AE195" s="143" t="s">
        <v>2254</v>
      </c>
    </row>
    <row r="196" spans="1:31" ht="24.95" customHeight="1" x14ac:dyDescent="0.2">
      <c r="A196" s="144">
        <v>403</v>
      </c>
      <c r="B196" s="145" t="s">
        <v>2422</v>
      </c>
      <c r="C196" s="146" t="s">
        <v>2215</v>
      </c>
      <c r="D196" s="146" t="s">
        <v>2215</v>
      </c>
      <c r="E196" s="147" t="s">
        <v>2265</v>
      </c>
      <c r="F196" s="148">
        <v>6590</v>
      </c>
      <c r="G196" s="149">
        <v>6525</v>
      </c>
      <c r="H196" s="149">
        <v>128</v>
      </c>
      <c r="I196" s="196"/>
      <c r="J196" s="149">
        <v>5934</v>
      </c>
      <c r="K196" s="149">
        <v>5765</v>
      </c>
      <c r="L196" s="149">
        <v>145</v>
      </c>
      <c r="M196" s="149">
        <v>6850</v>
      </c>
      <c r="N196" s="149">
        <v>10</v>
      </c>
      <c r="O196" s="149">
        <v>7246</v>
      </c>
      <c r="P196" s="224"/>
      <c r="Q196" s="224"/>
      <c r="R196" s="224"/>
      <c r="S196" s="224"/>
      <c r="T196" s="224"/>
      <c r="U196" s="224"/>
      <c r="V196" s="224"/>
      <c r="W196" s="224"/>
      <c r="X196" s="224"/>
      <c r="Y196" s="224"/>
      <c r="Z196" s="224"/>
      <c r="AA196" s="224"/>
      <c r="AB196" s="224"/>
      <c r="AC196" s="224"/>
      <c r="AD196" s="143" t="s">
        <v>2185</v>
      </c>
      <c r="AE196" s="143" t="s">
        <v>2254</v>
      </c>
    </row>
    <row r="197" spans="1:31" ht="24.95" customHeight="1" x14ac:dyDescent="0.2">
      <c r="A197" s="144">
        <v>404</v>
      </c>
      <c r="B197" s="145" t="s">
        <v>2423</v>
      </c>
      <c r="C197" s="146" t="s">
        <v>2215</v>
      </c>
      <c r="D197" s="146" t="s">
        <v>2215</v>
      </c>
      <c r="E197" s="147" t="s">
        <v>2184</v>
      </c>
      <c r="F197" s="148">
        <v>4345</v>
      </c>
      <c r="G197" s="149">
        <v>7139</v>
      </c>
      <c r="H197" s="149">
        <v>57</v>
      </c>
      <c r="I197" s="196"/>
      <c r="J197" s="149">
        <v>3920</v>
      </c>
      <c r="K197" s="149">
        <v>7135</v>
      </c>
      <c r="L197" s="149">
        <v>39</v>
      </c>
      <c r="M197" s="149">
        <v>3099</v>
      </c>
      <c r="N197" s="149">
        <v>2</v>
      </c>
      <c r="O197" s="149">
        <v>1689</v>
      </c>
      <c r="P197" s="224"/>
      <c r="Q197" s="224"/>
      <c r="R197" s="224"/>
      <c r="S197" s="224"/>
      <c r="T197" s="224"/>
      <c r="U197" s="224"/>
      <c r="V197" s="224"/>
      <c r="W197" s="224"/>
      <c r="X197" s="224"/>
      <c r="Y197" s="224"/>
      <c r="Z197" s="224"/>
      <c r="AA197" s="224"/>
      <c r="AB197" s="224"/>
      <c r="AC197" s="224"/>
      <c r="AD197" s="143" t="s">
        <v>2185</v>
      </c>
      <c r="AE197" s="143" t="s">
        <v>2254</v>
      </c>
    </row>
    <row r="198" spans="1:31" ht="24.95" customHeight="1" x14ac:dyDescent="0.2">
      <c r="A198" s="144">
        <v>404</v>
      </c>
      <c r="B198" s="145" t="s">
        <v>2424</v>
      </c>
      <c r="C198" s="146" t="s">
        <v>2215</v>
      </c>
      <c r="D198" s="146" t="s">
        <v>2215</v>
      </c>
      <c r="E198" s="147" t="s">
        <v>2404</v>
      </c>
      <c r="F198" s="148">
        <v>2890</v>
      </c>
      <c r="G198" s="149">
        <f>35+185+620+940+5460+1+98+1</f>
        <v>7340</v>
      </c>
      <c r="H198" s="149">
        <v>45</v>
      </c>
      <c r="I198" s="196"/>
      <c r="J198" s="149">
        <v>3920</v>
      </c>
      <c r="K198" s="149">
        <v>7135</v>
      </c>
      <c r="L198" s="149">
        <v>2</v>
      </c>
      <c r="M198" s="149">
        <v>3099</v>
      </c>
      <c r="N198" s="149"/>
      <c r="O198" s="149">
        <v>1689</v>
      </c>
      <c r="P198" s="224"/>
      <c r="Q198" s="224"/>
      <c r="R198" s="224"/>
      <c r="S198" s="224"/>
      <c r="T198" s="224"/>
      <c r="U198" s="224"/>
      <c r="V198" s="224"/>
      <c r="W198" s="224"/>
      <c r="X198" s="224"/>
      <c r="Y198" s="224"/>
      <c r="Z198" s="224"/>
      <c r="AA198" s="224"/>
      <c r="AB198" s="224"/>
      <c r="AC198" s="224"/>
      <c r="AD198" s="143" t="s">
        <v>2185</v>
      </c>
      <c r="AE198" s="143" t="s">
        <v>2254</v>
      </c>
    </row>
    <row r="199" spans="1:31" ht="24.95" customHeight="1" x14ac:dyDescent="0.2">
      <c r="A199" s="144">
        <v>406</v>
      </c>
      <c r="B199" s="145" t="s">
        <v>2425</v>
      </c>
      <c r="C199" s="146" t="s">
        <v>2215</v>
      </c>
      <c r="D199" s="146" t="s">
        <v>2215</v>
      </c>
      <c r="E199" s="147" t="s">
        <v>2310</v>
      </c>
      <c r="F199" s="148">
        <f>45+4020+2080</f>
        <v>6145</v>
      </c>
      <c r="G199" s="149">
        <v>8125</v>
      </c>
      <c r="H199" s="149">
        <v>105</v>
      </c>
      <c r="I199" s="196"/>
      <c r="J199" s="149">
        <v>6292</v>
      </c>
      <c r="K199" s="149">
        <v>8405</v>
      </c>
      <c r="L199" s="149">
        <v>121</v>
      </c>
      <c r="M199" s="149">
        <v>6826</v>
      </c>
      <c r="N199" s="149">
        <v>6</v>
      </c>
      <c r="O199" s="149">
        <v>6673</v>
      </c>
      <c r="P199" s="224"/>
      <c r="Q199" s="224"/>
      <c r="R199" s="224"/>
      <c r="S199" s="224"/>
      <c r="T199" s="224"/>
      <c r="U199" s="224"/>
      <c r="V199" s="224"/>
      <c r="W199" s="224"/>
      <c r="X199" s="224"/>
      <c r="Y199" s="224"/>
      <c r="Z199" s="224"/>
      <c r="AA199" s="224"/>
      <c r="AB199" s="224"/>
      <c r="AC199" s="224"/>
      <c r="AD199" s="143" t="s">
        <v>2185</v>
      </c>
      <c r="AE199" s="143" t="s">
        <v>2254</v>
      </c>
    </row>
    <row r="200" spans="1:31" ht="24.95" customHeight="1" x14ac:dyDescent="0.2">
      <c r="A200" s="144">
        <v>407</v>
      </c>
      <c r="B200" s="150" t="s">
        <v>2426</v>
      </c>
      <c r="C200" s="146" t="s">
        <v>2215</v>
      </c>
      <c r="D200" s="146" t="s">
        <v>2215</v>
      </c>
      <c r="E200" s="147" t="s">
        <v>2184</v>
      </c>
      <c r="F200" s="148">
        <v>2260</v>
      </c>
      <c r="G200" s="149">
        <v>3242</v>
      </c>
      <c r="H200" s="149">
        <v>38</v>
      </c>
      <c r="I200" s="196"/>
      <c r="J200" s="149">
        <v>2514</v>
      </c>
      <c r="K200" s="149">
        <v>4183</v>
      </c>
      <c r="L200" s="149">
        <v>35</v>
      </c>
      <c r="M200" s="149">
        <v>1617</v>
      </c>
      <c r="N200" s="149">
        <v>3</v>
      </c>
      <c r="O200" s="149">
        <v>1671</v>
      </c>
      <c r="P200" s="224"/>
      <c r="Q200" s="224"/>
      <c r="R200" s="224"/>
      <c r="S200" s="224"/>
      <c r="T200" s="224"/>
      <c r="U200" s="224"/>
      <c r="V200" s="224"/>
      <c r="W200" s="224"/>
      <c r="X200" s="224"/>
      <c r="Y200" s="224"/>
      <c r="Z200" s="224"/>
      <c r="AA200" s="224"/>
      <c r="AB200" s="224"/>
      <c r="AC200" s="224"/>
      <c r="AD200" s="143" t="s">
        <v>2185</v>
      </c>
      <c r="AE200" s="143" t="s">
        <v>2186</v>
      </c>
    </row>
    <row r="201" spans="1:31" ht="24.95" customHeight="1" x14ac:dyDescent="0.2">
      <c r="A201" s="144">
        <v>408</v>
      </c>
      <c r="B201" s="150" t="s">
        <v>2427</v>
      </c>
      <c r="C201" s="146" t="s">
        <v>2215</v>
      </c>
      <c r="D201" s="146" t="s">
        <v>2215</v>
      </c>
      <c r="E201" s="147" t="s">
        <v>2184</v>
      </c>
      <c r="F201" s="148">
        <v>3537</v>
      </c>
      <c r="G201" s="149">
        <v>4920</v>
      </c>
      <c r="H201" s="149">
        <v>50</v>
      </c>
      <c r="I201" s="196"/>
      <c r="J201" s="149">
        <v>3302</v>
      </c>
      <c r="K201" s="149">
        <v>5009</v>
      </c>
      <c r="L201" s="149">
        <v>38</v>
      </c>
      <c r="M201" s="149">
        <v>1593</v>
      </c>
      <c r="N201" s="149">
        <v>6</v>
      </c>
      <c r="O201" s="149">
        <v>2120</v>
      </c>
      <c r="P201" s="224"/>
      <c r="Q201" s="224"/>
      <c r="R201" s="224"/>
      <c r="S201" s="224"/>
      <c r="T201" s="224"/>
      <c r="U201" s="224"/>
      <c r="V201" s="224"/>
      <c r="W201" s="224"/>
      <c r="X201" s="224"/>
      <c r="Y201" s="224"/>
      <c r="Z201" s="224"/>
      <c r="AA201" s="224"/>
      <c r="AB201" s="224"/>
      <c r="AC201" s="224"/>
      <c r="AD201" s="143" t="s">
        <v>2185</v>
      </c>
      <c r="AE201" s="143" t="s">
        <v>2186</v>
      </c>
    </row>
    <row r="202" spans="1:31" ht="24.95" customHeight="1" x14ac:dyDescent="0.2">
      <c r="A202" s="144">
        <v>409</v>
      </c>
      <c r="B202" s="150" t="s">
        <v>2428</v>
      </c>
      <c r="C202" s="146" t="s">
        <v>2215</v>
      </c>
      <c r="D202" s="146" t="s">
        <v>2215</v>
      </c>
      <c r="E202" s="147" t="s">
        <v>2184</v>
      </c>
      <c r="F202" s="148">
        <v>2610</v>
      </c>
      <c r="G202" s="149">
        <v>2920</v>
      </c>
      <c r="H202" s="149">
        <v>74</v>
      </c>
      <c r="I202" s="196"/>
      <c r="J202" s="149">
        <v>2317</v>
      </c>
      <c r="K202" s="149">
        <v>2803</v>
      </c>
      <c r="L202" s="149">
        <v>68</v>
      </c>
      <c r="M202" s="149">
        <v>3851</v>
      </c>
      <c r="N202" s="149">
        <v>5</v>
      </c>
      <c r="O202" s="149">
        <v>3939</v>
      </c>
      <c r="P202" s="224"/>
      <c r="Q202" s="224"/>
      <c r="R202" s="224"/>
      <c r="S202" s="224"/>
      <c r="T202" s="224"/>
      <c r="U202" s="224"/>
      <c r="V202" s="224"/>
      <c r="W202" s="224"/>
      <c r="X202" s="224"/>
      <c r="Y202" s="224"/>
      <c r="Z202" s="224"/>
      <c r="AA202" s="224"/>
      <c r="AB202" s="224"/>
      <c r="AC202" s="224"/>
      <c r="AD202" s="143" t="s">
        <v>2185</v>
      </c>
      <c r="AE202" s="143" t="s">
        <v>2254</v>
      </c>
    </row>
    <row r="203" spans="1:31" ht="24.95" customHeight="1" x14ac:dyDescent="0.2">
      <c r="A203" s="144">
        <v>410</v>
      </c>
      <c r="B203" s="150" t="s">
        <v>2429</v>
      </c>
      <c r="C203" s="146" t="s">
        <v>2215</v>
      </c>
      <c r="D203" s="146" t="s">
        <v>2215</v>
      </c>
      <c r="E203" s="147" t="s">
        <v>2184</v>
      </c>
      <c r="F203" s="148">
        <v>6849</v>
      </c>
      <c r="G203" s="149">
        <v>8240</v>
      </c>
      <c r="H203" s="149">
        <v>117</v>
      </c>
      <c r="I203" s="196"/>
      <c r="J203" s="149">
        <v>6666</v>
      </c>
      <c r="K203" s="149">
        <v>8240</v>
      </c>
      <c r="L203" s="149">
        <v>98</v>
      </c>
      <c r="M203" s="149">
        <v>5806</v>
      </c>
      <c r="N203" s="149">
        <v>3</v>
      </c>
      <c r="O203" s="149">
        <v>5136</v>
      </c>
      <c r="P203" s="224"/>
      <c r="Q203" s="224"/>
      <c r="R203" s="224"/>
      <c r="S203" s="224"/>
      <c r="T203" s="224"/>
      <c r="U203" s="224"/>
      <c r="V203" s="224"/>
      <c r="W203" s="224"/>
      <c r="X203" s="224"/>
      <c r="Y203" s="224"/>
      <c r="Z203" s="224"/>
      <c r="AA203" s="224"/>
      <c r="AB203" s="224"/>
      <c r="AC203" s="224"/>
      <c r="AD203" s="143" t="s">
        <v>2185</v>
      </c>
      <c r="AE203" s="143" t="s">
        <v>2254</v>
      </c>
    </row>
    <row r="204" spans="1:31" ht="24.95" customHeight="1" x14ac:dyDescent="0.2">
      <c r="A204" s="144">
        <v>411</v>
      </c>
      <c r="B204" s="145" t="s">
        <v>2430</v>
      </c>
      <c r="C204" s="146" t="s">
        <v>2215</v>
      </c>
      <c r="D204" s="146" t="s">
        <v>2215</v>
      </c>
      <c r="E204" s="147" t="s">
        <v>2265</v>
      </c>
      <c r="F204" s="148">
        <v>5625</v>
      </c>
      <c r="G204" s="149">
        <f>155+250+3835</f>
        <v>4240</v>
      </c>
      <c r="H204" s="149">
        <v>62</v>
      </c>
      <c r="I204" s="196"/>
      <c r="J204" s="149">
        <v>5612</v>
      </c>
      <c r="K204" s="149">
        <v>4240</v>
      </c>
      <c r="L204" s="149">
        <v>84</v>
      </c>
      <c r="M204" s="149">
        <v>4745</v>
      </c>
      <c r="N204" s="149">
        <v>4</v>
      </c>
      <c r="O204" s="149">
        <v>5207</v>
      </c>
      <c r="P204" s="224"/>
      <c r="Q204" s="224"/>
      <c r="R204" s="224"/>
      <c r="S204" s="224"/>
      <c r="T204" s="224"/>
      <c r="U204" s="224"/>
      <c r="V204" s="224"/>
      <c r="W204" s="224"/>
      <c r="X204" s="224"/>
      <c r="Y204" s="224"/>
      <c r="Z204" s="224"/>
      <c r="AA204" s="224"/>
      <c r="AB204" s="224"/>
      <c r="AC204" s="224"/>
      <c r="AD204" s="143" t="s">
        <v>2185</v>
      </c>
      <c r="AE204" s="143" t="s">
        <v>2254</v>
      </c>
    </row>
    <row r="205" spans="1:31" ht="24.95" customHeight="1" x14ac:dyDescent="0.2">
      <c r="A205" s="144">
        <v>412</v>
      </c>
      <c r="B205" s="145" t="s">
        <v>2431</v>
      </c>
      <c r="C205" s="146" t="s">
        <v>2215</v>
      </c>
      <c r="D205" s="146" t="s">
        <v>2215</v>
      </c>
      <c r="E205" s="147" t="s">
        <v>2223</v>
      </c>
      <c r="F205" s="148">
        <v>2205</v>
      </c>
      <c r="G205" s="149">
        <v>4020</v>
      </c>
      <c r="H205" s="149">
        <v>53</v>
      </c>
      <c r="I205" s="196"/>
      <c r="J205" s="149">
        <v>2027</v>
      </c>
      <c r="K205" s="149">
        <v>4940</v>
      </c>
      <c r="L205" s="149">
        <v>23</v>
      </c>
      <c r="M205" s="149">
        <v>1615</v>
      </c>
      <c r="N205" s="149">
        <v>2</v>
      </c>
      <c r="O205" s="149">
        <v>1245</v>
      </c>
      <c r="P205" s="224"/>
      <c r="Q205" s="224"/>
      <c r="R205" s="224"/>
      <c r="S205" s="224"/>
      <c r="T205" s="224"/>
      <c r="U205" s="224"/>
      <c r="V205" s="224"/>
      <c r="W205" s="224"/>
      <c r="X205" s="224"/>
      <c r="Y205" s="224"/>
      <c r="Z205" s="224"/>
      <c r="AA205" s="224"/>
      <c r="AB205" s="224"/>
      <c r="AC205" s="224"/>
      <c r="AD205" s="143" t="s">
        <v>2185</v>
      </c>
      <c r="AE205" s="143" t="s">
        <v>2254</v>
      </c>
    </row>
    <row r="206" spans="1:31" ht="24.95" customHeight="1" x14ac:dyDescent="0.2">
      <c r="A206" s="144">
        <v>413</v>
      </c>
      <c r="B206" s="150" t="s">
        <v>2432</v>
      </c>
      <c r="C206" s="146" t="s">
        <v>2215</v>
      </c>
      <c r="D206" s="146" t="s">
        <v>2215</v>
      </c>
      <c r="E206" s="147" t="s">
        <v>2184</v>
      </c>
      <c r="F206" s="148">
        <v>4247</v>
      </c>
      <c r="G206" s="149">
        <v>5686</v>
      </c>
      <c r="H206" s="149">
        <v>79</v>
      </c>
      <c r="I206" s="196"/>
      <c r="J206" s="149">
        <v>4016</v>
      </c>
      <c r="K206" s="149">
        <f>540+918+40+315+1399+3438</f>
        <v>6650</v>
      </c>
      <c r="L206" s="149">
        <v>68</v>
      </c>
      <c r="M206" s="149">
        <v>3341</v>
      </c>
      <c r="N206" s="149">
        <v>8</v>
      </c>
      <c r="O206" s="149">
        <v>4250</v>
      </c>
      <c r="P206" s="224"/>
      <c r="Q206" s="224"/>
      <c r="R206" s="224"/>
      <c r="S206" s="224"/>
      <c r="T206" s="224"/>
      <c r="U206" s="224"/>
      <c r="V206" s="224"/>
      <c r="W206" s="224"/>
      <c r="X206" s="224"/>
      <c r="Y206" s="224"/>
      <c r="Z206" s="224"/>
      <c r="AA206" s="224"/>
      <c r="AB206" s="224"/>
      <c r="AC206" s="224"/>
      <c r="AD206" s="143" t="s">
        <v>2185</v>
      </c>
      <c r="AE206" s="143" t="s">
        <v>2186</v>
      </c>
    </row>
    <row r="207" spans="1:31" ht="24.95" customHeight="1" x14ac:dyDescent="0.2">
      <c r="A207" s="144">
        <v>415</v>
      </c>
      <c r="B207" s="150" t="s">
        <v>2433</v>
      </c>
      <c r="C207" s="146" t="s">
        <v>2215</v>
      </c>
      <c r="D207" s="146" t="s">
        <v>2215</v>
      </c>
      <c r="E207" s="147" t="s">
        <v>2184</v>
      </c>
      <c r="F207" s="148">
        <v>2673</v>
      </c>
      <c r="G207" s="149">
        <v>3559</v>
      </c>
      <c r="H207" s="149">
        <v>43</v>
      </c>
      <c r="I207" s="196"/>
      <c r="J207" s="149">
        <v>3015</v>
      </c>
      <c r="K207" s="149">
        <v>3629</v>
      </c>
      <c r="L207" s="149">
        <v>37</v>
      </c>
      <c r="M207" s="149">
        <v>1655</v>
      </c>
      <c r="N207" s="149">
        <v>5</v>
      </c>
      <c r="O207" s="149">
        <v>2032</v>
      </c>
      <c r="P207" s="224"/>
      <c r="Q207" s="224"/>
      <c r="R207" s="224"/>
      <c r="S207" s="224"/>
      <c r="T207" s="224"/>
      <c r="U207" s="224"/>
      <c r="V207" s="224"/>
      <c r="W207" s="224"/>
      <c r="X207" s="224"/>
      <c r="Y207" s="224"/>
      <c r="Z207" s="224"/>
      <c r="AA207" s="224"/>
      <c r="AB207" s="224"/>
      <c r="AC207" s="224"/>
      <c r="AD207" s="143" t="s">
        <v>2185</v>
      </c>
      <c r="AE207" s="143" t="s">
        <v>2186</v>
      </c>
    </row>
    <row r="208" spans="1:31" ht="24.95" customHeight="1" x14ac:dyDescent="0.2">
      <c r="A208" s="144">
        <v>416</v>
      </c>
      <c r="B208" s="145" t="s">
        <v>2434</v>
      </c>
      <c r="C208" s="146" t="s">
        <v>2222</v>
      </c>
      <c r="D208" s="146" t="s">
        <v>2222</v>
      </c>
      <c r="E208" s="147" t="s">
        <v>2223</v>
      </c>
      <c r="F208" s="148">
        <v>0</v>
      </c>
      <c r="G208" s="149">
        <v>995</v>
      </c>
      <c r="H208" s="149">
        <v>6</v>
      </c>
      <c r="I208" s="196"/>
      <c r="J208" s="149">
        <v>0</v>
      </c>
      <c r="K208" s="149">
        <v>995</v>
      </c>
      <c r="L208" s="149">
        <v>1</v>
      </c>
      <c r="M208" s="149">
        <v>97</v>
      </c>
      <c r="N208" s="149">
        <v>0</v>
      </c>
      <c r="O208" s="149">
        <v>135</v>
      </c>
      <c r="P208" s="224"/>
      <c r="Q208" s="224"/>
      <c r="R208" s="224"/>
      <c r="S208" s="224"/>
      <c r="T208" s="224"/>
      <c r="U208" s="224"/>
      <c r="V208" s="224"/>
      <c r="W208" s="224"/>
      <c r="X208" s="224"/>
      <c r="Y208" s="224"/>
      <c r="Z208" s="224"/>
      <c r="AA208" s="224"/>
      <c r="AB208" s="224"/>
      <c r="AC208" s="224"/>
      <c r="AD208" s="143" t="s">
        <v>2185</v>
      </c>
      <c r="AE208" s="143" t="s">
        <v>2254</v>
      </c>
    </row>
    <row r="209" spans="1:31" ht="24.95" customHeight="1" x14ac:dyDescent="0.2">
      <c r="A209" s="144">
        <v>417</v>
      </c>
      <c r="B209" s="145" t="s">
        <v>2435</v>
      </c>
      <c r="C209" s="146" t="s">
        <v>2256</v>
      </c>
      <c r="D209" s="146" t="s">
        <v>2436</v>
      </c>
      <c r="E209" s="147" t="s">
        <v>2265</v>
      </c>
      <c r="F209" s="148">
        <v>7600</v>
      </c>
      <c r="G209" s="149">
        <v>6140</v>
      </c>
      <c r="H209" s="149">
        <v>98</v>
      </c>
      <c r="I209" s="196"/>
      <c r="J209" s="149">
        <v>7302</v>
      </c>
      <c r="K209" s="149">
        <v>4739</v>
      </c>
      <c r="L209" s="149">
        <v>92</v>
      </c>
      <c r="M209" s="149">
        <v>4175</v>
      </c>
      <c r="N209" s="149">
        <v>2</v>
      </c>
      <c r="O209" s="149">
        <v>5635</v>
      </c>
      <c r="P209" s="224"/>
      <c r="Q209" s="224"/>
      <c r="R209" s="224"/>
      <c r="S209" s="224"/>
      <c r="T209" s="224"/>
      <c r="U209" s="224"/>
      <c r="V209" s="224"/>
      <c r="W209" s="224"/>
      <c r="X209" s="224"/>
      <c r="Y209" s="224"/>
      <c r="Z209" s="224"/>
      <c r="AA209" s="224"/>
      <c r="AB209" s="224"/>
      <c r="AC209" s="224"/>
      <c r="AD209" s="143" t="s">
        <v>2185</v>
      </c>
      <c r="AE209" s="143" t="s">
        <v>2254</v>
      </c>
    </row>
    <row r="210" spans="1:31" ht="24.95" customHeight="1" x14ac:dyDescent="0.2">
      <c r="A210" s="144">
        <v>418</v>
      </c>
      <c r="B210" s="145" t="s">
        <v>2437</v>
      </c>
      <c r="C210" s="146" t="s">
        <v>2436</v>
      </c>
      <c r="D210" s="146" t="s">
        <v>2436</v>
      </c>
      <c r="E210" s="147" t="s">
        <v>2265</v>
      </c>
      <c r="F210" s="148">
        <v>2395</v>
      </c>
      <c r="G210" s="149">
        <v>2565</v>
      </c>
      <c r="H210" s="149">
        <v>43</v>
      </c>
      <c r="I210" s="196"/>
      <c r="J210" s="149">
        <v>3058</v>
      </c>
      <c r="K210" s="149">
        <v>3234</v>
      </c>
      <c r="L210" s="149">
        <v>50</v>
      </c>
      <c r="M210" s="149">
        <v>2893</v>
      </c>
      <c r="N210" s="149">
        <v>3</v>
      </c>
      <c r="O210" s="149">
        <v>2670</v>
      </c>
      <c r="P210" s="224"/>
      <c r="Q210" s="224"/>
      <c r="R210" s="224"/>
      <c r="S210" s="224"/>
      <c r="T210" s="224"/>
      <c r="U210" s="224"/>
      <c r="V210" s="224"/>
      <c r="W210" s="224"/>
      <c r="X210" s="224"/>
      <c r="Y210" s="224"/>
      <c r="Z210" s="224"/>
      <c r="AA210" s="224"/>
      <c r="AB210" s="224"/>
      <c r="AC210" s="224"/>
      <c r="AD210" s="143" t="s">
        <v>2185</v>
      </c>
      <c r="AE210" s="143" t="s">
        <v>2254</v>
      </c>
    </row>
    <row r="211" spans="1:31" ht="24.95" customHeight="1" x14ac:dyDescent="0.2">
      <c r="A211" s="144">
        <v>419</v>
      </c>
      <c r="B211" s="145" t="s">
        <v>2438</v>
      </c>
      <c r="C211" s="146" t="s">
        <v>2436</v>
      </c>
      <c r="D211" s="146" t="s">
        <v>2436</v>
      </c>
      <c r="E211" s="147" t="s">
        <v>2265</v>
      </c>
      <c r="F211" s="148">
        <v>2610</v>
      </c>
      <c r="G211" s="149">
        <v>3130</v>
      </c>
      <c r="H211" s="149">
        <v>51</v>
      </c>
      <c r="I211" s="196"/>
      <c r="J211" s="149">
        <v>3118</v>
      </c>
      <c r="K211" s="149">
        <v>3225</v>
      </c>
      <c r="L211" s="149">
        <v>47</v>
      </c>
      <c r="M211" s="149">
        <v>2759</v>
      </c>
      <c r="N211" s="149">
        <v>2</v>
      </c>
      <c r="O211" s="149">
        <v>2899</v>
      </c>
      <c r="P211" s="224"/>
      <c r="Q211" s="224"/>
      <c r="R211" s="224"/>
      <c r="S211" s="224"/>
      <c r="T211" s="224"/>
      <c r="U211" s="224"/>
      <c r="V211" s="224"/>
      <c r="W211" s="224"/>
      <c r="X211" s="224"/>
      <c r="Y211" s="224"/>
      <c r="Z211" s="224"/>
      <c r="AA211" s="224"/>
      <c r="AB211" s="224"/>
      <c r="AC211" s="224"/>
      <c r="AD211" s="143" t="s">
        <v>2185</v>
      </c>
      <c r="AE211" s="143" t="s">
        <v>2254</v>
      </c>
    </row>
    <row r="212" spans="1:31" ht="24.95" customHeight="1" x14ac:dyDescent="0.2">
      <c r="A212" s="144">
        <v>420</v>
      </c>
      <c r="B212" s="150" t="s">
        <v>2439</v>
      </c>
      <c r="C212" s="146" t="s">
        <v>2298</v>
      </c>
      <c r="D212" s="146" t="s">
        <v>2298</v>
      </c>
      <c r="E212" s="147" t="s">
        <v>2310</v>
      </c>
      <c r="F212" s="148">
        <v>616</v>
      </c>
      <c r="G212" s="149">
        <v>666</v>
      </c>
      <c r="H212" s="149">
        <v>8</v>
      </c>
      <c r="I212" s="196"/>
      <c r="J212" s="149">
        <v>645</v>
      </c>
      <c r="K212" s="149">
        <v>616</v>
      </c>
      <c r="L212" s="149">
        <v>4</v>
      </c>
      <c r="M212" s="149">
        <v>201</v>
      </c>
      <c r="N212" s="149">
        <v>0</v>
      </c>
      <c r="O212" s="149">
        <v>114</v>
      </c>
      <c r="P212" s="224"/>
      <c r="Q212" s="224"/>
      <c r="R212" s="224"/>
      <c r="S212" s="224"/>
      <c r="T212" s="224"/>
      <c r="U212" s="224"/>
      <c r="V212" s="224"/>
      <c r="W212" s="224"/>
      <c r="X212" s="224"/>
      <c r="Y212" s="224"/>
      <c r="Z212" s="224"/>
      <c r="AA212" s="224"/>
      <c r="AB212" s="224"/>
      <c r="AC212" s="224"/>
      <c r="AD212" s="143" t="s">
        <v>2185</v>
      </c>
      <c r="AE212" s="143" t="s">
        <v>2186</v>
      </c>
    </row>
    <row r="213" spans="1:31" ht="24.95" customHeight="1" x14ac:dyDescent="0.2">
      <c r="A213" s="144">
        <v>426</v>
      </c>
      <c r="B213" s="150" t="s">
        <v>2440</v>
      </c>
      <c r="C213" s="146" t="s">
        <v>2436</v>
      </c>
      <c r="D213" s="146" t="s">
        <v>2436</v>
      </c>
      <c r="E213" s="147" t="s">
        <v>2184</v>
      </c>
      <c r="F213" s="148">
        <v>7015</v>
      </c>
      <c r="G213" s="149">
        <v>7015</v>
      </c>
      <c r="H213" s="149">
        <v>12</v>
      </c>
      <c r="I213" s="196"/>
      <c r="J213" s="149">
        <v>6763</v>
      </c>
      <c r="K213" s="149">
        <v>6815</v>
      </c>
      <c r="L213" s="149">
        <v>4</v>
      </c>
      <c r="M213" s="149">
        <v>527</v>
      </c>
      <c r="N213" s="149">
        <v>0</v>
      </c>
      <c r="O213" s="149">
        <v>529</v>
      </c>
      <c r="P213" s="224"/>
      <c r="Q213" s="224"/>
      <c r="R213" s="224"/>
      <c r="S213" s="224"/>
      <c r="T213" s="224"/>
      <c r="U213" s="224"/>
      <c r="V213" s="224"/>
      <c r="W213" s="224"/>
      <c r="X213" s="224"/>
      <c r="Y213" s="224"/>
      <c r="Z213" s="224"/>
      <c r="AA213" s="224"/>
      <c r="AB213" s="224"/>
      <c r="AC213" s="224"/>
      <c r="AD213" s="143" t="s">
        <v>2185</v>
      </c>
      <c r="AE213" s="143" t="s">
        <v>2186</v>
      </c>
    </row>
    <row r="214" spans="1:31" ht="24.95" customHeight="1" x14ac:dyDescent="0.2">
      <c r="A214" s="144">
        <v>427</v>
      </c>
      <c r="B214" s="150" t="s">
        <v>2441</v>
      </c>
      <c r="C214" s="146" t="s">
        <v>2436</v>
      </c>
      <c r="D214" s="146" t="s">
        <v>2436</v>
      </c>
      <c r="E214" s="147" t="s">
        <v>2184</v>
      </c>
      <c r="F214" s="148">
        <v>4025</v>
      </c>
      <c r="G214" s="149">
        <v>4015</v>
      </c>
      <c r="H214" s="149">
        <v>2</v>
      </c>
      <c r="I214" s="196"/>
      <c r="J214" s="149">
        <f>19+4207</f>
        <v>4226</v>
      </c>
      <c r="K214" s="149">
        <f>2594+1629</f>
        <v>4223</v>
      </c>
      <c r="L214" s="149">
        <v>0</v>
      </c>
      <c r="M214" s="149">
        <v>0</v>
      </c>
      <c r="N214" s="149">
        <v>1</v>
      </c>
      <c r="O214" s="149">
        <v>25</v>
      </c>
      <c r="P214" s="224"/>
      <c r="Q214" s="224"/>
      <c r="R214" s="224"/>
      <c r="S214" s="224"/>
      <c r="T214" s="224"/>
      <c r="U214" s="224"/>
      <c r="V214" s="224"/>
      <c r="W214" s="224"/>
      <c r="X214" s="224"/>
      <c r="Y214" s="224"/>
      <c r="Z214" s="224"/>
      <c r="AA214" s="224"/>
      <c r="AB214" s="224"/>
      <c r="AC214" s="224"/>
      <c r="AD214" s="143" t="s">
        <v>2185</v>
      </c>
      <c r="AE214" s="143" t="s">
        <v>2186</v>
      </c>
    </row>
    <row r="215" spans="1:31" ht="24.95" customHeight="1" x14ac:dyDescent="0.2">
      <c r="A215" s="144">
        <v>428</v>
      </c>
      <c r="B215" s="145" t="s">
        <v>2442</v>
      </c>
      <c r="C215" s="146" t="s">
        <v>2222</v>
      </c>
      <c r="D215" s="146" t="s">
        <v>2222</v>
      </c>
      <c r="E215" s="147" t="s">
        <v>2310</v>
      </c>
      <c r="F215" s="148">
        <v>940</v>
      </c>
      <c r="G215" s="149">
        <v>4545</v>
      </c>
      <c r="H215" s="149">
        <v>11</v>
      </c>
      <c r="I215" s="196"/>
      <c r="J215" s="149">
        <v>1070</v>
      </c>
      <c r="K215" s="149">
        <v>4545</v>
      </c>
      <c r="L215" s="149">
        <v>7</v>
      </c>
      <c r="M215" s="149">
        <v>303</v>
      </c>
      <c r="N215" s="149">
        <v>1</v>
      </c>
      <c r="O215" s="149">
        <v>398</v>
      </c>
      <c r="P215" s="224"/>
      <c r="Q215" s="224"/>
      <c r="R215" s="224"/>
      <c r="S215" s="224"/>
      <c r="T215" s="224"/>
      <c r="U215" s="224"/>
      <c r="V215" s="224"/>
      <c r="W215" s="224"/>
      <c r="X215" s="224"/>
      <c r="Y215" s="224"/>
      <c r="Z215" s="224"/>
      <c r="AA215" s="224"/>
      <c r="AB215" s="224"/>
      <c r="AC215" s="224"/>
      <c r="AD215" s="143" t="s">
        <v>2185</v>
      </c>
      <c r="AE215" s="143" t="s">
        <v>2254</v>
      </c>
    </row>
    <row r="216" spans="1:31" ht="24.95" customHeight="1" x14ac:dyDescent="0.2">
      <c r="A216" s="144">
        <v>429</v>
      </c>
      <c r="B216" s="150" t="s">
        <v>2443</v>
      </c>
      <c r="C216" s="146" t="s">
        <v>2298</v>
      </c>
      <c r="D216" s="146" t="s">
        <v>2298</v>
      </c>
      <c r="E216" s="147" t="s">
        <v>2265</v>
      </c>
      <c r="F216" s="148">
        <v>3725</v>
      </c>
      <c r="G216" s="149">
        <v>3865</v>
      </c>
      <c r="H216" s="149">
        <v>65</v>
      </c>
      <c r="I216" s="196"/>
      <c r="J216" s="149">
        <v>3567</v>
      </c>
      <c r="K216" s="149">
        <v>3794</v>
      </c>
      <c r="L216" s="149">
        <v>58</v>
      </c>
      <c r="M216" s="149">
        <v>1845</v>
      </c>
      <c r="N216" s="149">
        <v>0</v>
      </c>
      <c r="O216" s="149">
        <v>1341</v>
      </c>
      <c r="P216" s="224"/>
      <c r="Q216" s="224"/>
      <c r="R216" s="224"/>
      <c r="S216" s="224"/>
      <c r="T216" s="224"/>
      <c r="U216" s="224"/>
      <c r="V216" s="224"/>
      <c r="W216" s="224"/>
      <c r="X216" s="224"/>
      <c r="Y216" s="224"/>
      <c r="Z216" s="224"/>
      <c r="AA216" s="224"/>
      <c r="AB216" s="224"/>
      <c r="AC216" s="224"/>
      <c r="AD216" s="143" t="s">
        <v>2185</v>
      </c>
      <c r="AE216" s="143" t="s">
        <v>2186</v>
      </c>
    </row>
    <row r="217" spans="1:31" ht="24.95" customHeight="1" x14ac:dyDescent="0.2">
      <c r="A217" s="144">
        <v>430</v>
      </c>
      <c r="B217" s="150" t="s">
        <v>2444</v>
      </c>
      <c r="C217" s="146" t="s">
        <v>2436</v>
      </c>
      <c r="D217" s="146" t="s">
        <v>2436</v>
      </c>
      <c r="E217" s="147" t="s">
        <v>2184</v>
      </c>
      <c r="F217" s="148">
        <v>5670</v>
      </c>
      <c r="G217" s="149">
        <v>5705</v>
      </c>
      <c r="H217" s="149">
        <v>5</v>
      </c>
      <c r="I217" s="196"/>
      <c r="J217" s="149">
        <f>270+6851</f>
        <v>7121</v>
      </c>
      <c r="K217" s="149">
        <f>272+5934+120+449</f>
        <v>6775</v>
      </c>
      <c r="L217" s="149">
        <v>8</v>
      </c>
      <c r="M217" s="149">
        <v>1241</v>
      </c>
      <c r="N217" s="149">
        <v>0</v>
      </c>
      <c r="O217" s="149">
        <v>897</v>
      </c>
      <c r="P217" s="224"/>
      <c r="Q217" s="224"/>
      <c r="R217" s="224"/>
      <c r="S217" s="224"/>
      <c r="T217" s="224"/>
      <c r="U217" s="224"/>
      <c r="V217" s="224"/>
      <c r="W217" s="224"/>
      <c r="X217" s="224"/>
      <c r="Y217" s="224"/>
      <c r="Z217" s="224"/>
      <c r="AA217" s="224"/>
      <c r="AB217" s="224"/>
      <c r="AC217" s="224"/>
      <c r="AD217" s="143" t="s">
        <v>2185</v>
      </c>
      <c r="AE217" s="143" t="s">
        <v>2186</v>
      </c>
    </row>
    <row r="218" spans="1:31" ht="24.95" customHeight="1" x14ac:dyDescent="0.2">
      <c r="A218" s="144">
        <v>431</v>
      </c>
      <c r="B218" s="150" t="s">
        <v>2445</v>
      </c>
      <c r="C218" s="146" t="s">
        <v>2298</v>
      </c>
      <c r="D218" s="146" t="s">
        <v>2298</v>
      </c>
      <c r="E218" s="147" t="s">
        <v>2184</v>
      </c>
      <c r="F218" s="148">
        <v>1900</v>
      </c>
      <c r="G218" s="149">
        <v>1990</v>
      </c>
      <c r="H218" s="149">
        <v>45</v>
      </c>
      <c r="I218" s="196"/>
      <c r="J218" s="149">
        <v>1902</v>
      </c>
      <c r="K218" s="149">
        <v>1990</v>
      </c>
      <c r="L218" s="149">
        <v>44</v>
      </c>
      <c r="M218" s="149">
        <v>1288</v>
      </c>
      <c r="N218" s="149">
        <v>1</v>
      </c>
      <c r="O218" s="149">
        <v>911</v>
      </c>
      <c r="P218" s="224"/>
      <c r="Q218" s="224"/>
      <c r="R218" s="224"/>
      <c r="S218" s="224"/>
      <c r="T218" s="224"/>
      <c r="U218" s="224"/>
      <c r="V218" s="224"/>
      <c r="W218" s="224"/>
      <c r="X218" s="224"/>
      <c r="Y218" s="224"/>
      <c r="Z218" s="224"/>
      <c r="AA218" s="224"/>
      <c r="AB218" s="224"/>
      <c r="AC218" s="224"/>
      <c r="AD218" s="143" t="s">
        <v>2185</v>
      </c>
      <c r="AE218" s="143" t="s">
        <v>2186</v>
      </c>
    </row>
    <row r="219" spans="1:31" ht="24.95" customHeight="1" x14ac:dyDescent="0.2">
      <c r="A219" s="144">
        <v>432</v>
      </c>
      <c r="B219" s="150" t="s">
        <v>2446</v>
      </c>
      <c r="C219" s="146" t="s">
        <v>2298</v>
      </c>
      <c r="D219" s="146" t="s">
        <v>2298</v>
      </c>
      <c r="E219" s="147" t="s">
        <v>2265</v>
      </c>
      <c r="F219" s="148">
        <f>490+2535</f>
        <v>3025</v>
      </c>
      <c r="G219" s="149">
        <v>3650</v>
      </c>
      <c r="H219" s="149">
        <v>40</v>
      </c>
      <c r="I219" s="196"/>
      <c r="J219" s="149">
        <v>2776</v>
      </c>
      <c r="K219" s="149">
        <v>3615</v>
      </c>
      <c r="L219" s="149">
        <v>38</v>
      </c>
      <c r="M219" s="149">
        <v>770</v>
      </c>
      <c r="N219" s="149">
        <v>0</v>
      </c>
      <c r="O219" s="149">
        <v>887</v>
      </c>
      <c r="P219" s="224"/>
      <c r="Q219" s="224"/>
      <c r="R219" s="224"/>
      <c r="S219" s="224"/>
      <c r="T219" s="224"/>
      <c r="U219" s="224"/>
      <c r="V219" s="224"/>
      <c r="W219" s="224"/>
      <c r="X219" s="224"/>
      <c r="Y219" s="224"/>
      <c r="Z219" s="224"/>
      <c r="AA219" s="224"/>
      <c r="AB219" s="224"/>
      <c r="AC219" s="224"/>
      <c r="AD219" s="143" t="s">
        <v>2185</v>
      </c>
      <c r="AE219" s="143" t="s">
        <v>2186</v>
      </c>
    </row>
    <row r="220" spans="1:31" ht="24.95" customHeight="1" x14ac:dyDescent="0.2">
      <c r="A220" s="144">
        <v>433</v>
      </c>
      <c r="B220" s="150" t="s">
        <v>2447</v>
      </c>
      <c r="C220" s="146" t="s">
        <v>2298</v>
      </c>
      <c r="D220" s="146" t="s">
        <v>2298</v>
      </c>
      <c r="E220" s="147" t="s">
        <v>2184</v>
      </c>
      <c r="F220" s="148">
        <v>2549</v>
      </c>
      <c r="G220" s="149">
        <v>3170</v>
      </c>
      <c r="H220" s="149">
        <v>65</v>
      </c>
      <c r="I220" s="196"/>
      <c r="J220" s="149">
        <v>2672</v>
      </c>
      <c r="K220" s="149">
        <f>742+2371+57</f>
        <v>3170</v>
      </c>
      <c r="L220" s="149">
        <v>45</v>
      </c>
      <c r="M220" s="149">
        <v>620</v>
      </c>
      <c r="N220" s="149">
        <v>0</v>
      </c>
      <c r="O220" s="149">
        <f>58+414</f>
        <v>472</v>
      </c>
      <c r="P220" s="224"/>
      <c r="Q220" s="224"/>
      <c r="R220" s="224"/>
      <c r="S220" s="224"/>
      <c r="T220" s="224"/>
      <c r="U220" s="224"/>
      <c r="V220" s="224"/>
      <c r="W220" s="224"/>
      <c r="X220" s="224"/>
      <c r="Y220" s="224"/>
      <c r="Z220" s="224"/>
      <c r="AA220" s="224"/>
      <c r="AB220" s="224"/>
      <c r="AC220" s="224"/>
      <c r="AD220" s="143" t="s">
        <v>2185</v>
      </c>
      <c r="AE220" s="143" t="s">
        <v>2186</v>
      </c>
    </row>
    <row r="221" spans="1:31" ht="24.95" customHeight="1" x14ac:dyDescent="0.2">
      <c r="A221" s="144">
        <v>434</v>
      </c>
      <c r="B221" s="150" t="s">
        <v>2448</v>
      </c>
      <c r="C221" s="146" t="s">
        <v>2256</v>
      </c>
      <c r="D221" s="146" t="s">
        <v>2256</v>
      </c>
      <c r="E221" s="147" t="s">
        <v>2184</v>
      </c>
      <c r="F221" s="148">
        <v>8410</v>
      </c>
      <c r="G221" s="149">
        <v>6780</v>
      </c>
      <c r="H221" s="149">
        <v>122</v>
      </c>
      <c r="I221" s="196"/>
      <c r="J221" s="149">
        <v>8914</v>
      </c>
      <c r="K221" s="149">
        <v>9142</v>
      </c>
      <c r="L221" s="149">
        <v>124</v>
      </c>
      <c r="M221" s="149">
        <v>11530</v>
      </c>
      <c r="N221" s="149">
        <v>3</v>
      </c>
      <c r="O221" s="149">
        <v>8596</v>
      </c>
      <c r="P221" s="224"/>
      <c r="Q221" s="224"/>
      <c r="R221" s="224"/>
      <c r="S221" s="224"/>
      <c r="T221" s="224"/>
      <c r="U221" s="224"/>
      <c r="V221" s="224"/>
      <c r="W221" s="224"/>
      <c r="X221" s="224"/>
      <c r="Y221" s="224"/>
      <c r="Z221" s="224"/>
      <c r="AA221" s="224"/>
      <c r="AB221" s="224"/>
      <c r="AC221" s="224"/>
      <c r="AD221" s="143" t="s">
        <v>2185</v>
      </c>
      <c r="AE221" s="143" t="s">
        <v>2254</v>
      </c>
    </row>
    <row r="222" spans="1:31" ht="24.95" customHeight="1" x14ac:dyDescent="0.2">
      <c r="A222" s="144">
        <v>435</v>
      </c>
      <c r="B222" s="145" t="s">
        <v>2449</v>
      </c>
      <c r="C222" s="146" t="s">
        <v>2256</v>
      </c>
      <c r="D222" s="146" t="s">
        <v>2256</v>
      </c>
      <c r="E222" s="147" t="s">
        <v>2265</v>
      </c>
      <c r="F222" s="148">
        <v>6190</v>
      </c>
      <c r="G222" s="149">
        <v>6455</v>
      </c>
      <c r="H222" s="149">
        <v>125</v>
      </c>
      <c r="I222" s="196"/>
      <c r="J222" s="149">
        <v>7844</v>
      </c>
      <c r="K222" s="149">
        <v>6798</v>
      </c>
      <c r="L222" s="149">
        <v>107</v>
      </c>
      <c r="M222" s="149">
        <v>7484</v>
      </c>
      <c r="N222" s="149">
        <v>2</v>
      </c>
      <c r="O222" s="149">
        <v>8008</v>
      </c>
      <c r="P222" s="224"/>
      <c r="Q222" s="224"/>
      <c r="R222" s="224"/>
      <c r="S222" s="224"/>
      <c r="T222" s="224"/>
      <c r="U222" s="224"/>
      <c r="V222" s="224"/>
      <c r="W222" s="224"/>
      <c r="X222" s="224"/>
      <c r="Y222" s="224"/>
      <c r="Z222" s="224"/>
      <c r="AA222" s="224"/>
      <c r="AB222" s="224"/>
      <c r="AC222" s="224"/>
      <c r="AD222" s="143" t="s">
        <v>2185</v>
      </c>
      <c r="AE222" s="143" t="s">
        <v>2254</v>
      </c>
    </row>
    <row r="223" spans="1:31" ht="24.95" customHeight="1" x14ac:dyDescent="0.2">
      <c r="A223" s="144">
        <v>439</v>
      </c>
      <c r="B223" s="150" t="s">
        <v>2450</v>
      </c>
      <c r="C223" s="146" t="s">
        <v>2215</v>
      </c>
      <c r="D223" s="146" t="s">
        <v>2258</v>
      </c>
      <c r="E223" s="147" t="s">
        <v>2451</v>
      </c>
      <c r="F223" s="148">
        <v>6420</v>
      </c>
      <c r="G223" s="149">
        <v>11023</v>
      </c>
      <c r="H223" s="149">
        <v>161</v>
      </c>
      <c r="I223" s="196"/>
      <c r="J223" s="149">
        <v>6429</v>
      </c>
      <c r="K223" s="149">
        <v>11308</v>
      </c>
      <c r="L223" s="149">
        <v>131</v>
      </c>
      <c r="M223" s="149">
        <v>8073</v>
      </c>
      <c r="N223" s="149">
        <v>19</v>
      </c>
      <c r="O223" s="149">
        <v>8398</v>
      </c>
      <c r="P223" s="224"/>
      <c r="Q223" s="224"/>
      <c r="R223" s="224"/>
      <c r="S223" s="224"/>
      <c r="T223" s="224"/>
      <c r="U223" s="224"/>
      <c r="V223" s="224"/>
      <c r="W223" s="224"/>
      <c r="X223" s="224"/>
      <c r="Y223" s="224"/>
      <c r="Z223" s="224"/>
      <c r="AA223" s="224"/>
      <c r="AB223" s="224"/>
      <c r="AC223" s="224"/>
      <c r="AD223" s="143" t="s">
        <v>2185</v>
      </c>
      <c r="AE223" s="143" t="s">
        <v>2254</v>
      </c>
    </row>
    <row r="224" spans="1:31" ht="24.95" customHeight="1" x14ac:dyDescent="0.2">
      <c r="A224" s="144">
        <v>442</v>
      </c>
      <c r="B224" s="150" t="s">
        <v>2452</v>
      </c>
      <c r="C224" s="146" t="s">
        <v>2247</v>
      </c>
      <c r="D224" s="146" t="s">
        <v>2247</v>
      </c>
      <c r="E224" s="147" t="s">
        <v>2184</v>
      </c>
      <c r="F224" s="148">
        <f>3785+2746</f>
        <v>6531</v>
      </c>
      <c r="G224" s="149">
        <v>6357</v>
      </c>
      <c r="H224" s="149">
        <v>92</v>
      </c>
      <c r="I224" s="196"/>
      <c r="J224" s="149">
        <v>6317</v>
      </c>
      <c r="K224" s="149">
        <v>6284</v>
      </c>
      <c r="L224" s="149">
        <v>73</v>
      </c>
      <c r="M224" s="149">
        <v>5529</v>
      </c>
      <c r="N224" s="149">
        <v>8</v>
      </c>
      <c r="O224" s="149">
        <v>6238</v>
      </c>
      <c r="P224" s="224"/>
      <c r="Q224" s="224"/>
      <c r="R224" s="224"/>
      <c r="S224" s="224"/>
      <c r="T224" s="224"/>
      <c r="U224" s="224"/>
      <c r="V224" s="224"/>
      <c r="W224" s="224"/>
      <c r="X224" s="224"/>
      <c r="Y224" s="224"/>
      <c r="Z224" s="224"/>
      <c r="AA224" s="224"/>
      <c r="AB224" s="224"/>
      <c r="AC224" s="224"/>
      <c r="AD224" s="143" t="s">
        <v>2185</v>
      </c>
      <c r="AE224" s="143" t="s">
        <v>2186</v>
      </c>
    </row>
    <row r="225" spans="1:31" ht="24.95" customHeight="1" x14ac:dyDescent="0.2">
      <c r="A225" s="144">
        <v>443</v>
      </c>
      <c r="B225" s="145" t="s">
        <v>2453</v>
      </c>
      <c r="C225" s="146" t="s">
        <v>2256</v>
      </c>
      <c r="D225" s="146" t="s">
        <v>2256</v>
      </c>
      <c r="E225" s="147" t="s">
        <v>2265</v>
      </c>
      <c r="F225" s="148">
        <v>4360</v>
      </c>
      <c r="G225" s="149">
        <v>6230</v>
      </c>
      <c r="H225" s="149">
        <v>55</v>
      </c>
      <c r="I225" s="196"/>
      <c r="J225" s="149">
        <v>4751</v>
      </c>
      <c r="K225" s="149">
        <v>6230</v>
      </c>
      <c r="L225" s="149">
        <v>55</v>
      </c>
      <c r="M225" s="149">
        <v>3220</v>
      </c>
      <c r="N225" s="149">
        <v>0</v>
      </c>
      <c r="O225" s="149">
        <v>3101</v>
      </c>
      <c r="P225" s="224"/>
      <c r="Q225" s="224"/>
      <c r="R225" s="224"/>
      <c r="S225" s="224"/>
      <c r="T225" s="224"/>
      <c r="U225" s="224"/>
      <c r="V225" s="224"/>
      <c r="W225" s="224"/>
      <c r="X225" s="224"/>
      <c r="Y225" s="224"/>
      <c r="Z225" s="224"/>
      <c r="AA225" s="224"/>
      <c r="AB225" s="224"/>
      <c r="AC225" s="224"/>
      <c r="AD225" s="143" t="s">
        <v>2185</v>
      </c>
      <c r="AE225" s="143" t="s">
        <v>2254</v>
      </c>
    </row>
    <row r="226" spans="1:31" ht="24.95" customHeight="1" x14ac:dyDescent="0.2">
      <c r="A226" s="144">
        <v>458</v>
      </c>
      <c r="B226" s="150" t="s">
        <v>2454</v>
      </c>
      <c r="C226" s="146" t="s">
        <v>2250</v>
      </c>
      <c r="D226" s="146" t="s">
        <v>2250</v>
      </c>
      <c r="E226" s="147" t="s">
        <v>2223</v>
      </c>
      <c r="F226" s="148">
        <v>2395</v>
      </c>
      <c r="G226" s="149">
        <v>4750</v>
      </c>
      <c r="H226" s="149">
        <v>31</v>
      </c>
      <c r="I226" s="196"/>
      <c r="J226" s="149">
        <v>2857</v>
      </c>
      <c r="K226" s="149">
        <v>4725</v>
      </c>
      <c r="L226" s="149">
        <v>27</v>
      </c>
      <c r="M226" s="149">
        <v>1999</v>
      </c>
      <c r="N226" s="149">
        <v>4</v>
      </c>
      <c r="O226" s="149">
        <v>1877</v>
      </c>
      <c r="P226" s="224"/>
      <c r="Q226" s="224"/>
      <c r="R226" s="224"/>
      <c r="S226" s="224"/>
      <c r="T226" s="224"/>
      <c r="U226" s="224"/>
      <c r="V226" s="224"/>
      <c r="W226" s="224"/>
      <c r="X226" s="224"/>
      <c r="Y226" s="224"/>
      <c r="Z226" s="224"/>
      <c r="AA226" s="224"/>
      <c r="AB226" s="224"/>
      <c r="AC226" s="224"/>
      <c r="AD226" s="143" t="s">
        <v>2185</v>
      </c>
      <c r="AE226" s="143" t="s">
        <v>2186</v>
      </c>
    </row>
    <row r="227" spans="1:31" ht="24.95" customHeight="1" x14ac:dyDescent="0.2">
      <c r="A227" s="144">
        <v>461</v>
      </c>
      <c r="B227" s="150" t="s">
        <v>2455</v>
      </c>
      <c r="C227" s="146" t="s">
        <v>2288</v>
      </c>
      <c r="D227" s="146" t="s">
        <v>2288</v>
      </c>
      <c r="E227" s="147" t="s">
        <v>2223</v>
      </c>
      <c r="F227" s="148">
        <v>5485</v>
      </c>
      <c r="G227" s="149">
        <v>3260</v>
      </c>
      <c r="H227" s="149">
        <v>106</v>
      </c>
      <c r="I227" s="196"/>
      <c r="J227" s="149">
        <v>5865</v>
      </c>
      <c r="K227" s="149">
        <v>5067</v>
      </c>
      <c r="L227" s="149">
        <v>90</v>
      </c>
      <c r="M227" s="149">
        <v>4907</v>
      </c>
      <c r="N227" s="149">
        <v>5</v>
      </c>
      <c r="O227" s="149">
        <v>3158</v>
      </c>
      <c r="P227" s="224"/>
      <c r="Q227" s="224"/>
      <c r="R227" s="224"/>
      <c r="S227" s="224"/>
      <c r="T227" s="224"/>
      <c r="U227" s="224"/>
      <c r="V227" s="224"/>
      <c r="W227" s="224"/>
      <c r="X227" s="224"/>
      <c r="Y227" s="224"/>
      <c r="Z227" s="224"/>
      <c r="AA227" s="224"/>
      <c r="AB227" s="224"/>
      <c r="AC227" s="224"/>
      <c r="AD227" s="143" t="s">
        <v>2185</v>
      </c>
      <c r="AE227" s="143" t="s">
        <v>2254</v>
      </c>
    </row>
    <row r="228" spans="1:31" ht="24.95" customHeight="1" x14ac:dyDescent="0.2">
      <c r="A228" s="144">
        <v>463</v>
      </c>
      <c r="B228" s="145" t="s">
        <v>2456</v>
      </c>
      <c r="C228" s="146" t="s">
        <v>2194</v>
      </c>
      <c r="D228" s="146" t="s">
        <v>2288</v>
      </c>
      <c r="E228" s="147" t="s">
        <v>2265</v>
      </c>
      <c r="F228" s="148">
        <v>4730</v>
      </c>
      <c r="G228" s="149">
        <v>5155</v>
      </c>
      <c r="H228" s="149">
        <v>69</v>
      </c>
      <c r="I228" s="196"/>
      <c r="J228" s="149">
        <v>4718</v>
      </c>
      <c r="K228" s="149">
        <v>4685</v>
      </c>
      <c r="L228" s="149">
        <v>67</v>
      </c>
      <c r="M228" s="149">
        <v>4026</v>
      </c>
      <c r="N228" s="149">
        <v>1</v>
      </c>
      <c r="O228" s="149">
        <v>4118</v>
      </c>
      <c r="P228" s="224"/>
      <c r="Q228" s="224"/>
      <c r="R228" s="224"/>
      <c r="S228" s="224"/>
      <c r="T228" s="224"/>
      <c r="U228" s="224"/>
      <c r="V228" s="224"/>
      <c r="W228" s="224"/>
      <c r="X228" s="224"/>
      <c r="Y228" s="224"/>
      <c r="Z228" s="224"/>
      <c r="AA228" s="224"/>
      <c r="AB228" s="224"/>
      <c r="AC228" s="224"/>
      <c r="AD228" s="143" t="s">
        <v>2185</v>
      </c>
      <c r="AE228" s="143" t="s">
        <v>2254</v>
      </c>
    </row>
    <row r="229" spans="1:31" ht="24.95" customHeight="1" x14ac:dyDescent="0.2">
      <c r="A229" s="144">
        <v>464</v>
      </c>
      <c r="B229" s="145" t="s">
        <v>2457</v>
      </c>
      <c r="C229" s="146" t="s">
        <v>2194</v>
      </c>
      <c r="D229" s="146" t="s">
        <v>2288</v>
      </c>
      <c r="E229" s="147" t="s">
        <v>2265</v>
      </c>
      <c r="F229" s="148">
        <v>5500</v>
      </c>
      <c r="G229" s="149">
        <v>6600</v>
      </c>
      <c r="H229" s="149">
        <v>109</v>
      </c>
      <c r="I229" s="196"/>
      <c r="J229" s="149">
        <v>5268</v>
      </c>
      <c r="K229" s="149">
        <v>6600</v>
      </c>
      <c r="L229" s="149">
        <v>106</v>
      </c>
      <c r="M229" s="149">
        <v>8484</v>
      </c>
      <c r="N229" s="149">
        <v>2</v>
      </c>
      <c r="O229" s="149">
        <v>6792</v>
      </c>
      <c r="P229" s="224"/>
      <c r="Q229" s="224"/>
      <c r="R229" s="224"/>
      <c r="S229" s="224"/>
      <c r="T229" s="224"/>
      <c r="U229" s="224"/>
      <c r="V229" s="224"/>
      <c r="W229" s="224"/>
      <c r="X229" s="224"/>
      <c r="Y229" s="224"/>
      <c r="Z229" s="224"/>
      <c r="AA229" s="224"/>
      <c r="AB229" s="224"/>
      <c r="AC229" s="224"/>
      <c r="AD229" s="143" t="s">
        <v>2185</v>
      </c>
      <c r="AE229" s="143" t="s">
        <v>2254</v>
      </c>
    </row>
    <row r="230" spans="1:31" ht="24.95" customHeight="1" x14ac:dyDescent="0.2">
      <c r="A230" s="144">
        <v>465</v>
      </c>
      <c r="B230" s="145" t="s">
        <v>2458</v>
      </c>
      <c r="C230" s="146" t="s">
        <v>2194</v>
      </c>
      <c r="D230" s="146" t="s">
        <v>2288</v>
      </c>
      <c r="E230" s="147" t="s">
        <v>2265</v>
      </c>
      <c r="F230" s="148">
        <v>1320</v>
      </c>
      <c r="G230" s="149">
        <v>4185</v>
      </c>
      <c r="H230" s="149">
        <v>29</v>
      </c>
      <c r="I230" s="196"/>
      <c r="J230" s="149">
        <v>1028</v>
      </c>
      <c r="K230" s="149">
        <v>4185</v>
      </c>
      <c r="L230" s="149">
        <v>29</v>
      </c>
      <c r="M230" s="149">
        <v>1917</v>
      </c>
      <c r="N230" s="149">
        <v>0</v>
      </c>
      <c r="O230" s="149">
        <v>1312</v>
      </c>
      <c r="P230" s="224"/>
      <c r="Q230" s="224"/>
      <c r="R230" s="224"/>
      <c r="S230" s="224"/>
      <c r="T230" s="224"/>
      <c r="U230" s="224"/>
      <c r="V230" s="224"/>
      <c r="W230" s="224"/>
      <c r="X230" s="224"/>
      <c r="Y230" s="224"/>
      <c r="Z230" s="224"/>
      <c r="AA230" s="224"/>
      <c r="AB230" s="224"/>
      <c r="AC230" s="224"/>
      <c r="AD230" s="143" t="s">
        <v>2185</v>
      </c>
      <c r="AE230" s="143" t="s">
        <v>2254</v>
      </c>
    </row>
    <row r="231" spans="1:31" ht="24.95" customHeight="1" x14ac:dyDescent="0.2">
      <c r="A231" s="144">
        <v>466</v>
      </c>
      <c r="B231" s="145" t="s">
        <v>2459</v>
      </c>
      <c r="C231" s="146" t="s">
        <v>2288</v>
      </c>
      <c r="D231" s="146" t="s">
        <v>2288</v>
      </c>
      <c r="E231" s="147" t="s">
        <v>2265</v>
      </c>
      <c r="F231" s="148">
        <v>3310</v>
      </c>
      <c r="G231" s="149">
        <v>8710</v>
      </c>
      <c r="H231" s="149">
        <v>71</v>
      </c>
      <c r="I231" s="196"/>
      <c r="J231" s="149">
        <v>3292</v>
      </c>
      <c r="K231" s="149">
        <v>8710</v>
      </c>
      <c r="L231" s="149">
        <v>64</v>
      </c>
      <c r="M231" s="149">
        <v>3782</v>
      </c>
      <c r="N231" s="149">
        <v>5</v>
      </c>
      <c r="O231" s="149">
        <v>3606</v>
      </c>
      <c r="P231" s="224"/>
      <c r="Q231" s="224"/>
      <c r="R231" s="224"/>
      <c r="S231" s="224"/>
      <c r="T231" s="224"/>
      <c r="U231" s="224"/>
      <c r="V231" s="224"/>
      <c r="W231" s="224"/>
      <c r="X231" s="224"/>
      <c r="Y231" s="224"/>
      <c r="Z231" s="224"/>
      <c r="AA231" s="224"/>
      <c r="AB231" s="224"/>
      <c r="AC231" s="224"/>
      <c r="AD231" s="143" t="s">
        <v>2185</v>
      </c>
      <c r="AE231" s="143" t="s">
        <v>2254</v>
      </c>
    </row>
    <row r="232" spans="1:31" ht="24.95" customHeight="1" x14ac:dyDescent="0.2">
      <c r="A232" s="144">
        <v>470</v>
      </c>
      <c r="B232" s="150" t="s">
        <v>2460</v>
      </c>
      <c r="C232" s="146" t="s">
        <v>2194</v>
      </c>
      <c r="D232" s="146" t="s">
        <v>2233</v>
      </c>
      <c r="E232" s="147" t="s">
        <v>2184</v>
      </c>
      <c r="F232" s="148">
        <v>4760</v>
      </c>
      <c r="G232" s="149">
        <v>6145</v>
      </c>
      <c r="H232" s="149">
        <v>83</v>
      </c>
      <c r="I232" s="196"/>
      <c r="J232" s="149">
        <v>4776</v>
      </c>
      <c r="K232" s="149">
        <v>6145</v>
      </c>
      <c r="L232" s="149">
        <v>60</v>
      </c>
      <c r="M232" s="149">
        <v>3811</v>
      </c>
      <c r="N232" s="149">
        <v>4</v>
      </c>
      <c r="O232" s="149">
        <v>3888</v>
      </c>
      <c r="P232" s="224"/>
      <c r="Q232" s="224"/>
      <c r="R232" s="224"/>
      <c r="S232" s="224"/>
      <c r="T232" s="224"/>
      <c r="U232" s="224"/>
      <c r="V232" s="224"/>
      <c r="W232" s="224"/>
      <c r="X232" s="224"/>
      <c r="Y232" s="224"/>
      <c r="Z232" s="224"/>
      <c r="AA232" s="224"/>
      <c r="AB232" s="224"/>
      <c r="AC232" s="224"/>
      <c r="AD232" s="143" t="s">
        <v>2185</v>
      </c>
      <c r="AE232" s="143" t="s">
        <v>2254</v>
      </c>
    </row>
    <row r="233" spans="1:31" ht="24.95" customHeight="1" x14ac:dyDescent="0.2">
      <c r="A233" s="144">
        <v>471</v>
      </c>
      <c r="B233" s="145" t="s">
        <v>2461</v>
      </c>
      <c r="C233" s="146" t="s">
        <v>2194</v>
      </c>
      <c r="D233" s="146" t="s">
        <v>2233</v>
      </c>
      <c r="E233" s="147" t="s">
        <v>2310</v>
      </c>
      <c r="F233" s="148">
        <f>7720+2715</f>
        <v>10435</v>
      </c>
      <c r="G233" s="149">
        <v>10935</v>
      </c>
      <c r="H233" s="149">
        <v>137</v>
      </c>
      <c r="I233" s="196"/>
      <c r="J233" s="149">
        <v>10414</v>
      </c>
      <c r="K233" s="149">
        <v>10935</v>
      </c>
      <c r="L233" s="149">
        <v>123</v>
      </c>
      <c r="M233" s="149">
        <v>9030</v>
      </c>
      <c r="N233" s="149">
        <v>11</v>
      </c>
      <c r="O233" s="149">
        <v>7075</v>
      </c>
      <c r="P233" s="224"/>
      <c r="Q233" s="224"/>
      <c r="R233" s="224"/>
      <c r="S233" s="224"/>
      <c r="T233" s="224"/>
      <c r="U233" s="224"/>
      <c r="V233" s="224"/>
      <c r="W233" s="224"/>
      <c r="X233" s="224"/>
      <c r="Y233" s="224"/>
      <c r="Z233" s="224"/>
      <c r="AA233" s="224"/>
      <c r="AB233" s="224"/>
      <c r="AC233" s="224"/>
      <c r="AD233" s="143" t="s">
        <v>2185</v>
      </c>
      <c r="AE233" s="143" t="s">
        <v>2254</v>
      </c>
    </row>
    <row r="234" spans="1:31" ht="24.95" customHeight="1" x14ac:dyDescent="0.2">
      <c r="A234" s="144">
        <v>472</v>
      </c>
      <c r="B234" s="145" t="s">
        <v>2462</v>
      </c>
      <c r="C234" s="146" t="s">
        <v>2194</v>
      </c>
      <c r="D234" s="146" t="s">
        <v>2233</v>
      </c>
      <c r="E234" s="147" t="s">
        <v>2265</v>
      </c>
      <c r="F234" s="148">
        <v>5695</v>
      </c>
      <c r="G234" s="149">
        <v>6300</v>
      </c>
      <c r="H234" s="149">
        <v>75</v>
      </c>
      <c r="I234" s="196"/>
      <c r="J234" s="149">
        <v>4864</v>
      </c>
      <c r="K234" s="149">
        <v>6300</v>
      </c>
      <c r="L234" s="149">
        <v>63</v>
      </c>
      <c r="M234" s="149">
        <v>3571</v>
      </c>
      <c r="N234" s="149">
        <v>2</v>
      </c>
      <c r="O234" s="149">
        <v>2828</v>
      </c>
      <c r="P234" s="224"/>
      <c r="Q234" s="224"/>
      <c r="R234" s="224"/>
      <c r="S234" s="224"/>
      <c r="T234" s="224"/>
      <c r="U234" s="224"/>
      <c r="V234" s="224"/>
      <c r="W234" s="224"/>
      <c r="X234" s="224"/>
      <c r="Y234" s="224"/>
      <c r="Z234" s="224"/>
      <c r="AA234" s="224"/>
      <c r="AB234" s="224"/>
      <c r="AC234" s="224"/>
      <c r="AD234" s="143" t="s">
        <v>2185</v>
      </c>
      <c r="AE234" s="143" t="s">
        <v>2254</v>
      </c>
    </row>
    <row r="235" spans="1:31" ht="24.95" customHeight="1" x14ac:dyDescent="0.2">
      <c r="A235" s="144">
        <v>473</v>
      </c>
      <c r="B235" s="145" t="s">
        <v>2463</v>
      </c>
      <c r="C235" s="146" t="s">
        <v>2194</v>
      </c>
      <c r="D235" s="146" t="s">
        <v>2233</v>
      </c>
      <c r="E235" s="147" t="s">
        <v>2184</v>
      </c>
      <c r="F235" s="148">
        <v>5055</v>
      </c>
      <c r="G235" s="149">
        <v>5185</v>
      </c>
      <c r="H235" s="149">
        <v>83</v>
      </c>
      <c r="I235" s="196"/>
      <c r="J235" s="149">
        <v>5010</v>
      </c>
      <c r="K235" s="149">
        <v>5160</v>
      </c>
      <c r="L235" s="149">
        <v>81</v>
      </c>
      <c r="M235" s="149">
        <v>4737</v>
      </c>
      <c r="N235" s="149">
        <v>6</v>
      </c>
      <c r="O235" s="149">
        <v>5085</v>
      </c>
      <c r="P235" s="224"/>
      <c r="Q235" s="224"/>
      <c r="R235" s="224"/>
      <c r="S235" s="224"/>
      <c r="T235" s="224"/>
      <c r="U235" s="224"/>
      <c r="V235" s="224"/>
      <c r="W235" s="224"/>
      <c r="X235" s="224"/>
      <c r="Y235" s="224"/>
      <c r="Z235" s="224"/>
      <c r="AA235" s="224"/>
      <c r="AB235" s="224"/>
      <c r="AC235" s="224"/>
      <c r="AD235" s="143" t="s">
        <v>2185</v>
      </c>
      <c r="AE235" s="143" t="s">
        <v>2254</v>
      </c>
    </row>
    <row r="236" spans="1:31" ht="24.95" customHeight="1" x14ac:dyDescent="0.2">
      <c r="A236" s="144">
        <v>474</v>
      </c>
      <c r="B236" s="145" t="s">
        <v>2464</v>
      </c>
      <c r="C236" s="146" t="s">
        <v>2194</v>
      </c>
      <c r="D236" s="146" t="s">
        <v>2233</v>
      </c>
      <c r="E236" s="147" t="s">
        <v>2310</v>
      </c>
      <c r="F236" s="148">
        <v>1935</v>
      </c>
      <c r="G236" s="149">
        <f>3715-30</f>
        <v>3685</v>
      </c>
      <c r="H236" s="149">
        <v>30</v>
      </c>
      <c r="I236" s="196"/>
      <c r="J236" s="149">
        <v>1769</v>
      </c>
      <c r="K236" s="149">
        <v>3360</v>
      </c>
      <c r="L236" s="149">
        <v>28</v>
      </c>
      <c r="M236" s="149">
        <v>1474</v>
      </c>
      <c r="N236" s="149">
        <v>2</v>
      </c>
      <c r="O236" s="149">
        <v>1442</v>
      </c>
      <c r="P236" s="224"/>
      <c r="Q236" s="224"/>
      <c r="R236" s="224"/>
      <c r="S236" s="224"/>
      <c r="T236" s="224"/>
      <c r="U236" s="224"/>
      <c r="V236" s="224"/>
      <c r="W236" s="224"/>
      <c r="X236" s="224"/>
      <c r="Y236" s="224"/>
      <c r="Z236" s="224"/>
      <c r="AA236" s="224"/>
      <c r="AB236" s="224"/>
      <c r="AC236" s="224"/>
      <c r="AD236" s="143" t="s">
        <v>2185</v>
      </c>
      <c r="AE236" s="143" t="s">
        <v>2254</v>
      </c>
    </row>
    <row r="237" spans="1:31" ht="24.95" customHeight="1" x14ac:dyDescent="0.2">
      <c r="A237" s="144">
        <v>475</v>
      </c>
      <c r="B237" s="145" t="s">
        <v>2465</v>
      </c>
      <c r="C237" s="146" t="s">
        <v>2194</v>
      </c>
      <c r="D237" s="146" t="s">
        <v>2197</v>
      </c>
      <c r="E237" s="147" t="s">
        <v>2265</v>
      </c>
      <c r="F237" s="148">
        <v>3385</v>
      </c>
      <c r="G237" s="149">
        <v>2875</v>
      </c>
      <c r="H237" s="149">
        <v>47</v>
      </c>
      <c r="I237" s="196"/>
      <c r="J237" s="149">
        <v>3289</v>
      </c>
      <c r="K237" s="149">
        <v>2875</v>
      </c>
      <c r="L237" s="149">
        <v>39</v>
      </c>
      <c r="M237" s="149">
        <v>2313</v>
      </c>
      <c r="N237" s="149">
        <v>4</v>
      </c>
      <c r="O237" s="149">
        <v>2734</v>
      </c>
      <c r="P237" s="224"/>
      <c r="Q237" s="224"/>
      <c r="R237" s="224"/>
      <c r="S237" s="224"/>
      <c r="T237" s="224"/>
      <c r="U237" s="224"/>
      <c r="V237" s="224"/>
      <c r="W237" s="224"/>
      <c r="X237" s="224"/>
      <c r="Y237" s="224"/>
      <c r="Z237" s="224"/>
      <c r="AA237" s="224"/>
      <c r="AB237" s="224"/>
      <c r="AC237" s="224"/>
      <c r="AD237" s="143" t="s">
        <v>2185</v>
      </c>
      <c r="AE237" s="143" t="s">
        <v>2254</v>
      </c>
    </row>
    <row r="238" spans="1:31" ht="24.95" customHeight="1" x14ac:dyDescent="0.2">
      <c r="A238" s="144">
        <v>476</v>
      </c>
      <c r="B238" s="145" t="s">
        <v>2466</v>
      </c>
      <c r="C238" s="146" t="s">
        <v>2194</v>
      </c>
      <c r="D238" s="146" t="s">
        <v>2197</v>
      </c>
      <c r="E238" s="147" t="s">
        <v>2184</v>
      </c>
      <c r="F238" s="148">
        <v>3170</v>
      </c>
      <c r="G238" s="149">
        <v>3980</v>
      </c>
      <c r="H238" s="149">
        <v>42</v>
      </c>
      <c r="I238" s="196"/>
      <c r="J238" s="149">
        <v>2984</v>
      </c>
      <c r="K238" s="149">
        <v>3980</v>
      </c>
      <c r="L238" s="149">
        <v>2846</v>
      </c>
      <c r="M238" s="149">
        <v>1474</v>
      </c>
      <c r="N238" s="149">
        <v>16</v>
      </c>
      <c r="O238" s="149">
        <v>2053</v>
      </c>
      <c r="P238" s="224"/>
      <c r="Q238" s="224"/>
      <c r="R238" s="224"/>
      <c r="S238" s="224"/>
      <c r="T238" s="224"/>
      <c r="U238" s="224"/>
      <c r="V238" s="224"/>
      <c r="W238" s="224"/>
      <c r="X238" s="224"/>
      <c r="Y238" s="224"/>
      <c r="Z238" s="224"/>
      <c r="AA238" s="224"/>
      <c r="AB238" s="224"/>
      <c r="AC238" s="224"/>
      <c r="AD238" s="143" t="s">
        <v>2185</v>
      </c>
      <c r="AE238" s="143" t="s">
        <v>2254</v>
      </c>
    </row>
    <row r="239" spans="1:31" ht="24.95" customHeight="1" x14ac:dyDescent="0.2">
      <c r="A239" s="144">
        <v>477</v>
      </c>
      <c r="B239" s="145" t="s">
        <v>2467</v>
      </c>
      <c r="C239" s="146" t="s">
        <v>2194</v>
      </c>
      <c r="D239" s="146" t="s">
        <v>2197</v>
      </c>
      <c r="E239" s="147" t="s">
        <v>2265</v>
      </c>
      <c r="F239" s="148">
        <f>890+4415</f>
        <v>5305</v>
      </c>
      <c r="G239" s="149">
        <v>6745</v>
      </c>
      <c r="H239" s="149">
        <v>78</v>
      </c>
      <c r="I239" s="196"/>
      <c r="J239" s="149">
        <v>5091</v>
      </c>
      <c r="K239" s="149">
        <v>6745</v>
      </c>
      <c r="L239" s="149">
        <v>75</v>
      </c>
      <c r="M239" s="149">
        <v>3650</v>
      </c>
      <c r="N239" s="149">
        <v>13</v>
      </c>
      <c r="O239" s="149">
        <v>3981</v>
      </c>
      <c r="P239" s="224"/>
      <c r="Q239" s="224"/>
      <c r="R239" s="224"/>
      <c r="S239" s="224"/>
      <c r="T239" s="224"/>
      <c r="U239" s="224"/>
      <c r="V239" s="224"/>
      <c r="W239" s="224"/>
      <c r="X239" s="224"/>
      <c r="Y239" s="224"/>
      <c r="Z239" s="224"/>
      <c r="AA239" s="224"/>
      <c r="AB239" s="224"/>
      <c r="AC239" s="224"/>
      <c r="AD239" s="143" t="s">
        <v>2185</v>
      </c>
      <c r="AE239" s="143" t="s">
        <v>2254</v>
      </c>
    </row>
    <row r="240" spans="1:31" ht="24.95" customHeight="1" x14ac:dyDescent="0.2">
      <c r="A240" s="144">
        <v>478</v>
      </c>
      <c r="B240" s="150" t="s">
        <v>2468</v>
      </c>
      <c r="C240" s="146" t="s">
        <v>2194</v>
      </c>
      <c r="D240" s="146" t="s">
        <v>2194</v>
      </c>
      <c r="E240" s="147" t="s">
        <v>2184</v>
      </c>
      <c r="F240" s="148">
        <f>20+60+1940</f>
        <v>2020</v>
      </c>
      <c r="G240" s="149">
        <v>3225</v>
      </c>
      <c r="H240" s="149">
        <v>51</v>
      </c>
      <c r="I240" s="196"/>
      <c r="J240" s="149">
        <v>1680</v>
      </c>
      <c r="K240" s="149">
        <v>4760</v>
      </c>
      <c r="L240" s="149">
        <v>71</v>
      </c>
      <c r="M240" s="149">
        <v>5192</v>
      </c>
      <c r="N240" s="149">
        <v>15</v>
      </c>
      <c r="O240" s="149">
        <v>5485</v>
      </c>
      <c r="P240" s="224"/>
      <c r="Q240" s="224"/>
      <c r="R240" s="224"/>
      <c r="S240" s="224"/>
      <c r="T240" s="224"/>
      <c r="U240" s="224"/>
      <c r="V240" s="224"/>
      <c r="W240" s="224"/>
      <c r="X240" s="224"/>
      <c r="Y240" s="224"/>
      <c r="Z240" s="224"/>
      <c r="AA240" s="224"/>
      <c r="AB240" s="224"/>
      <c r="AC240" s="224"/>
      <c r="AD240" s="143" t="s">
        <v>2185</v>
      </c>
      <c r="AE240" s="143" t="s">
        <v>2254</v>
      </c>
    </row>
    <row r="241" spans="1:31" ht="24.95" customHeight="1" x14ac:dyDescent="0.2">
      <c r="A241" s="144">
        <v>479</v>
      </c>
      <c r="B241" s="145" t="s">
        <v>2469</v>
      </c>
      <c r="C241" s="146" t="s">
        <v>2256</v>
      </c>
      <c r="D241" s="146" t="s">
        <v>2436</v>
      </c>
      <c r="E241" s="147" t="s">
        <v>2265</v>
      </c>
      <c r="F241" s="148">
        <v>8380</v>
      </c>
      <c r="G241" s="149">
        <v>5770</v>
      </c>
      <c r="H241" s="149">
        <v>88</v>
      </c>
      <c r="I241" s="196"/>
      <c r="J241" s="149">
        <v>8347</v>
      </c>
      <c r="K241" s="149">
        <v>5655</v>
      </c>
      <c r="L241" s="149">
        <v>80</v>
      </c>
      <c r="M241" s="149">
        <v>3564</v>
      </c>
      <c r="N241" s="149">
        <v>1</v>
      </c>
      <c r="O241" s="149">
        <v>4656</v>
      </c>
      <c r="P241" s="224"/>
      <c r="Q241" s="224"/>
      <c r="R241" s="224"/>
      <c r="S241" s="224"/>
      <c r="T241" s="224"/>
      <c r="U241" s="224"/>
      <c r="V241" s="224"/>
      <c r="W241" s="224"/>
      <c r="X241" s="224"/>
      <c r="Y241" s="224"/>
      <c r="Z241" s="224"/>
      <c r="AA241" s="224"/>
      <c r="AB241" s="224"/>
      <c r="AC241" s="224"/>
      <c r="AD241" s="143" t="s">
        <v>2185</v>
      </c>
      <c r="AE241" s="143" t="s">
        <v>2254</v>
      </c>
    </row>
    <row r="242" spans="1:31" ht="24.95" customHeight="1" x14ac:dyDescent="0.2">
      <c r="A242" s="144">
        <v>480</v>
      </c>
      <c r="B242" s="150" t="s">
        <v>2470</v>
      </c>
      <c r="C242" s="146" t="s">
        <v>2471</v>
      </c>
      <c r="D242" s="146" t="s">
        <v>2471</v>
      </c>
      <c r="E242" s="147" t="s">
        <v>2184</v>
      </c>
      <c r="F242" s="148">
        <v>3127</v>
      </c>
      <c r="G242" s="149">
        <v>4376</v>
      </c>
      <c r="H242" s="149">
        <v>53</v>
      </c>
      <c r="I242" s="196"/>
      <c r="J242" s="149">
        <v>3646</v>
      </c>
      <c r="K242" s="149">
        <v>4376</v>
      </c>
      <c r="L242" s="149">
        <v>44</v>
      </c>
      <c r="M242" s="149">
        <v>3355</v>
      </c>
      <c r="N242" s="149">
        <v>2</v>
      </c>
      <c r="O242" s="149">
        <v>2317</v>
      </c>
      <c r="P242" s="224"/>
      <c r="Q242" s="224"/>
      <c r="R242" s="224"/>
      <c r="S242" s="224"/>
      <c r="T242" s="224"/>
      <c r="U242" s="224"/>
      <c r="V242" s="224"/>
      <c r="W242" s="224"/>
      <c r="X242" s="224"/>
      <c r="Y242" s="224"/>
      <c r="Z242" s="224"/>
      <c r="AA242" s="224"/>
      <c r="AB242" s="224"/>
      <c r="AC242" s="224"/>
      <c r="AD242" s="143" t="s">
        <v>2185</v>
      </c>
      <c r="AE242" s="143" t="s">
        <v>2186</v>
      </c>
    </row>
    <row r="243" spans="1:31" ht="24.95" customHeight="1" x14ac:dyDescent="0.2">
      <c r="A243" s="144">
        <v>486</v>
      </c>
      <c r="B243" s="150" t="s">
        <v>2472</v>
      </c>
      <c r="C243" s="146" t="s">
        <v>2225</v>
      </c>
      <c r="D243" s="146" t="s">
        <v>2225</v>
      </c>
      <c r="E243" s="147" t="s">
        <v>2184</v>
      </c>
      <c r="F243" s="148">
        <v>4068</v>
      </c>
      <c r="G243" s="149">
        <v>4549</v>
      </c>
      <c r="H243" s="149">
        <v>68</v>
      </c>
      <c r="I243" s="196"/>
      <c r="J243" s="149">
        <f>3353+860</f>
        <v>4213</v>
      </c>
      <c r="K243" s="149">
        <v>4316</v>
      </c>
      <c r="L243" s="149">
        <v>62</v>
      </c>
      <c r="M243" s="149">
        <v>3823</v>
      </c>
      <c r="N243" s="149">
        <v>2</v>
      </c>
      <c r="O243" s="149">
        <v>4694</v>
      </c>
      <c r="P243" s="224"/>
      <c r="Q243" s="224"/>
      <c r="R243" s="224"/>
      <c r="S243" s="224"/>
      <c r="T243" s="224"/>
      <c r="U243" s="224"/>
      <c r="V243" s="224"/>
      <c r="W243" s="224"/>
      <c r="X243" s="224"/>
      <c r="Y243" s="224"/>
      <c r="Z243" s="224"/>
      <c r="AA243" s="224"/>
      <c r="AB243" s="224"/>
      <c r="AC243" s="224"/>
      <c r="AD243" s="143" t="s">
        <v>2185</v>
      </c>
      <c r="AE243" s="143" t="s">
        <v>2186</v>
      </c>
    </row>
    <row r="244" spans="1:31" ht="24.95" customHeight="1" x14ac:dyDescent="0.2">
      <c r="A244" s="144">
        <v>487</v>
      </c>
      <c r="B244" s="150" t="s">
        <v>2473</v>
      </c>
      <c r="C244" s="146" t="s">
        <v>2225</v>
      </c>
      <c r="D244" s="146" t="s">
        <v>2225</v>
      </c>
      <c r="E244" s="147" t="s">
        <v>2223</v>
      </c>
      <c r="F244" s="148">
        <v>11700</v>
      </c>
      <c r="G244" s="149">
        <v>11100</v>
      </c>
      <c r="H244" s="149">
        <v>172</v>
      </c>
      <c r="I244" s="196"/>
      <c r="J244" s="149">
        <v>12444</v>
      </c>
      <c r="K244" s="149">
        <v>10845</v>
      </c>
      <c r="L244" s="149">
        <v>170</v>
      </c>
      <c r="M244" s="149">
        <v>8982</v>
      </c>
      <c r="N244" s="149">
        <v>1</v>
      </c>
      <c r="O244" s="149">
        <v>10764</v>
      </c>
      <c r="P244" s="224"/>
      <c r="Q244" s="224"/>
      <c r="R244" s="224"/>
      <c r="S244" s="224"/>
      <c r="T244" s="224"/>
      <c r="U244" s="224"/>
      <c r="V244" s="224"/>
      <c r="W244" s="224"/>
      <c r="X244" s="224"/>
      <c r="Y244" s="224"/>
      <c r="Z244" s="224"/>
      <c r="AA244" s="224"/>
      <c r="AB244" s="224"/>
      <c r="AC244" s="224"/>
      <c r="AD244" s="143" t="s">
        <v>2185</v>
      </c>
      <c r="AE244" s="143" t="s">
        <v>2186</v>
      </c>
    </row>
    <row r="245" spans="1:31" ht="24.95" customHeight="1" x14ac:dyDescent="0.2">
      <c r="A245" s="144">
        <v>488</v>
      </c>
      <c r="B245" s="150" t="s">
        <v>2474</v>
      </c>
      <c r="C245" s="146" t="s">
        <v>2301</v>
      </c>
      <c r="D245" s="146" t="s">
        <v>2301</v>
      </c>
      <c r="E245" s="147" t="s">
        <v>2223</v>
      </c>
      <c r="F245" s="148">
        <v>5050</v>
      </c>
      <c r="G245" s="149">
        <v>5880</v>
      </c>
      <c r="H245" s="149">
        <v>154</v>
      </c>
      <c r="I245" s="196"/>
      <c r="J245" s="149">
        <v>5702</v>
      </c>
      <c r="K245" s="149">
        <v>5114</v>
      </c>
      <c r="L245" s="149">
        <v>149</v>
      </c>
      <c r="M245" s="149">
        <v>6709</v>
      </c>
      <c r="N245" s="149">
        <v>0</v>
      </c>
      <c r="O245" s="149">
        <v>6414</v>
      </c>
      <c r="P245" s="224"/>
      <c r="Q245" s="224"/>
      <c r="R245" s="224"/>
      <c r="S245" s="224"/>
      <c r="T245" s="224"/>
      <c r="U245" s="224"/>
      <c r="V245" s="224"/>
      <c r="W245" s="224"/>
      <c r="X245" s="224"/>
      <c r="Y245" s="224"/>
      <c r="Z245" s="224"/>
      <c r="AA245" s="224"/>
      <c r="AB245" s="224"/>
      <c r="AC245" s="224"/>
      <c r="AD245" s="143" t="s">
        <v>2185</v>
      </c>
      <c r="AE245" s="143" t="s">
        <v>2186</v>
      </c>
    </row>
    <row r="246" spans="1:31" ht="24.95" customHeight="1" x14ac:dyDescent="0.2">
      <c r="A246" s="144">
        <v>489</v>
      </c>
      <c r="B246" s="150" t="s">
        <v>2475</v>
      </c>
      <c r="C246" s="146" t="s">
        <v>2301</v>
      </c>
      <c r="D246" s="146" t="s">
        <v>2301</v>
      </c>
      <c r="E246" s="147" t="s">
        <v>2310</v>
      </c>
      <c r="F246" s="148">
        <v>7162</v>
      </c>
      <c r="G246" s="149">
        <v>8472</v>
      </c>
      <c r="H246" s="149">
        <v>186</v>
      </c>
      <c r="I246" s="196"/>
      <c r="J246" s="149">
        <v>6805</v>
      </c>
      <c r="K246" s="149">
        <v>8564</v>
      </c>
      <c r="L246" s="149">
        <v>165</v>
      </c>
      <c r="M246" s="149">
        <v>9140</v>
      </c>
      <c r="N246" s="149">
        <v>15</v>
      </c>
      <c r="O246" s="149">
        <v>9684</v>
      </c>
      <c r="P246" s="224"/>
      <c r="Q246" s="224"/>
      <c r="R246" s="224"/>
      <c r="S246" s="224"/>
      <c r="T246" s="224"/>
      <c r="U246" s="224"/>
      <c r="V246" s="224"/>
      <c r="W246" s="224"/>
      <c r="X246" s="224"/>
      <c r="Y246" s="224"/>
      <c r="Z246" s="224"/>
      <c r="AA246" s="224"/>
      <c r="AB246" s="224"/>
      <c r="AC246" s="224"/>
      <c r="AD246" s="143" t="s">
        <v>2185</v>
      </c>
      <c r="AE246" s="143" t="s">
        <v>2186</v>
      </c>
    </row>
    <row r="247" spans="1:31" ht="24.95" customHeight="1" x14ac:dyDescent="0.2">
      <c r="A247" s="144">
        <v>490</v>
      </c>
      <c r="B247" s="150" t="s">
        <v>2476</v>
      </c>
      <c r="C247" s="146" t="s">
        <v>2301</v>
      </c>
      <c r="D247" s="146" t="s">
        <v>2301</v>
      </c>
      <c r="E247" s="147" t="s">
        <v>2231</v>
      </c>
      <c r="F247" s="148">
        <v>4474</v>
      </c>
      <c r="G247" s="149">
        <v>2473</v>
      </c>
      <c r="H247" s="149">
        <v>87</v>
      </c>
      <c r="I247" s="196"/>
      <c r="J247" s="149">
        <f>820+3745</f>
        <v>4565</v>
      </c>
      <c r="K247" s="149">
        <f>216+1094+1559+135+100</f>
        <v>3104</v>
      </c>
      <c r="L247" s="149">
        <v>74</v>
      </c>
      <c r="M247" s="149">
        <v>4891</v>
      </c>
      <c r="N247" s="149">
        <v>0</v>
      </c>
      <c r="O247" s="149">
        <f>1786+2916</f>
        <v>4702</v>
      </c>
      <c r="P247" s="224"/>
      <c r="Q247" s="224"/>
      <c r="R247" s="224"/>
      <c r="S247" s="224"/>
      <c r="T247" s="224"/>
      <c r="U247" s="224"/>
      <c r="V247" s="224"/>
      <c r="W247" s="224"/>
      <c r="X247" s="224"/>
      <c r="Y247" s="224"/>
      <c r="Z247" s="224"/>
      <c r="AA247" s="224"/>
      <c r="AB247" s="224"/>
      <c r="AC247" s="224"/>
      <c r="AD247" s="143" t="s">
        <v>2185</v>
      </c>
      <c r="AE247" s="143" t="s">
        <v>2186</v>
      </c>
    </row>
    <row r="248" spans="1:31" ht="24.95" customHeight="1" x14ac:dyDescent="0.2">
      <c r="A248" s="144">
        <v>491</v>
      </c>
      <c r="B248" s="150" t="s">
        <v>2477</v>
      </c>
      <c r="C248" s="146" t="s">
        <v>2301</v>
      </c>
      <c r="D248" s="146" t="s">
        <v>2301</v>
      </c>
      <c r="E248" s="147" t="s">
        <v>2184</v>
      </c>
      <c r="F248" s="148">
        <v>2390</v>
      </c>
      <c r="G248" s="149">
        <v>1440</v>
      </c>
      <c r="H248" s="149">
        <v>54</v>
      </c>
      <c r="I248" s="196"/>
      <c r="J248" s="149">
        <f>1254+926+10</f>
        <v>2190</v>
      </c>
      <c r="K248" s="149">
        <f>140+471</f>
        <v>611</v>
      </c>
      <c r="L248" s="149">
        <v>45</v>
      </c>
      <c r="M248" s="149">
        <v>3174</v>
      </c>
      <c r="N248" s="149">
        <v>1</v>
      </c>
      <c r="O248" s="149">
        <f>367+1249+145+1296</f>
        <v>3057</v>
      </c>
      <c r="P248" s="224"/>
      <c r="Q248" s="224"/>
      <c r="R248" s="224"/>
      <c r="S248" s="224"/>
      <c r="T248" s="224"/>
      <c r="U248" s="224"/>
      <c r="V248" s="224"/>
      <c r="W248" s="224"/>
      <c r="X248" s="224"/>
      <c r="Y248" s="224"/>
      <c r="Z248" s="224"/>
      <c r="AA248" s="224"/>
      <c r="AB248" s="224"/>
      <c r="AC248" s="224"/>
      <c r="AD248" s="143" t="s">
        <v>2185</v>
      </c>
      <c r="AE248" s="143" t="s">
        <v>2186</v>
      </c>
    </row>
    <row r="249" spans="1:31" ht="24.95" customHeight="1" x14ac:dyDescent="0.2">
      <c r="A249" s="144">
        <v>492</v>
      </c>
      <c r="B249" s="150" t="s">
        <v>2478</v>
      </c>
      <c r="C249" s="146" t="s">
        <v>2301</v>
      </c>
      <c r="D249" s="146" t="s">
        <v>2301</v>
      </c>
      <c r="E249" s="147" t="s">
        <v>2223</v>
      </c>
      <c r="F249" s="148">
        <f>18+203+4670</f>
        <v>4891</v>
      </c>
      <c r="G249" s="149">
        <v>7596</v>
      </c>
      <c r="H249" s="149">
        <v>87</v>
      </c>
      <c r="I249" s="196"/>
      <c r="J249" s="149">
        <v>5349</v>
      </c>
      <c r="K249" s="149">
        <v>8373</v>
      </c>
      <c r="L249" s="149">
        <v>89</v>
      </c>
      <c r="M249" s="149">
        <v>3418</v>
      </c>
      <c r="N249" s="149">
        <v>0</v>
      </c>
      <c r="O249" s="149">
        <v>3490</v>
      </c>
      <c r="P249" s="224"/>
      <c r="Q249" s="224"/>
      <c r="R249" s="224"/>
      <c r="S249" s="224"/>
      <c r="T249" s="224"/>
      <c r="U249" s="224"/>
      <c r="V249" s="224"/>
      <c r="W249" s="224"/>
      <c r="X249" s="224"/>
      <c r="Y249" s="224"/>
      <c r="Z249" s="224"/>
      <c r="AA249" s="224"/>
      <c r="AB249" s="224"/>
      <c r="AC249" s="224"/>
      <c r="AD249" s="143" t="s">
        <v>2185</v>
      </c>
      <c r="AE249" s="143" t="s">
        <v>2186</v>
      </c>
    </row>
    <row r="250" spans="1:31" ht="24.95" customHeight="1" x14ac:dyDescent="0.2">
      <c r="A250" s="144">
        <v>493</v>
      </c>
      <c r="B250" s="145" t="s">
        <v>2479</v>
      </c>
      <c r="C250" s="146" t="s">
        <v>2368</v>
      </c>
      <c r="D250" s="146" t="s">
        <v>2368</v>
      </c>
      <c r="E250" s="147" t="s">
        <v>2265</v>
      </c>
      <c r="F250" s="148">
        <f>2835+1500</f>
        <v>4335</v>
      </c>
      <c r="G250" s="149">
        <v>4715</v>
      </c>
      <c r="H250" s="149">
        <v>65</v>
      </c>
      <c r="I250" s="196"/>
      <c r="J250" s="149">
        <v>4411</v>
      </c>
      <c r="K250" s="149">
        <v>4900</v>
      </c>
      <c r="L250" s="149">
        <v>65</v>
      </c>
      <c r="M250" s="149">
        <v>4681</v>
      </c>
      <c r="N250" s="149">
        <v>0</v>
      </c>
      <c r="O250" s="149">
        <v>3929</v>
      </c>
      <c r="P250" s="224"/>
      <c r="Q250" s="224"/>
      <c r="R250" s="224"/>
      <c r="S250" s="224"/>
      <c r="T250" s="224"/>
      <c r="U250" s="224"/>
      <c r="V250" s="224"/>
      <c r="W250" s="224"/>
      <c r="X250" s="224"/>
      <c r="Y250" s="224"/>
      <c r="Z250" s="224"/>
      <c r="AA250" s="224"/>
      <c r="AB250" s="224"/>
      <c r="AC250" s="224"/>
      <c r="AD250" s="143" t="s">
        <v>2185</v>
      </c>
      <c r="AE250" s="143" t="s">
        <v>2254</v>
      </c>
    </row>
    <row r="251" spans="1:31" ht="24.95" customHeight="1" x14ac:dyDescent="0.2">
      <c r="A251" s="144">
        <v>494</v>
      </c>
      <c r="B251" s="150" t="s">
        <v>2480</v>
      </c>
      <c r="C251" s="146" t="s">
        <v>2285</v>
      </c>
      <c r="D251" s="146" t="s">
        <v>2285</v>
      </c>
      <c r="E251" s="147" t="s">
        <v>2223</v>
      </c>
      <c r="F251" s="148">
        <v>4697</v>
      </c>
      <c r="G251" s="149">
        <v>4613</v>
      </c>
      <c r="H251" s="149">
        <v>80</v>
      </c>
      <c r="I251" s="196"/>
      <c r="J251" s="149">
        <v>4671</v>
      </c>
      <c r="K251" s="149">
        <v>4613</v>
      </c>
      <c r="L251" s="149">
        <v>76</v>
      </c>
      <c r="M251" s="149">
        <v>5289</v>
      </c>
      <c r="N251" s="149">
        <v>2</v>
      </c>
      <c r="O251" s="149">
        <v>5849</v>
      </c>
      <c r="P251" s="224"/>
      <c r="Q251" s="224"/>
      <c r="R251" s="224"/>
      <c r="S251" s="224"/>
      <c r="T251" s="224"/>
      <c r="U251" s="224"/>
      <c r="V251" s="224"/>
      <c r="W251" s="224"/>
      <c r="X251" s="224"/>
      <c r="Y251" s="224"/>
      <c r="Z251" s="224"/>
      <c r="AA251" s="224"/>
      <c r="AB251" s="224"/>
      <c r="AC251" s="224"/>
      <c r="AD251" s="143" t="s">
        <v>2185</v>
      </c>
      <c r="AE251" s="143" t="s">
        <v>2186</v>
      </c>
    </row>
    <row r="252" spans="1:31" ht="24.95" customHeight="1" x14ac:dyDescent="0.2">
      <c r="A252" s="144">
        <v>495</v>
      </c>
      <c r="B252" s="150" t="s">
        <v>2481</v>
      </c>
      <c r="C252" s="146" t="s">
        <v>2285</v>
      </c>
      <c r="D252" s="146" t="s">
        <v>2285</v>
      </c>
      <c r="E252" s="147" t="s">
        <v>2223</v>
      </c>
      <c r="F252" s="148">
        <v>12500</v>
      </c>
      <c r="G252" s="149">
        <v>6510</v>
      </c>
      <c r="H252" s="149">
        <v>114</v>
      </c>
      <c r="I252" s="196"/>
      <c r="J252" s="149">
        <v>12583</v>
      </c>
      <c r="K252" s="149">
        <v>5957</v>
      </c>
      <c r="L252" s="149">
        <v>112</v>
      </c>
      <c r="M252" s="149">
        <v>5806</v>
      </c>
      <c r="N252" s="149">
        <v>4</v>
      </c>
      <c r="O252" s="149">
        <v>8785</v>
      </c>
      <c r="P252" s="224"/>
      <c r="Q252" s="224"/>
      <c r="R252" s="224"/>
      <c r="S252" s="224"/>
      <c r="T252" s="224"/>
      <c r="U252" s="224"/>
      <c r="V252" s="224"/>
      <c r="W252" s="224"/>
      <c r="X252" s="224"/>
      <c r="Y252" s="224"/>
      <c r="Z252" s="224"/>
      <c r="AA252" s="224"/>
      <c r="AB252" s="224"/>
      <c r="AC252" s="224"/>
      <c r="AD252" s="143" t="s">
        <v>2185</v>
      </c>
      <c r="AE252" s="143" t="s">
        <v>2254</v>
      </c>
    </row>
    <row r="253" spans="1:31" ht="24.95" customHeight="1" x14ac:dyDescent="0.2">
      <c r="A253" s="144">
        <v>496</v>
      </c>
      <c r="B253" s="150" t="s">
        <v>2482</v>
      </c>
      <c r="C253" s="146" t="s">
        <v>2483</v>
      </c>
      <c r="D253" s="146" t="s">
        <v>2483</v>
      </c>
      <c r="E253" s="147" t="s">
        <v>2223</v>
      </c>
      <c r="F253" s="148">
        <v>4440</v>
      </c>
      <c r="G253" s="149">
        <v>5340</v>
      </c>
      <c r="H253" s="149">
        <v>114</v>
      </c>
      <c r="I253" s="196"/>
      <c r="J253" s="149">
        <v>5541</v>
      </c>
      <c r="K253" s="149">
        <v>6087</v>
      </c>
      <c r="L253" s="149">
        <v>108</v>
      </c>
      <c r="M253" s="149">
        <v>5871</v>
      </c>
      <c r="N253" s="149">
        <v>1</v>
      </c>
      <c r="O253" s="149">
        <v>4552</v>
      </c>
      <c r="P253" s="224"/>
      <c r="Q253" s="224"/>
      <c r="R253" s="224"/>
      <c r="S253" s="224"/>
      <c r="T253" s="224"/>
      <c r="U253" s="224"/>
      <c r="V253" s="224"/>
      <c r="W253" s="224"/>
      <c r="X253" s="224"/>
      <c r="Y253" s="224"/>
      <c r="Z253" s="224"/>
      <c r="AA253" s="224"/>
      <c r="AB253" s="224"/>
      <c r="AC253" s="224"/>
      <c r="AD253" s="143" t="s">
        <v>2185</v>
      </c>
      <c r="AE253" s="143" t="s">
        <v>2186</v>
      </c>
    </row>
    <row r="254" spans="1:31" ht="24.95" customHeight="1" x14ac:dyDescent="0.2">
      <c r="A254" s="144">
        <v>497</v>
      </c>
      <c r="B254" s="150" t="s">
        <v>2484</v>
      </c>
      <c r="C254" s="146" t="s">
        <v>2322</v>
      </c>
      <c r="D254" s="146" t="s">
        <v>2322</v>
      </c>
      <c r="E254" s="147" t="s">
        <v>2184</v>
      </c>
      <c r="F254" s="148">
        <v>9089</v>
      </c>
      <c r="G254" s="149">
        <v>9638</v>
      </c>
      <c r="H254" s="149">
        <v>107</v>
      </c>
      <c r="I254" s="196"/>
      <c r="J254" s="149">
        <v>11490</v>
      </c>
      <c r="K254" s="149">
        <f>1760+1620+9541</f>
        <v>12921</v>
      </c>
      <c r="L254" s="149">
        <v>114</v>
      </c>
      <c r="M254" s="149">
        <v>11594</v>
      </c>
      <c r="N254" s="149">
        <v>1</v>
      </c>
      <c r="O254" s="149">
        <f>4266+6518</f>
        <v>10784</v>
      </c>
      <c r="P254" s="224"/>
      <c r="Q254" s="224"/>
      <c r="R254" s="224"/>
      <c r="S254" s="224"/>
      <c r="T254" s="224"/>
      <c r="U254" s="224"/>
      <c r="V254" s="224"/>
      <c r="W254" s="224"/>
      <c r="X254" s="224"/>
      <c r="Y254" s="224"/>
      <c r="Z254" s="224"/>
      <c r="AA254" s="224"/>
      <c r="AB254" s="224"/>
      <c r="AC254" s="224"/>
      <c r="AD254" s="143" t="s">
        <v>2185</v>
      </c>
      <c r="AE254" s="143" t="s">
        <v>2186</v>
      </c>
    </row>
    <row r="255" spans="1:31" ht="24.95" customHeight="1" x14ac:dyDescent="0.2">
      <c r="A255" s="144">
        <v>499</v>
      </c>
      <c r="B255" s="150" t="s">
        <v>2485</v>
      </c>
      <c r="C255" s="146" t="s">
        <v>2312</v>
      </c>
      <c r="D255" s="146" t="s">
        <v>2312</v>
      </c>
      <c r="E255" s="147" t="s">
        <v>2265</v>
      </c>
      <c r="F255" s="148">
        <v>4940</v>
      </c>
      <c r="G255" s="149">
        <v>5470</v>
      </c>
      <c r="H255" s="149">
        <v>86</v>
      </c>
      <c r="I255" s="196"/>
      <c r="J255" s="149">
        <v>5240</v>
      </c>
      <c r="K255" s="149">
        <v>5470</v>
      </c>
      <c r="L255" s="149">
        <v>76</v>
      </c>
      <c r="M255" s="149">
        <v>2838</v>
      </c>
      <c r="N255" s="149">
        <v>0</v>
      </c>
      <c r="O255" s="149">
        <v>2316</v>
      </c>
      <c r="P255" s="224"/>
      <c r="Q255" s="224"/>
      <c r="R255" s="224"/>
      <c r="S255" s="224"/>
      <c r="T255" s="224"/>
      <c r="U255" s="224"/>
      <c r="V255" s="224"/>
      <c r="W255" s="224"/>
      <c r="X255" s="224"/>
      <c r="Y255" s="224"/>
      <c r="Z255" s="224"/>
      <c r="AA255" s="224"/>
      <c r="AB255" s="224"/>
      <c r="AC255" s="224"/>
      <c r="AD255" s="143" t="s">
        <v>2185</v>
      </c>
      <c r="AE255" s="143" t="s">
        <v>2186</v>
      </c>
    </row>
    <row r="256" spans="1:31" ht="24.95" customHeight="1" x14ac:dyDescent="0.2">
      <c r="A256" s="144">
        <v>500</v>
      </c>
      <c r="B256" s="150" t="s">
        <v>2486</v>
      </c>
      <c r="C256" s="146" t="s">
        <v>2312</v>
      </c>
      <c r="D256" s="146" t="s">
        <v>2312</v>
      </c>
      <c r="E256" s="147" t="s">
        <v>2265</v>
      </c>
      <c r="F256" s="148">
        <v>1925</v>
      </c>
      <c r="G256" s="149">
        <v>2285</v>
      </c>
      <c r="H256" s="149">
        <v>37</v>
      </c>
      <c r="I256" s="196"/>
      <c r="J256" s="149">
        <v>2116</v>
      </c>
      <c r="K256" s="149">
        <v>2285</v>
      </c>
      <c r="L256" s="149">
        <v>31</v>
      </c>
      <c r="M256" s="149">
        <v>401</v>
      </c>
      <c r="N256" s="149">
        <v>0</v>
      </c>
      <c r="O256" s="149">
        <v>240</v>
      </c>
      <c r="P256" s="224"/>
      <c r="Q256" s="224"/>
      <c r="R256" s="224"/>
      <c r="S256" s="224"/>
      <c r="T256" s="224"/>
      <c r="U256" s="224"/>
      <c r="V256" s="224"/>
      <c r="W256" s="224"/>
      <c r="X256" s="224"/>
      <c r="Y256" s="224"/>
      <c r="Z256" s="224"/>
      <c r="AA256" s="224"/>
      <c r="AB256" s="224"/>
      <c r="AC256" s="224"/>
      <c r="AD256" s="143" t="s">
        <v>2185</v>
      </c>
      <c r="AE256" s="143" t="s">
        <v>2186</v>
      </c>
    </row>
    <row r="257" spans="1:31" ht="24.95" customHeight="1" x14ac:dyDescent="0.2">
      <c r="A257" s="144">
        <v>501</v>
      </c>
      <c r="B257" s="150" t="s">
        <v>2487</v>
      </c>
      <c r="C257" s="146" t="s">
        <v>2488</v>
      </c>
      <c r="D257" s="146" t="s">
        <v>2488</v>
      </c>
      <c r="E257" s="147" t="s">
        <v>2184</v>
      </c>
      <c r="F257" s="148">
        <v>3417</v>
      </c>
      <c r="G257" s="149">
        <v>5166</v>
      </c>
      <c r="H257" s="149">
        <v>84</v>
      </c>
      <c r="I257" s="196"/>
      <c r="J257" s="149">
        <v>3416</v>
      </c>
      <c r="K257" s="149">
        <v>5166</v>
      </c>
      <c r="L257" s="149">
        <v>103</v>
      </c>
      <c r="M257" s="149">
        <v>6446</v>
      </c>
      <c r="N257" s="149">
        <v>0</v>
      </c>
      <c r="O257" s="149">
        <v>5764</v>
      </c>
      <c r="P257" s="224"/>
      <c r="Q257" s="224"/>
      <c r="R257" s="224"/>
      <c r="S257" s="224"/>
      <c r="T257" s="224"/>
      <c r="U257" s="224"/>
      <c r="V257" s="224"/>
      <c r="W257" s="224"/>
      <c r="X257" s="224"/>
      <c r="Y257" s="224"/>
      <c r="Z257" s="224"/>
      <c r="AA257" s="224"/>
      <c r="AB257" s="224"/>
      <c r="AC257" s="224"/>
      <c r="AD257" s="143" t="s">
        <v>2185</v>
      </c>
      <c r="AE257" s="143" t="s">
        <v>2186</v>
      </c>
    </row>
    <row r="258" spans="1:31" ht="24.95" customHeight="1" x14ac:dyDescent="0.2">
      <c r="A258" s="144">
        <v>502</v>
      </c>
      <c r="B258" s="150" t="s">
        <v>2489</v>
      </c>
      <c r="C258" s="146" t="s">
        <v>2365</v>
      </c>
      <c r="D258" s="146" t="s">
        <v>2365</v>
      </c>
      <c r="E258" s="147" t="s">
        <v>2310</v>
      </c>
      <c r="F258" s="148">
        <v>1792</v>
      </c>
      <c r="G258" s="149">
        <v>2235</v>
      </c>
      <c r="H258" s="149">
        <v>24</v>
      </c>
      <c r="I258" s="196"/>
      <c r="J258" s="149">
        <v>1826</v>
      </c>
      <c r="K258" s="149">
        <v>2272</v>
      </c>
      <c r="L258" s="149">
        <v>23</v>
      </c>
      <c r="M258" s="149">
        <v>602</v>
      </c>
      <c r="N258" s="149">
        <v>0</v>
      </c>
      <c r="O258" s="149">
        <v>839</v>
      </c>
      <c r="P258" s="224"/>
      <c r="Q258" s="224"/>
      <c r="R258" s="224"/>
      <c r="S258" s="224"/>
      <c r="T258" s="224"/>
      <c r="U258" s="224"/>
      <c r="V258" s="224"/>
      <c r="W258" s="224"/>
      <c r="X258" s="224"/>
      <c r="Y258" s="224"/>
      <c r="Z258" s="224"/>
      <c r="AA258" s="224"/>
      <c r="AB258" s="224"/>
      <c r="AC258" s="224"/>
      <c r="AD258" s="143" t="s">
        <v>2185</v>
      </c>
      <c r="AE258" s="143" t="s">
        <v>2186</v>
      </c>
    </row>
    <row r="259" spans="1:31" ht="24.95" customHeight="1" x14ac:dyDescent="0.2">
      <c r="A259" s="144">
        <v>503</v>
      </c>
      <c r="B259" s="150" t="s">
        <v>2490</v>
      </c>
      <c r="C259" s="146" t="s">
        <v>2215</v>
      </c>
      <c r="D259" s="146" t="s">
        <v>2215</v>
      </c>
      <c r="E259" s="147" t="s">
        <v>2184</v>
      </c>
      <c r="F259" s="148">
        <v>2995</v>
      </c>
      <c r="G259" s="149">
        <v>2785</v>
      </c>
      <c r="H259" s="149">
        <v>65</v>
      </c>
      <c r="I259" s="196"/>
      <c r="J259" s="149">
        <v>3664</v>
      </c>
      <c r="K259" s="149">
        <f>3137+1240+150+3</f>
        <v>4530</v>
      </c>
      <c r="L259" s="149">
        <v>84</v>
      </c>
      <c r="M259" s="149">
        <v>6437</v>
      </c>
      <c r="N259" s="149">
        <v>8</v>
      </c>
      <c r="O259" s="149">
        <v>6718</v>
      </c>
      <c r="P259" s="224"/>
      <c r="Q259" s="224"/>
      <c r="R259" s="224"/>
      <c r="S259" s="224"/>
      <c r="T259" s="224"/>
      <c r="U259" s="224"/>
      <c r="V259" s="224"/>
      <c r="W259" s="224"/>
      <c r="X259" s="224"/>
      <c r="Y259" s="224"/>
      <c r="Z259" s="224"/>
      <c r="AA259" s="224"/>
      <c r="AB259" s="224"/>
      <c r="AC259" s="224"/>
      <c r="AD259" s="143" t="s">
        <v>2185</v>
      </c>
      <c r="AE259" s="143" t="s">
        <v>2186</v>
      </c>
    </row>
    <row r="260" spans="1:31" ht="24.95" customHeight="1" x14ac:dyDescent="0.2">
      <c r="A260" s="144">
        <v>507</v>
      </c>
      <c r="B260" s="145" t="s">
        <v>2491</v>
      </c>
      <c r="C260" s="146" t="s">
        <v>2256</v>
      </c>
      <c r="D260" s="146" t="s">
        <v>2492</v>
      </c>
      <c r="E260" s="147" t="s">
        <v>2265</v>
      </c>
      <c r="F260" s="148">
        <v>6175</v>
      </c>
      <c r="G260" s="149">
        <f>100+1290+1380+1+4072</f>
        <v>6843</v>
      </c>
      <c r="H260" s="149">
        <v>70</v>
      </c>
      <c r="I260" s="196"/>
      <c r="J260" s="149">
        <v>0</v>
      </c>
      <c r="K260" s="149">
        <v>0</v>
      </c>
      <c r="L260" s="149">
        <v>0</v>
      </c>
      <c r="M260" s="149">
        <v>0</v>
      </c>
      <c r="N260" s="149">
        <v>0</v>
      </c>
      <c r="O260" s="149">
        <v>0</v>
      </c>
      <c r="P260" s="224"/>
      <c r="Q260" s="224"/>
      <c r="R260" s="224"/>
      <c r="S260" s="224"/>
      <c r="T260" s="224"/>
      <c r="U260" s="224"/>
      <c r="V260" s="224"/>
      <c r="W260" s="224"/>
      <c r="X260" s="224"/>
      <c r="Y260" s="224"/>
      <c r="Z260" s="224"/>
      <c r="AA260" s="224"/>
      <c r="AB260" s="224"/>
      <c r="AC260" s="224"/>
      <c r="AD260" s="143" t="s">
        <v>2347</v>
      </c>
      <c r="AE260" s="143" t="s">
        <v>2254</v>
      </c>
    </row>
    <row r="261" spans="1:31" ht="24.95" customHeight="1" x14ac:dyDescent="0.2">
      <c r="A261" s="144">
        <v>508</v>
      </c>
      <c r="B261" s="145" t="s">
        <v>2493</v>
      </c>
      <c r="C261" s="146" t="s">
        <v>2256</v>
      </c>
      <c r="D261" s="146" t="s">
        <v>2492</v>
      </c>
      <c r="E261" s="147" t="s">
        <v>2265</v>
      </c>
      <c r="F261" s="148">
        <v>2685</v>
      </c>
      <c r="G261" s="149">
        <f>1035+251+1+1557</f>
        <v>2844</v>
      </c>
      <c r="H261" s="149">
        <v>40</v>
      </c>
      <c r="I261" s="196"/>
      <c r="J261" s="149">
        <v>0</v>
      </c>
      <c r="K261" s="149">
        <v>0</v>
      </c>
      <c r="L261" s="149">
        <v>0</v>
      </c>
      <c r="M261" s="149">
        <v>0</v>
      </c>
      <c r="N261" s="149">
        <v>0</v>
      </c>
      <c r="O261" s="149">
        <v>0</v>
      </c>
      <c r="P261" s="224"/>
      <c r="Q261" s="224"/>
      <c r="R261" s="224"/>
      <c r="S261" s="224"/>
      <c r="T261" s="224"/>
      <c r="U261" s="224"/>
      <c r="V261" s="224"/>
      <c r="W261" s="224"/>
      <c r="X261" s="224"/>
      <c r="Y261" s="224"/>
      <c r="Z261" s="224"/>
      <c r="AA261" s="224"/>
      <c r="AB261" s="224"/>
      <c r="AC261" s="224"/>
      <c r="AD261" s="143" t="s">
        <v>2185</v>
      </c>
      <c r="AE261" s="143" t="s">
        <v>2254</v>
      </c>
    </row>
    <row r="262" spans="1:31" ht="24.95" customHeight="1" x14ac:dyDescent="0.2">
      <c r="A262" s="144">
        <v>509</v>
      </c>
      <c r="B262" s="145" t="s">
        <v>2494</v>
      </c>
      <c r="C262" s="146" t="s">
        <v>2256</v>
      </c>
      <c r="D262" s="146" t="s">
        <v>2492</v>
      </c>
      <c r="E262" s="147" t="s">
        <v>2265</v>
      </c>
      <c r="F262" s="148">
        <v>2560</v>
      </c>
      <c r="G262" s="149">
        <v>3225</v>
      </c>
      <c r="H262" s="149">
        <v>23</v>
      </c>
      <c r="I262" s="196"/>
      <c r="J262" s="149">
        <v>2846</v>
      </c>
      <c r="K262" s="149">
        <v>3082</v>
      </c>
      <c r="L262" s="149">
        <v>26</v>
      </c>
      <c r="M262" s="149">
        <v>1387</v>
      </c>
      <c r="N262" s="149">
        <v>2</v>
      </c>
      <c r="O262" s="149">
        <v>1528</v>
      </c>
      <c r="P262" s="224"/>
      <c r="Q262" s="224"/>
      <c r="R262" s="224"/>
      <c r="S262" s="224"/>
      <c r="T262" s="224"/>
      <c r="U262" s="224"/>
      <c r="V262" s="224"/>
      <c r="W262" s="224"/>
      <c r="X262" s="224"/>
      <c r="Y262" s="224"/>
      <c r="Z262" s="224"/>
      <c r="AA262" s="224"/>
      <c r="AB262" s="224"/>
      <c r="AC262" s="224"/>
      <c r="AD262" s="143" t="s">
        <v>2185</v>
      </c>
      <c r="AE262" s="143" t="s">
        <v>2254</v>
      </c>
    </row>
    <row r="263" spans="1:31" ht="24.95" customHeight="1" x14ac:dyDescent="0.2">
      <c r="A263" s="144">
        <v>510</v>
      </c>
      <c r="B263" s="150" t="s">
        <v>2495</v>
      </c>
      <c r="C263" s="146" t="s">
        <v>2230</v>
      </c>
      <c r="D263" s="146" t="s">
        <v>2230</v>
      </c>
      <c r="E263" s="147" t="s">
        <v>2223</v>
      </c>
      <c r="F263" s="148">
        <f>6345+1620</f>
        <v>7965</v>
      </c>
      <c r="G263" s="149">
        <v>4925</v>
      </c>
      <c r="H263" s="149">
        <v>107</v>
      </c>
      <c r="I263" s="196"/>
      <c r="J263" s="149">
        <v>6435</v>
      </c>
      <c r="K263" s="149">
        <v>4965</v>
      </c>
      <c r="L263" s="149">
        <v>104</v>
      </c>
      <c r="M263" s="149">
        <v>3938</v>
      </c>
      <c r="N263" s="149">
        <v>1</v>
      </c>
      <c r="O263" s="149">
        <v>4482</v>
      </c>
      <c r="P263" s="224"/>
      <c r="Q263" s="224"/>
      <c r="R263" s="224"/>
      <c r="S263" s="224"/>
      <c r="T263" s="224"/>
      <c r="U263" s="224"/>
      <c r="V263" s="224"/>
      <c r="W263" s="224"/>
      <c r="X263" s="224"/>
      <c r="Y263" s="224"/>
      <c r="Z263" s="224"/>
      <c r="AA263" s="224"/>
      <c r="AB263" s="224"/>
      <c r="AC263" s="224"/>
      <c r="AD263" s="143" t="s">
        <v>2185</v>
      </c>
      <c r="AE263" s="143" t="s">
        <v>2186</v>
      </c>
    </row>
    <row r="264" spans="1:31" ht="24.95" customHeight="1" x14ac:dyDescent="0.2">
      <c r="A264" s="144">
        <v>516</v>
      </c>
      <c r="B264" s="150" t="s">
        <v>2496</v>
      </c>
      <c r="C264" s="146" t="s">
        <v>2312</v>
      </c>
      <c r="D264" s="146" t="s">
        <v>2312</v>
      </c>
      <c r="E264" s="147" t="s">
        <v>2184</v>
      </c>
      <c r="F264" s="148">
        <v>7343</v>
      </c>
      <c r="G264" s="149">
        <v>7498</v>
      </c>
      <c r="H264" s="149">
        <v>128</v>
      </c>
      <c r="I264" s="196"/>
      <c r="J264" s="149">
        <v>7274</v>
      </c>
      <c r="K264" s="149">
        <v>7498</v>
      </c>
      <c r="L264" s="149">
        <v>128</v>
      </c>
      <c r="M264" s="149">
        <v>11397</v>
      </c>
      <c r="N264" s="149">
        <v>2</v>
      </c>
      <c r="O264" s="149">
        <v>10370</v>
      </c>
      <c r="P264" s="224"/>
      <c r="Q264" s="224"/>
      <c r="R264" s="224"/>
      <c r="S264" s="224"/>
      <c r="T264" s="224"/>
      <c r="U264" s="224"/>
      <c r="V264" s="224"/>
      <c r="W264" s="224"/>
      <c r="X264" s="224"/>
      <c r="Y264" s="224"/>
      <c r="Z264" s="224"/>
      <c r="AA264" s="224"/>
      <c r="AB264" s="224"/>
      <c r="AC264" s="224"/>
      <c r="AD264" s="143" t="s">
        <v>2185</v>
      </c>
      <c r="AE264" s="143" t="s">
        <v>2186</v>
      </c>
    </row>
    <row r="265" spans="1:31" ht="24.95" customHeight="1" x14ac:dyDescent="0.2">
      <c r="A265" s="144">
        <v>517</v>
      </c>
      <c r="B265" s="150" t="s">
        <v>2497</v>
      </c>
      <c r="C265" s="146" t="s">
        <v>2312</v>
      </c>
      <c r="D265" s="146" t="s">
        <v>2312</v>
      </c>
      <c r="E265" s="147" t="s">
        <v>2184</v>
      </c>
      <c r="F265" s="148">
        <v>7252</v>
      </c>
      <c r="G265" s="149">
        <v>6943</v>
      </c>
      <c r="H265" s="149">
        <v>100</v>
      </c>
      <c r="I265" s="196"/>
      <c r="J265" s="149">
        <v>8261</v>
      </c>
      <c r="K265" s="149">
        <v>7135</v>
      </c>
      <c r="L265" s="149">
        <v>133</v>
      </c>
      <c r="M265" s="149">
        <v>5598</v>
      </c>
      <c r="N265" s="149">
        <v>4</v>
      </c>
      <c r="O265" s="149">
        <v>4630</v>
      </c>
      <c r="P265" s="224"/>
      <c r="Q265" s="224"/>
      <c r="R265" s="224"/>
      <c r="S265" s="224"/>
      <c r="T265" s="224"/>
      <c r="U265" s="224"/>
      <c r="V265" s="224"/>
      <c r="W265" s="224"/>
      <c r="X265" s="224"/>
      <c r="Y265" s="224"/>
      <c r="Z265" s="224"/>
      <c r="AA265" s="224"/>
      <c r="AB265" s="224"/>
      <c r="AC265" s="224"/>
      <c r="AD265" s="143" t="s">
        <v>2185</v>
      </c>
      <c r="AE265" s="143" t="s">
        <v>2186</v>
      </c>
    </row>
    <row r="266" spans="1:31" ht="24.95" customHeight="1" x14ac:dyDescent="0.2">
      <c r="A266" s="144">
        <v>518</v>
      </c>
      <c r="B266" s="150" t="s">
        <v>2498</v>
      </c>
      <c r="C266" s="146" t="s">
        <v>2229</v>
      </c>
      <c r="D266" s="146" t="s">
        <v>2365</v>
      </c>
      <c r="E266" s="147" t="s">
        <v>2223</v>
      </c>
      <c r="F266" s="148">
        <v>11800</v>
      </c>
      <c r="G266" s="149">
        <v>9035</v>
      </c>
      <c r="H266" s="149">
        <v>173</v>
      </c>
      <c r="I266" s="196"/>
      <c r="J266" s="149">
        <v>11429</v>
      </c>
      <c r="K266" s="149">
        <v>9320</v>
      </c>
      <c r="L266" s="149">
        <v>173</v>
      </c>
      <c r="M266" s="149">
        <v>6932</v>
      </c>
      <c r="N266" s="149">
        <v>5</v>
      </c>
      <c r="O266" s="149">
        <v>8409</v>
      </c>
      <c r="P266" s="224"/>
      <c r="Q266" s="224"/>
      <c r="R266" s="224"/>
      <c r="S266" s="224"/>
      <c r="T266" s="224"/>
      <c r="U266" s="224"/>
      <c r="V266" s="224"/>
      <c r="W266" s="224"/>
      <c r="X266" s="224"/>
      <c r="Y266" s="224"/>
      <c r="Z266" s="224"/>
      <c r="AA266" s="224"/>
      <c r="AB266" s="224"/>
      <c r="AC266" s="224"/>
      <c r="AD266" s="143" t="s">
        <v>2185</v>
      </c>
      <c r="AE266" s="143" t="s">
        <v>2186</v>
      </c>
    </row>
    <row r="267" spans="1:31" ht="24.95" customHeight="1" x14ac:dyDescent="0.2">
      <c r="A267" s="144">
        <v>519</v>
      </c>
      <c r="B267" s="150" t="s">
        <v>2499</v>
      </c>
      <c r="C267" s="146" t="s">
        <v>2365</v>
      </c>
      <c r="D267" s="146" t="s">
        <v>2365</v>
      </c>
      <c r="E267" s="147" t="s">
        <v>2231</v>
      </c>
      <c r="F267" s="148">
        <v>2010</v>
      </c>
      <c r="G267" s="149">
        <v>2910</v>
      </c>
      <c r="H267" s="149">
        <v>11</v>
      </c>
      <c r="I267" s="196"/>
      <c r="J267" s="149">
        <f>1665+706</f>
        <v>2371</v>
      </c>
      <c r="K267" s="149">
        <f>50+125+165+940+1650</f>
        <v>2930</v>
      </c>
      <c r="L267" s="149">
        <v>9</v>
      </c>
      <c r="M267" s="149">
        <v>226</v>
      </c>
      <c r="N267" s="149">
        <v>0</v>
      </c>
      <c r="O267" s="149">
        <f>165+56</f>
        <v>221</v>
      </c>
      <c r="P267" s="224"/>
      <c r="Q267" s="224"/>
      <c r="R267" s="224"/>
      <c r="S267" s="224"/>
      <c r="T267" s="224"/>
      <c r="U267" s="224"/>
      <c r="V267" s="224"/>
      <c r="W267" s="224"/>
      <c r="X267" s="224"/>
      <c r="Y267" s="224"/>
      <c r="Z267" s="224"/>
      <c r="AA267" s="224"/>
      <c r="AB267" s="224"/>
      <c r="AC267" s="224"/>
      <c r="AD267" s="143" t="s">
        <v>2185</v>
      </c>
      <c r="AE267" s="143" t="s">
        <v>2186</v>
      </c>
    </row>
    <row r="268" spans="1:31" ht="24.95" customHeight="1" x14ac:dyDescent="0.2">
      <c r="A268" s="144">
        <v>547</v>
      </c>
      <c r="B268" s="150" t="s">
        <v>2500</v>
      </c>
      <c r="C268" s="146" t="s">
        <v>2222</v>
      </c>
      <c r="D268" s="146" t="s">
        <v>2222</v>
      </c>
      <c r="E268" s="147" t="s">
        <v>2231</v>
      </c>
      <c r="F268" s="148">
        <v>7145</v>
      </c>
      <c r="G268" s="149">
        <v>6475</v>
      </c>
      <c r="H268" s="149">
        <v>168</v>
      </c>
      <c r="I268" s="196"/>
      <c r="J268" s="149">
        <v>7763</v>
      </c>
      <c r="K268" s="149">
        <v>6475</v>
      </c>
      <c r="L268" s="149">
        <v>164</v>
      </c>
      <c r="M268" s="149">
        <v>14092</v>
      </c>
      <c r="N268" s="149">
        <v>10</v>
      </c>
      <c r="O268" s="149">
        <v>11914</v>
      </c>
      <c r="P268" s="224"/>
      <c r="Q268" s="224"/>
      <c r="R268" s="224"/>
      <c r="S268" s="224"/>
      <c r="T268" s="224"/>
      <c r="U268" s="224"/>
      <c r="V268" s="224"/>
      <c r="W268" s="224"/>
      <c r="X268" s="224"/>
      <c r="Y268" s="224"/>
      <c r="Z268" s="224"/>
      <c r="AA268" s="224"/>
      <c r="AB268" s="224"/>
      <c r="AC268" s="224"/>
      <c r="AD268" s="143" t="s">
        <v>2185</v>
      </c>
      <c r="AE268" s="143" t="s">
        <v>2186</v>
      </c>
    </row>
    <row r="269" spans="1:31" ht="24.95" customHeight="1" x14ac:dyDescent="0.2">
      <c r="A269" s="144">
        <v>548</v>
      </c>
      <c r="B269" s="150" t="s">
        <v>2501</v>
      </c>
      <c r="C269" s="146" t="s">
        <v>2365</v>
      </c>
      <c r="D269" s="146" t="s">
        <v>2365</v>
      </c>
      <c r="E269" s="147" t="s">
        <v>2231</v>
      </c>
      <c r="F269" s="148">
        <v>4207</v>
      </c>
      <c r="G269" s="149">
        <v>3590</v>
      </c>
      <c r="H269" s="149">
        <v>50</v>
      </c>
      <c r="I269" s="196"/>
      <c r="J269" s="149">
        <f>1083+2925</f>
        <v>4008</v>
      </c>
      <c r="K269" s="149">
        <f>30+484+448+1624+1004</f>
        <v>3590</v>
      </c>
      <c r="L269" s="149">
        <v>49</v>
      </c>
      <c r="M269" s="149">
        <v>1985</v>
      </c>
      <c r="N269" s="149">
        <v>0</v>
      </c>
      <c r="O269" s="149">
        <f>290+932+34+1739</f>
        <v>2995</v>
      </c>
      <c r="P269" s="224"/>
      <c r="Q269" s="224"/>
      <c r="R269" s="224"/>
      <c r="S269" s="224"/>
      <c r="T269" s="224"/>
      <c r="U269" s="224"/>
      <c r="V269" s="224"/>
      <c r="W269" s="224"/>
      <c r="X269" s="224"/>
      <c r="Y269" s="224"/>
      <c r="Z269" s="224"/>
      <c r="AA269" s="224"/>
      <c r="AB269" s="224"/>
      <c r="AC269" s="224"/>
      <c r="AD269" s="143" t="s">
        <v>2185</v>
      </c>
      <c r="AE269" s="143" t="s">
        <v>2186</v>
      </c>
    </row>
    <row r="270" spans="1:31" ht="24.95" customHeight="1" x14ac:dyDescent="0.2">
      <c r="A270" s="144">
        <v>549</v>
      </c>
      <c r="B270" s="145" t="s">
        <v>2502</v>
      </c>
      <c r="C270" s="146" t="s">
        <v>2229</v>
      </c>
      <c r="D270" s="146" t="s">
        <v>2230</v>
      </c>
      <c r="E270" s="147" t="s">
        <v>2223</v>
      </c>
      <c r="F270" s="148">
        <v>1811</v>
      </c>
      <c r="G270" s="149">
        <v>1989</v>
      </c>
      <c r="H270" s="149">
        <v>13</v>
      </c>
      <c r="I270" s="196"/>
      <c r="J270" s="149">
        <v>1737</v>
      </c>
      <c r="K270" s="149">
        <v>1989</v>
      </c>
      <c r="L270" s="149">
        <v>8</v>
      </c>
      <c r="M270" s="149">
        <v>354</v>
      </c>
      <c r="N270" s="149">
        <v>1</v>
      </c>
      <c r="O270" s="149">
        <v>530</v>
      </c>
      <c r="P270" s="224"/>
      <c r="Q270" s="224"/>
      <c r="R270" s="224"/>
      <c r="S270" s="224"/>
      <c r="T270" s="224"/>
      <c r="U270" s="224"/>
      <c r="V270" s="224"/>
      <c r="W270" s="224"/>
      <c r="X270" s="224"/>
      <c r="Y270" s="224"/>
      <c r="Z270" s="224"/>
      <c r="AA270" s="224"/>
      <c r="AB270" s="224"/>
      <c r="AC270" s="224"/>
      <c r="AD270" s="143" t="s">
        <v>2185</v>
      </c>
      <c r="AE270" s="143" t="s">
        <v>2254</v>
      </c>
    </row>
    <row r="271" spans="1:31" ht="24.95" customHeight="1" x14ac:dyDescent="0.2">
      <c r="A271" s="144">
        <v>550</v>
      </c>
      <c r="B271" s="150" t="s">
        <v>2503</v>
      </c>
      <c r="C271" s="146" t="s">
        <v>2230</v>
      </c>
      <c r="D271" s="146" t="s">
        <v>2230</v>
      </c>
      <c r="E271" s="147" t="s">
        <v>2231</v>
      </c>
      <c r="F271" s="148">
        <v>8164</v>
      </c>
      <c r="G271" s="149">
        <v>6449</v>
      </c>
      <c r="H271" s="149">
        <v>127</v>
      </c>
      <c r="I271" s="196"/>
      <c r="J271" s="149">
        <v>9130</v>
      </c>
      <c r="K271" s="149">
        <v>6551</v>
      </c>
      <c r="L271" s="149">
        <v>116</v>
      </c>
      <c r="M271" s="149">
        <v>4192</v>
      </c>
      <c r="N271" s="149">
        <v>4</v>
      </c>
      <c r="O271" s="149">
        <v>6952</v>
      </c>
      <c r="P271" s="224"/>
      <c r="Q271" s="224"/>
      <c r="R271" s="224"/>
      <c r="S271" s="224"/>
      <c r="T271" s="224"/>
      <c r="U271" s="224"/>
      <c r="V271" s="224"/>
      <c r="W271" s="224"/>
      <c r="X271" s="224"/>
      <c r="Y271" s="224"/>
      <c r="Z271" s="224"/>
      <c r="AA271" s="224"/>
      <c r="AB271" s="224"/>
      <c r="AC271" s="224"/>
      <c r="AD271" s="143" t="s">
        <v>2185</v>
      </c>
      <c r="AE271" s="143" t="s">
        <v>2186</v>
      </c>
    </row>
    <row r="272" spans="1:31" ht="24.95" customHeight="1" x14ac:dyDescent="0.2">
      <c r="A272" s="144">
        <v>551</v>
      </c>
      <c r="B272" s="145" t="s">
        <v>2504</v>
      </c>
      <c r="C272" s="146" t="s">
        <v>2222</v>
      </c>
      <c r="D272" s="146" t="s">
        <v>2222</v>
      </c>
      <c r="E272" s="147" t="s">
        <v>2310</v>
      </c>
      <c r="F272" s="148">
        <v>8010</v>
      </c>
      <c r="G272" s="149">
        <v>4780</v>
      </c>
      <c r="H272" s="149">
        <v>118</v>
      </c>
      <c r="I272" s="196"/>
      <c r="J272" s="149">
        <v>8022</v>
      </c>
      <c r="K272" s="149">
        <v>4780</v>
      </c>
      <c r="L272" s="149">
        <v>109</v>
      </c>
      <c r="M272" s="149">
        <v>4368</v>
      </c>
      <c r="N272" s="149">
        <f>115-109</f>
        <v>6</v>
      </c>
      <c r="O272" s="149">
        <v>7430</v>
      </c>
      <c r="P272" s="224"/>
      <c r="Q272" s="224"/>
      <c r="R272" s="224"/>
      <c r="S272" s="224"/>
      <c r="T272" s="224"/>
      <c r="U272" s="224"/>
      <c r="V272" s="224"/>
      <c r="W272" s="224"/>
      <c r="X272" s="224"/>
      <c r="Y272" s="224"/>
      <c r="Z272" s="224"/>
      <c r="AA272" s="224"/>
      <c r="AB272" s="224"/>
      <c r="AC272" s="224"/>
      <c r="AD272" s="143" t="s">
        <v>2185</v>
      </c>
      <c r="AE272" s="143" t="s">
        <v>2254</v>
      </c>
    </row>
    <row r="273" spans="1:31" ht="24.95" customHeight="1" x14ac:dyDescent="0.2">
      <c r="A273" s="144">
        <v>553</v>
      </c>
      <c r="B273" s="150" t="s">
        <v>2505</v>
      </c>
      <c r="C273" s="146" t="s">
        <v>2194</v>
      </c>
      <c r="D273" s="146" t="s">
        <v>2194</v>
      </c>
      <c r="E273" s="147" t="s">
        <v>2184</v>
      </c>
      <c r="F273" s="148">
        <v>1432</v>
      </c>
      <c r="G273" s="149">
        <v>644</v>
      </c>
      <c r="H273" s="149">
        <v>9</v>
      </c>
      <c r="I273" s="196"/>
      <c r="J273" s="149">
        <v>1420</v>
      </c>
      <c r="K273" s="149">
        <v>682</v>
      </c>
      <c r="L273" s="149">
        <v>7</v>
      </c>
      <c r="M273" s="149">
        <v>357</v>
      </c>
      <c r="N273" s="149">
        <v>1</v>
      </c>
      <c r="O273" s="149">
        <f>145+217</f>
        <v>362</v>
      </c>
      <c r="P273" s="224"/>
      <c r="Q273" s="224"/>
      <c r="R273" s="224"/>
      <c r="S273" s="224"/>
      <c r="T273" s="224"/>
      <c r="U273" s="224"/>
      <c r="V273" s="224"/>
      <c r="W273" s="224"/>
      <c r="X273" s="224"/>
      <c r="Y273" s="224"/>
      <c r="Z273" s="224"/>
      <c r="AA273" s="224"/>
      <c r="AB273" s="224"/>
      <c r="AC273" s="224"/>
      <c r="AD273" s="143" t="s">
        <v>2185</v>
      </c>
      <c r="AE273" s="143" t="s">
        <v>2186</v>
      </c>
    </row>
    <row r="274" spans="1:31" ht="24.95" customHeight="1" x14ac:dyDescent="0.2">
      <c r="A274" s="144">
        <v>554</v>
      </c>
      <c r="B274" s="150" t="s">
        <v>2506</v>
      </c>
      <c r="C274" s="146" t="s">
        <v>2222</v>
      </c>
      <c r="D274" s="146" t="s">
        <v>2222</v>
      </c>
      <c r="E274" s="147" t="s">
        <v>2231</v>
      </c>
      <c r="F274" s="148">
        <v>4925</v>
      </c>
      <c r="G274" s="149">
        <v>4360</v>
      </c>
      <c r="H274" s="149">
        <v>117</v>
      </c>
      <c r="I274" s="196"/>
      <c r="J274" s="149">
        <v>5998</v>
      </c>
      <c r="K274" s="149">
        <v>5010</v>
      </c>
      <c r="L274" s="149">
        <v>124</v>
      </c>
      <c r="M274" s="149">
        <v>9214</v>
      </c>
      <c r="N274" s="149">
        <v>3</v>
      </c>
      <c r="O274" s="149">
        <v>6475</v>
      </c>
      <c r="P274" s="224"/>
      <c r="Q274" s="224"/>
      <c r="R274" s="224"/>
      <c r="S274" s="224"/>
      <c r="T274" s="224"/>
      <c r="U274" s="224"/>
      <c r="V274" s="224"/>
      <c r="W274" s="224"/>
      <c r="X274" s="224"/>
      <c r="Y274" s="224"/>
      <c r="Z274" s="224"/>
      <c r="AA274" s="224"/>
      <c r="AB274" s="224"/>
      <c r="AC274" s="224"/>
      <c r="AD274" s="143" t="s">
        <v>2185</v>
      </c>
      <c r="AE274" s="143" t="s">
        <v>2186</v>
      </c>
    </row>
    <row r="275" spans="1:31" ht="24.95" customHeight="1" x14ac:dyDescent="0.2">
      <c r="A275" s="144">
        <v>556</v>
      </c>
      <c r="B275" s="145" t="s">
        <v>2507</v>
      </c>
      <c r="C275" s="146" t="s">
        <v>2222</v>
      </c>
      <c r="D275" s="146" t="s">
        <v>2222</v>
      </c>
      <c r="E275" s="147" t="s">
        <v>2310</v>
      </c>
      <c r="F275" s="148">
        <f>20+8265</f>
        <v>8285</v>
      </c>
      <c r="G275" s="149">
        <f>23510-7150-7150</f>
        <v>9210</v>
      </c>
      <c r="H275" s="149">
        <v>220</v>
      </c>
      <c r="I275" s="196"/>
      <c r="J275" s="149">
        <v>8871</v>
      </c>
      <c r="K275" s="149">
        <v>10385</v>
      </c>
      <c r="L275" s="149">
        <v>236</v>
      </c>
      <c r="M275" s="149">
        <v>9740</v>
      </c>
      <c r="N275" s="149">
        <v>6</v>
      </c>
      <c r="O275" s="149">
        <v>10075</v>
      </c>
      <c r="P275" s="224"/>
      <c r="Q275" s="224"/>
      <c r="R275" s="224"/>
      <c r="S275" s="224"/>
      <c r="T275" s="224"/>
      <c r="U275" s="224"/>
      <c r="V275" s="224"/>
      <c r="W275" s="224"/>
      <c r="X275" s="224"/>
      <c r="Y275" s="224"/>
      <c r="Z275" s="224"/>
      <c r="AA275" s="224"/>
      <c r="AB275" s="224"/>
      <c r="AC275" s="224"/>
      <c r="AD275" s="143" t="s">
        <v>2185</v>
      </c>
      <c r="AE275" s="143" t="s">
        <v>2254</v>
      </c>
    </row>
    <row r="276" spans="1:31" ht="24.6" customHeight="1" x14ac:dyDescent="0.2">
      <c r="A276" s="144">
        <v>557</v>
      </c>
      <c r="B276" s="145" t="s">
        <v>2508</v>
      </c>
      <c r="C276" s="146" t="s">
        <v>2222</v>
      </c>
      <c r="D276" s="146" t="s">
        <v>2222</v>
      </c>
      <c r="E276" s="147" t="s">
        <v>2310</v>
      </c>
      <c r="F276" s="148">
        <v>7635</v>
      </c>
      <c r="G276" s="149">
        <v>7680</v>
      </c>
      <c r="H276" s="149">
        <v>124</v>
      </c>
      <c r="I276" s="196"/>
      <c r="J276" s="149">
        <v>7635</v>
      </c>
      <c r="K276" s="149">
        <v>7680</v>
      </c>
      <c r="L276" s="149">
        <v>187</v>
      </c>
      <c r="M276" s="149">
        <v>10284</v>
      </c>
      <c r="N276" s="149">
        <f>193-187</f>
        <v>6</v>
      </c>
      <c r="O276" s="149">
        <v>12300</v>
      </c>
      <c r="P276" s="224"/>
      <c r="Q276" s="224"/>
      <c r="R276" s="224"/>
      <c r="S276" s="224"/>
      <c r="T276" s="224"/>
      <c r="U276" s="224"/>
      <c r="V276" s="224"/>
      <c r="W276" s="224"/>
      <c r="X276" s="224"/>
      <c r="Y276" s="224"/>
      <c r="Z276" s="224"/>
      <c r="AA276" s="224"/>
      <c r="AB276" s="224"/>
      <c r="AC276" s="224"/>
      <c r="AD276" s="143" t="s">
        <v>2185</v>
      </c>
      <c r="AE276" s="143" t="s">
        <v>2254</v>
      </c>
    </row>
    <row r="277" spans="1:31" ht="24.95" customHeight="1" x14ac:dyDescent="0.2">
      <c r="A277" s="144">
        <v>558</v>
      </c>
      <c r="B277" s="145" t="s">
        <v>2509</v>
      </c>
      <c r="C277" s="146" t="s">
        <v>2222</v>
      </c>
      <c r="D277" s="146" t="s">
        <v>2222</v>
      </c>
      <c r="E277" s="147" t="s">
        <v>2223</v>
      </c>
      <c r="F277" s="148">
        <v>5070</v>
      </c>
      <c r="G277" s="149">
        <v>4655</v>
      </c>
      <c r="H277" s="149">
        <v>84</v>
      </c>
      <c r="I277" s="196"/>
      <c r="J277" s="149">
        <v>5276</v>
      </c>
      <c r="K277" s="149">
        <v>4655</v>
      </c>
      <c r="L277" s="149">
        <v>74</v>
      </c>
      <c r="M277" s="149">
        <v>4612</v>
      </c>
      <c r="N277" s="149">
        <v>4</v>
      </c>
      <c r="O277" s="149">
        <v>4726</v>
      </c>
      <c r="P277" s="224"/>
      <c r="Q277" s="224"/>
      <c r="R277" s="224"/>
      <c r="S277" s="224"/>
      <c r="T277" s="224"/>
      <c r="U277" s="224"/>
      <c r="V277" s="224"/>
      <c r="W277" s="224"/>
      <c r="X277" s="224"/>
      <c r="Y277" s="224"/>
      <c r="Z277" s="224"/>
      <c r="AA277" s="224"/>
      <c r="AB277" s="224"/>
      <c r="AC277" s="224"/>
      <c r="AD277" s="143" t="s">
        <v>2185</v>
      </c>
      <c r="AE277" s="143" t="s">
        <v>2254</v>
      </c>
    </row>
    <row r="278" spans="1:31" ht="24.95" customHeight="1" x14ac:dyDescent="0.2">
      <c r="A278" s="144">
        <v>560</v>
      </c>
      <c r="B278" s="150" t="s">
        <v>2510</v>
      </c>
      <c r="C278" s="146" t="s">
        <v>2258</v>
      </c>
      <c r="D278" s="146" t="s">
        <v>2258</v>
      </c>
      <c r="E278" s="147" t="s">
        <v>2184</v>
      </c>
      <c r="F278" s="148">
        <v>4045</v>
      </c>
      <c r="G278" s="149">
        <v>4065</v>
      </c>
      <c r="H278" s="149">
        <v>95</v>
      </c>
      <c r="I278" s="196"/>
      <c r="J278" s="149">
        <v>5653</v>
      </c>
      <c r="K278" s="149">
        <v>4265</v>
      </c>
      <c r="L278" s="149">
        <v>78</v>
      </c>
      <c r="M278" s="149">
        <v>2546</v>
      </c>
      <c r="N278" s="149">
        <v>15</v>
      </c>
      <c r="O278" s="149">
        <v>5099</v>
      </c>
      <c r="P278" s="224"/>
      <c r="Q278" s="224"/>
      <c r="R278" s="224"/>
      <c r="S278" s="224"/>
      <c r="T278" s="224"/>
      <c r="U278" s="224"/>
      <c r="V278" s="224"/>
      <c r="W278" s="224"/>
      <c r="X278" s="224"/>
      <c r="Y278" s="224"/>
      <c r="Z278" s="224"/>
      <c r="AA278" s="224"/>
      <c r="AB278" s="224"/>
      <c r="AC278" s="224"/>
      <c r="AD278" s="143" t="s">
        <v>2185</v>
      </c>
      <c r="AE278" s="143" t="s">
        <v>2186</v>
      </c>
    </row>
    <row r="279" spans="1:31" ht="24.95" customHeight="1" x14ac:dyDescent="0.2">
      <c r="A279" s="144">
        <v>561</v>
      </c>
      <c r="B279" s="150" t="s">
        <v>2511</v>
      </c>
      <c r="C279" s="146" t="s">
        <v>2258</v>
      </c>
      <c r="D279" s="146" t="s">
        <v>2258</v>
      </c>
      <c r="E279" s="147" t="s">
        <v>2184</v>
      </c>
      <c r="F279" s="148">
        <v>4989</v>
      </c>
      <c r="G279" s="149">
        <v>5703</v>
      </c>
      <c r="H279" s="149">
        <v>73</v>
      </c>
      <c r="I279" s="196"/>
      <c r="J279" s="149">
        <v>4392</v>
      </c>
      <c r="K279" s="149">
        <v>6280</v>
      </c>
      <c r="L279" s="149">
        <v>66</v>
      </c>
      <c r="M279" s="149">
        <v>3052</v>
      </c>
      <c r="N279" s="149">
        <v>3</v>
      </c>
      <c r="O279" s="149">
        <v>3651</v>
      </c>
      <c r="P279" s="224"/>
      <c r="Q279" s="224"/>
      <c r="R279" s="224"/>
      <c r="S279" s="224"/>
      <c r="T279" s="224"/>
      <c r="U279" s="224"/>
      <c r="V279" s="224"/>
      <c r="W279" s="224"/>
      <c r="X279" s="224"/>
      <c r="Y279" s="224"/>
      <c r="Z279" s="224"/>
      <c r="AA279" s="224"/>
      <c r="AB279" s="224"/>
      <c r="AC279" s="224"/>
      <c r="AD279" s="143" t="s">
        <v>2185</v>
      </c>
      <c r="AE279" s="143" t="s">
        <v>2186</v>
      </c>
    </row>
    <row r="280" spans="1:31" ht="24.95" customHeight="1" x14ac:dyDescent="0.2">
      <c r="A280" s="144">
        <v>562</v>
      </c>
      <c r="B280" s="150" t="s">
        <v>2512</v>
      </c>
      <c r="C280" s="146" t="s">
        <v>2222</v>
      </c>
      <c r="D280" s="146" t="s">
        <v>2222</v>
      </c>
      <c r="E280" s="147" t="s">
        <v>2223</v>
      </c>
      <c r="F280" s="148">
        <v>4192</v>
      </c>
      <c r="G280" s="149">
        <v>8318</v>
      </c>
      <c r="H280" s="149">
        <v>11</v>
      </c>
      <c r="I280" s="196"/>
      <c r="J280" s="149">
        <v>4153</v>
      </c>
      <c r="K280" s="149">
        <v>7698</v>
      </c>
      <c r="L280" s="149">
        <v>9</v>
      </c>
      <c r="M280" s="149">
        <v>567</v>
      </c>
      <c r="N280" s="149">
        <v>0</v>
      </c>
      <c r="O280" s="149">
        <v>405</v>
      </c>
      <c r="P280" s="224"/>
      <c r="Q280" s="224"/>
      <c r="R280" s="224"/>
      <c r="S280" s="224"/>
      <c r="T280" s="224"/>
      <c r="U280" s="224"/>
      <c r="V280" s="224"/>
      <c r="W280" s="224"/>
      <c r="X280" s="224"/>
      <c r="Y280" s="224"/>
      <c r="Z280" s="224"/>
      <c r="AA280" s="224"/>
      <c r="AB280" s="224"/>
      <c r="AC280" s="224"/>
      <c r="AD280" s="143" t="s">
        <v>2185</v>
      </c>
      <c r="AE280" s="143" t="s">
        <v>2186</v>
      </c>
    </row>
    <row r="281" spans="1:31" ht="24.95" customHeight="1" x14ac:dyDescent="0.2">
      <c r="A281" s="144">
        <v>563</v>
      </c>
      <c r="B281" s="150" t="s">
        <v>2513</v>
      </c>
      <c r="C281" s="146" t="s">
        <v>2222</v>
      </c>
      <c r="D281" s="146" t="s">
        <v>2222</v>
      </c>
      <c r="E281" s="147" t="s">
        <v>2223</v>
      </c>
      <c r="F281" s="148">
        <f>1635+6040</f>
        <v>7675</v>
      </c>
      <c r="G281" s="149">
        <v>7995</v>
      </c>
      <c r="H281" s="149">
        <v>96</v>
      </c>
      <c r="I281" s="196"/>
      <c r="J281" s="149">
        <v>7490</v>
      </c>
      <c r="K281" s="149">
        <v>8229</v>
      </c>
      <c r="L281" s="149">
        <v>58</v>
      </c>
      <c r="M281" s="149">
        <v>3809</v>
      </c>
      <c r="N281" s="149">
        <v>14</v>
      </c>
      <c r="O281" s="149">
        <v>4631</v>
      </c>
      <c r="P281" s="224"/>
      <c r="Q281" s="224"/>
      <c r="R281" s="224"/>
      <c r="S281" s="224"/>
      <c r="T281" s="224"/>
      <c r="U281" s="224"/>
      <c r="V281" s="224"/>
      <c r="W281" s="224"/>
      <c r="X281" s="224"/>
      <c r="Y281" s="224"/>
      <c r="Z281" s="224"/>
      <c r="AA281" s="224"/>
      <c r="AB281" s="224"/>
      <c r="AC281" s="224"/>
      <c r="AD281" s="143" t="s">
        <v>2185</v>
      </c>
      <c r="AE281" s="143" t="s">
        <v>2254</v>
      </c>
    </row>
    <row r="282" spans="1:31" ht="24.95" customHeight="1" x14ac:dyDescent="0.2">
      <c r="A282" s="144">
        <v>564</v>
      </c>
      <c r="B282" s="145" t="s">
        <v>2514</v>
      </c>
      <c r="C282" s="146" t="s">
        <v>2222</v>
      </c>
      <c r="D282" s="146" t="s">
        <v>2222</v>
      </c>
      <c r="E282" s="147" t="s">
        <v>2310</v>
      </c>
      <c r="F282" s="148">
        <v>6665</v>
      </c>
      <c r="G282" s="149">
        <v>12780</v>
      </c>
      <c r="H282" s="149">
        <v>97</v>
      </c>
      <c r="I282" s="196"/>
      <c r="J282" s="149">
        <v>5920</v>
      </c>
      <c r="K282" s="149">
        <v>13740</v>
      </c>
      <c r="L282" s="149">
        <v>57</v>
      </c>
      <c r="M282" s="149">
        <v>4459</v>
      </c>
      <c r="N282" s="149">
        <v>12</v>
      </c>
      <c r="O282" s="149">
        <v>5134</v>
      </c>
      <c r="P282" s="224"/>
      <c r="Q282" s="224"/>
      <c r="R282" s="224"/>
      <c r="S282" s="224"/>
      <c r="T282" s="224"/>
      <c r="U282" s="224"/>
      <c r="V282" s="224"/>
      <c r="W282" s="224"/>
      <c r="X282" s="224"/>
      <c r="Y282" s="224"/>
      <c r="Z282" s="224"/>
      <c r="AA282" s="224"/>
      <c r="AB282" s="224"/>
      <c r="AC282" s="224"/>
      <c r="AD282" s="143" t="s">
        <v>2185</v>
      </c>
      <c r="AE282" s="143" t="s">
        <v>2254</v>
      </c>
    </row>
    <row r="283" spans="1:31" ht="24.95" customHeight="1" x14ac:dyDescent="0.2">
      <c r="A283" s="144">
        <v>565</v>
      </c>
      <c r="B283" s="145" t="s">
        <v>2515</v>
      </c>
      <c r="C283" s="146" t="s">
        <v>2222</v>
      </c>
      <c r="D283" s="146" t="s">
        <v>2222</v>
      </c>
      <c r="E283" s="147" t="s">
        <v>2223</v>
      </c>
      <c r="F283" s="148">
        <f>15880-8385</f>
        <v>7495</v>
      </c>
      <c r="G283" s="149">
        <v>6600</v>
      </c>
      <c r="H283" s="149">
        <v>129</v>
      </c>
      <c r="I283" s="196"/>
      <c r="J283" s="149">
        <v>8114</v>
      </c>
      <c r="K283" s="149">
        <v>6300</v>
      </c>
      <c r="L283" s="149">
        <v>129</v>
      </c>
      <c r="M283" s="149">
        <v>8219</v>
      </c>
      <c r="N283" s="149">
        <v>0</v>
      </c>
      <c r="O283" s="149">
        <v>9959</v>
      </c>
      <c r="P283" s="224"/>
      <c r="Q283" s="224"/>
      <c r="R283" s="224"/>
      <c r="S283" s="224"/>
      <c r="T283" s="224"/>
      <c r="U283" s="224"/>
      <c r="V283" s="224"/>
      <c r="W283" s="224"/>
      <c r="X283" s="224"/>
      <c r="Y283" s="224"/>
      <c r="Z283" s="224"/>
      <c r="AA283" s="224"/>
      <c r="AB283" s="224"/>
      <c r="AC283" s="224"/>
      <c r="AD283" s="143" t="s">
        <v>2185</v>
      </c>
      <c r="AE283" s="143" t="s">
        <v>2254</v>
      </c>
    </row>
    <row r="284" spans="1:31" ht="24.95" customHeight="1" x14ac:dyDescent="0.2">
      <c r="A284" s="144">
        <v>566</v>
      </c>
      <c r="B284" s="145" t="s">
        <v>2516</v>
      </c>
      <c r="C284" s="146" t="s">
        <v>2222</v>
      </c>
      <c r="D284" s="146" t="s">
        <v>2222</v>
      </c>
      <c r="E284" s="147" t="s">
        <v>2310</v>
      </c>
      <c r="F284" s="148">
        <v>5365</v>
      </c>
      <c r="G284" s="149">
        <f>55+80+1+1682</f>
        <v>1818</v>
      </c>
      <c r="H284" s="149">
        <v>2706</v>
      </c>
      <c r="I284" s="196"/>
      <c r="J284" s="149">
        <v>0</v>
      </c>
      <c r="K284" s="149">
        <v>0</v>
      </c>
      <c r="L284" s="149">
        <v>0</v>
      </c>
      <c r="M284" s="149">
        <v>0</v>
      </c>
      <c r="N284" s="149">
        <v>0</v>
      </c>
      <c r="O284" s="149">
        <v>0</v>
      </c>
      <c r="P284" s="224"/>
      <c r="Q284" s="224"/>
      <c r="R284" s="224"/>
      <c r="S284" s="224"/>
      <c r="T284" s="224"/>
      <c r="U284" s="224"/>
      <c r="V284" s="224"/>
      <c r="W284" s="224"/>
      <c r="X284" s="224"/>
      <c r="Y284" s="224"/>
      <c r="Z284" s="224"/>
      <c r="AA284" s="224"/>
      <c r="AB284" s="224"/>
      <c r="AC284" s="224"/>
      <c r="AD284" s="143" t="s">
        <v>2517</v>
      </c>
      <c r="AE284" s="143" t="s">
        <v>2186</v>
      </c>
    </row>
    <row r="285" spans="1:31" ht="24.95" customHeight="1" x14ac:dyDescent="0.2">
      <c r="A285" s="144">
        <v>568</v>
      </c>
      <c r="B285" s="150" t="s">
        <v>2518</v>
      </c>
      <c r="C285" s="146" t="s">
        <v>2250</v>
      </c>
      <c r="D285" s="146" t="s">
        <v>2250</v>
      </c>
      <c r="E285" s="147" t="s">
        <v>2223</v>
      </c>
      <c r="F285" s="148">
        <v>7953</v>
      </c>
      <c r="G285" s="149">
        <v>9951</v>
      </c>
      <c r="H285" s="149">
        <v>151</v>
      </c>
      <c r="I285" s="196"/>
      <c r="J285" s="149">
        <v>7592</v>
      </c>
      <c r="K285" s="149">
        <v>9951</v>
      </c>
      <c r="L285" s="149">
        <v>132</v>
      </c>
      <c r="M285" s="149">
        <v>7814</v>
      </c>
      <c r="N285" s="149">
        <v>0</v>
      </c>
      <c r="O285" s="149">
        <v>7553</v>
      </c>
      <c r="P285" s="224"/>
      <c r="Q285" s="224"/>
      <c r="R285" s="224"/>
      <c r="S285" s="224"/>
      <c r="T285" s="224"/>
      <c r="U285" s="224"/>
      <c r="V285" s="224"/>
      <c r="W285" s="224"/>
      <c r="X285" s="224"/>
      <c r="Y285" s="224"/>
      <c r="Z285" s="224"/>
      <c r="AA285" s="224"/>
      <c r="AB285" s="224"/>
      <c r="AC285" s="224"/>
      <c r="AD285" s="143" t="s">
        <v>2185</v>
      </c>
      <c r="AE285" s="143" t="s">
        <v>2186</v>
      </c>
    </row>
    <row r="286" spans="1:31" ht="24.95" customHeight="1" x14ac:dyDescent="0.2">
      <c r="A286" s="144">
        <v>569</v>
      </c>
      <c r="B286" s="150" t="s">
        <v>2519</v>
      </c>
      <c r="C286" s="146" t="s">
        <v>2183</v>
      </c>
      <c r="D286" s="146" t="s">
        <v>2183</v>
      </c>
      <c r="E286" s="147" t="s">
        <v>2184</v>
      </c>
      <c r="F286" s="148">
        <v>6993</v>
      </c>
      <c r="G286" s="149">
        <v>8413</v>
      </c>
      <c r="H286" s="149">
        <v>106</v>
      </c>
      <c r="I286" s="196"/>
      <c r="J286" s="149">
        <v>6786</v>
      </c>
      <c r="K286" s="149">
        <v>8440</v>
      </c>
      <c r="L286" s="149">
        <v>76</v>
      </c>
      <c r="M286" s="149">
        <v>3155</v>
      </c>
      <c r="N286" s="149">
        <v>11</v>
      </c>
      <c r="O286" s="149">
        <v>4086</v>
      </c>
      <c r="P286" s="224"/>
      <c r="Q286" s="224"/>
      <c r="R286" s="224"/>
      <c r="S286" s="224"/>
      <c r="T286" s="224"/>
      <c r="U286" s="224"/>
      <c r="V286" s="224"/>
      <c r="W286" s="224"/>
      <c r="X286" s="224"/>
      <c r="Y286" s="224"/>
      <c r="Z286" s="224"/>
      <c r="AA286" s="224"/>
      <c r="AB286" s="224"/>
      <c r="AC286" s="224"/>
      <c r="AD286" s="143" t="s">
        <v>2185</v>
      </c>
      <c r="AE286" s="143" t="s">
        <v>2186</v>
      </c>
    </row>
    <row r="287" spans="1:31" ht="24.95" customHeight="1" x14ac:dyDescent="0.2">
      <c r="A287" s="144">
        <v>570</v>
      </c>
      <c r="B287" s="150" t="s">
        <v>2520</v>
      </c>
      <c r="C287" s="146" t="s">
        <v>2247</v>
      </c>
      <c r="D287" s="146" t="s">
        <v>2247</v>
      </c>
      <c r="E287" s="147" t="s">
        <v>2184</v>
      </c>
      <c r="F287" s="148">
        <f>55+5940</f>
        <v>5995</v>
      </c>
      <c r="G287" s="149">
        <v>6840</v>
      </c>
      <c r="H287" s="149">
        <v>56</v>
      </c>
      <c r="I287" s="196"/>
      <c r="J287" s="149">
        <v>6234</v>
      </c>
      <c r="K287" s="149">
        <v>7829</v>
      </c>
      <c r="L287" s="149">
        <v>85</v>
      </c>
      <c r="M287" s="149">
        <v>8203</v>
      </c>
      <c r="N287" s="149">
        <v>1</v>
      </c>
      <c r="O287" s="149">
        <v>7311</v>
      </c>
      <c r="P287" s="224"/>
      <c r="Q287" s="224"/>
      <c r="R287" s="224"/>
      <c r="S287" s="224"/>
      <c r="T287" s="224"/>
      <c r="U287" s="224"/>
      <c r="V287" s="224"/>
      <c r="W287" s="224"/>
      <c r="X287" s="224"/>
      <c r="Y287" s="224"/>
      <c r="Z287" s="224"/>
      <c r="AA287" s="224"/>
      <c r="AB287" s="224"/>
      <c r="AC287" s="224"/>
      <c r="AD287" s="143" t="s">
        <v>2185</v>
      </c>
      <c r="AE287" s="143" t="s">
        <v>2254</v>
      </c>
    </row>
    <row r="288" spans="1:31" ht="24.95" customHeight="1" x14ac:dyDescent="0.2">
      <c r="A288" s="144">
        <v>571</v>
      </c>
      <c r="B288" s="150" t="s">
        <v>2521</v>
      </c>
      <c r="C288" s="146" t="s">
        <v>2247</v>
      </c>
      <c r="D288" s="146" t="s">
        <v>2247</v>
      </c>
      <c r="E288" s="147" t="s">
        <v>2223</v>
      </c>
      <c r="F288" s="148">
        <v>6605</v>
      </c>
      <c r="G288" s="149">
        <v>7417</v>
      </c>
      <c r="H288" s="149">
        <v>97</v>
      </c>
      <c r="I288" s="196"/>
      <c r="J288" s="149">
        <v>6358</v>
      </c>
      <c r="K288" s="149">
        <v>7462</v>
      </c>
      <c r="L288" s="149">
        <v>84</v>
      </c>
      <c r="M288" s="149">
        <v>7802</v>
      </c>
      <c r="N288" s="149">
        <f>93-84</f>
        <v>9</v>
      </c>
      <c r="O288" s="149">
        <v>8592</v>
      </c>
      <c r="P288" s="224"/>
      <c r="Q288" s="224"/>
      <c r="R288" s="224"/>
      <c r="S288" s="224"/>
      <c r="T288" s="224"/>
      <c r="U288" s="224"/>
      <c r="V288" s="224"/>
      <c r="W288" s="224"/>
      <c r="X288" s="224"/>
      <c r="Y288" s="224"/>
      <c r="Z288" s="224"/>
      <c r="AA288" s="224"/>
      <c r="AB288" s="224"/>
      <c r="AC288" s="224"/>
      <c r="AD288" s="143" t="s">
        <v>2185</v>
      </c>
      <c r="AE288" s="143" t="s">
        <v>2186</v>
      </c>
    </row>
    <row r="289" spans="1:31" ht="24.95" customHeight="1" x14ac:dyDescent="0.2">
      <c r="A289" s="144">
        <v>572</v>
      </c>
      <c r="B289" s="150" t="s">
        <v>2522</v>
      </c>
      <c r="C289" s="146" t="s">
        <v>2247</v>
      </c>
      <c r="D289" s="146" t="s">
        <v>2247</v>
      </c>
      <c r="E289" s="147" t="s">
        <v>2310</v>
      </c>
      <c r="F289" s="148">
        <v>8270</v>
      </c>
      <c r="G289" s="149">
        <v>9120</v>
      </c>
      <c r="H289" s="149">
        <v>114</v>
      </c>
      <c r="I289" s="196"/>
      <c r="J289" s="149">
        <v>8605</v>
      </c>
      <c r="K289" s="149">
        <v>9120</v>
      </c>
      <c r="L289" s="149">
        <v>131</v>
      </c>
      <c r="M289" s="149">
        <v>9654</v>
      </c>
      <c r="N289" s="149">
        <v>1</v>
      </c>
      <c r="O289" s="149">
        <v>9870</v>
      </c>
      <c r="P289" s="224"/>
      <c r="Q289" s="224"/>
      <c r="R289" s="224"/>
      <c r="S289" s="224"/>
      <c r="T289" s="224"/>
      <c r="U289" s="224"/>
      <c r="V289" s="224"/>
      <c r="W289" s="224"/>
      <c r="X289" s="224"/>
      <c r="Y289" s="224"/>
      <c r="Z289" s="224"/>
      <c r="AA289" s="224"/>
      <c r="AB289" s="224"/>
      <c r="AC289" s="224"/>
      <c r="AD289" s="143" t="s">
        <v>2185</v>
      </c>
      <c r="AE289" s="143" t="s">
        <v>2254</v>
      </c>
    </row>
    <row r="290" spans="1:31" ht="24.95" customHeight="1" x14ac:dyDescent="0.2">
      <c r="A290" s="144">
        <v>573</v>
      </c>
      <c r="B290" s="145" t="s">
        <v>2523</v>
      </c>
      <c r="C290" s="146" t="s">
        <v>2309</v>
      </c>
      <c r="D290" s="146" t="s">
        <v>2309</v>
      </c>
      <c r="E290" s="147" t="s">
        <v>2310</v>
      </c>
      <c r="F290" s="148">
        <v>6955</v>
      </c>
      <c r="G290" s="149">
        <v>7465</v>
      </c>
      <c r="H290" s="149">
        <v>127</v>
      </c>
      <c r="I290" s="196"/>
      <c r="J290" s="149">
        <v>7765</v>
      </c>
      <c r="K290" s="149">
        <v>7465</v>
      </c>
      <c r="L290" s="149">
        <v>53</v>
      </c>
      <c r="M290" s="149">
        <v>3312</v>
      </c>
      <c r="N290" s="149">
        <v>0</v>
      </c>
      <c r="O290" s="149">
        <v>3084</v>
      </c>
      <c r="P290" s="224"/>
      <c r="Q290" s="224"/>
      <c r="R290" s="224"/>
      <c r="S290" s="224"/>
      <c r="T290" s="224"/>
      <c r="U290" s="224"/>
      <c r="V290" s="224"/>
      <c r="W290" s="224"/>
      <c r="X290" s="224"/>
      <c r="Y290" s="224"/>
      <c r="Z290" s="224"/>
      <c r="AA290" s="224"/>
      <c r="AB290" s="224"/>
      <c r="AC290" s="224"/>
      <c r="AD290" s="143" t="s">
        <v>2185</v>
      </c>
      <c r="AE290" s="143" t="s">
        <v>2254</v>
      </c>
    </row>
    <row r="291" spans="1:31" ht="24.95" customHeight="1" x14ac:dyDescent="0.2">
      <c r="A291" s="144">
        <v>574</v>
      </c>
      <c r="B291" s="150" t="s">
        <v>2524</v>
      </c>
      <c r="C291" s="146" t="s">
        <v>2525</v>
      </c>
      <c r="D291" s="146" t="s">
        <v>2525</v>
      </c>
      <c r="E291" s="147" t="s">
        <v>2223</v>
      </c>
      <c r="F291" s="148">
        <v>5285</v>
      </c>
      <c r="G291" s="149">
        <v>8050</v>
      </c>
      <c r="H291" s="149">
        <v>106</v>
      </c>
      <c r="I291" s="196"/>
      <c r="J291" s="149">
        <v>4833</v>
      </c>
      <c r="K291" s="149">
        <v>8120</v>
      </c>
      <c r="L291" s="149">
        <v>105</v>
      </c>
      <c r="M291" s="149">
        <v>6905</v>
      </c>
      <c r="N291" s="149">
        <v>1</v>
      </c>
      <c r="O291" s="149">
        <v>6886</v>
      </c>
      <c r="P291" s="224"/>
      <c r="Q291" s="224"/>
      <c r="R291" s="224"/>
      <c r="S291" s="224"/>
      <c r="T291" s="224"/>
      <c r="U291" s="224"/>
      <c r="V291" s="224"/>
      <c r="W291" s="224"/>
      <c r="X291" s="224"/>
      <c r="Y291" s="224"/>
      <c r="Z291" s="224"/>
      <c r="AA291" s="224"/>
      <c r="AB291" s="224"/>
      <c r="AC291" s="224"/>
      <c r="AD291" s="143" t="s">
        <v>2185</v>
      </c>
      <c r="AE291" s="143" t="s">
        <v>2186</v>
      </c>
    </row>
    <row r="292" spans="1:31" ht="24.95" customHeight="1" x14ac:dyDescent="0.2">
      <c r="A292" s="144">
        <v>575</v>
      </c>
      <c r="B292" s="150" t="s">
        <v>2526</v>
      </c>
      <c r="C292" s="146" t="s">
        <v>2525</v>
      </c>
      <c r="D292" s="146" t="s">
        <v>2525</v>
      </c>
      <c r="E292" s="147" t="s">
        <v>2223</v>
      </c>
      <c r="F292" s="148">
        <v>9860</v>
      </c>
      <c r="G292" s="149">
        <v>9958</v>
      </c>
      <c r="H292" s="149">
        <v>140</v>
      </c>
      <c r="I292" s="196"/>
      <c r="J292" s="149">
        <v>9759</v>
      </c>
      <c r="K292" s="149">
        <v>9958</v>
      </c>
      <c r="L292" s="149">
        <v>140</v>
      </c>
      <c r="M292" s="149">
        <v>7354</v>
      </c>
      <c r="N292" s="149">
        <v>7</v>
      </c>
      <c r="O292" s="149">
        <v>8356</v>
      </c>
      <c r="P292" s="224"/>
      <c r="Q292" s="224"/>
      <c r="R292" s="224"/>
      <c r="S292" s="224"/>
      <c r="T292" s="224"/>
      <c r="U292" s="224"/>
      <c r="V292" s="224"/>
      <c r="W292" s="224"/>
      <c r="X292" s="224"/>
      <c r="Y292" s="224"/>
      <c r="Z292" s="224"/>
      <c r="AA292" s="224"/>
      <c r="AB292" s="224"/>
      <c r="AC292" s="224"/>
      <c r="AD292" s="143" t="s">
        <v>2185</v>
      </c>
      <c r="AE292" s="143" t="s">
        <v>2254</v>
      </c>
    </row>
    <row r="293" spans="1:31" ht="24.95" customHeight="1" x14ac:dyDescent="0.2">
      <c r="A293" s="144">
        <v>576</v>
      </c>
      <c r="B293" s="150" t="s">
        <v>2527</v>
      </c>
      <c r="C293" s="146" t="s">
        <v>2525</v>
      </c>
      <c r="D293" s="146" t="s">
        <v>2525</v>
      </c>
      <c r="E293" s="147" t="s">
        <v>2184</v>
      </c>
      <c r="F293" s="148">
        <v>4848</v>
      </c>
      <c r="G293" s="149">
        <v>5077</v>
      </c>
      <c r="H293" s="149">
        <v>54</v>
      </c>
      <c r="I293" s="196"/>
      <c r="J293" s="149">
        <v>3548</v>
      </c>
      <c r="K293" s="149">
        <f>1173+162+486+176+1447+1629</f>
        <v>5073</v>
      </c>
      <c r="L293" s="149">
        <v>45</v>
      </c>
      <c r="M293" s="149">
        <v>2505</v>
      </c>
      <c r="N293" s="149">
        <v>3</v>
      </c>
      <c r="O293" s="149">
        <f>2232+478</f>
        <v>2710</v>
      </c>
      <c r="P293" s="224"/>
      <c r="Q293" s="224"/>
      <c r="R293" s="224"/>
      <c r="S293" s="224"/>
      <c r="T293" s="224"/>
      <c r="U293" s="224"/>
      <c r="V293" s="224"/>
      <c r="W293" s="224"/>
      <c r="X293" s="224"/>
      <c r="Y293" s="224"/>
      <c r="Z293" s="224"/>
      <c r="AA293" s="224"/>
      <c r="AB293" s="224"/>
      <c r="AC293" s="224"/>
      <c r="AD293" s="143" t="s">
        <v>2185</v>
      </c>
      <c r="AE293" s="143" t="s">
        <v>2186</v>
      </c>
    </row>
    <row r="294" spans="1:31" ht="24.95" customHeight="1" x14ac:dyDescent="0.2">
      <c r="A294" s="144">
        <v>577</v>
      </c>
      <c r="B294" s="145" t="s">
        <v>2528</v>
      </c>
      <c r="C294" s="146" t="s">
        <v>2525</v>
      </c>
      <c r="D294" s="146" t="s">
        <v>2525</v>
      </c>
      <c r="E294" s="147" t="s">
        <v>2310</v>
      </c>
      <c r="F294" s="148">
        <v>7475</v>
      </c>
      <c r="G294" s="149">
        <v>7450</v>
      </c>
      <c r="H294" s="149">
        <v>143</v>
      </c>
      <c r="I294" s="196"/>
      <c r="J294" s="149">
        <v>8389</v>
      </c>
      <c r="K294" s="149">
        <v>8275</v>
      </c>
      <c r="L294" s="149">
        <v>145</v>
      </c>
      <c r="M294" s="149">
        <v>9577</v>
      </c>
      <c r="N294" s="149">
        <v>4</v>
      </c>
      <c r="O294" s="149">
        <v>10092</v>
      </c>
      <c r="P294" s="224"/>
      <c r="Q294" s="224"/>
      <c r="R294" s="224"/>
      <c r="S294" s="224"/>
      <c r="T294" s="224"/>
      <c r="U294" s="224"/>
      <c r="V294" s="224"/>
      <c r="W294" s="224"/>
      <c r="X294" s="224"/>
      <c r="Y294" s="224"/>
      <c r="Z294" s="224"/>
      <c r="AA294" s="224"/>
      <c r="AB294" s="224"/>
      <c r="AC294" s="224"/>
      <c r="AD294" s="143" t="s">
        <v>2185</v>
      </c>
      <c r="AE294" s="143" t="s">
        <v>2254</v>
      </c>
    </row>
    <row r="295" spans="1:31" ht="24.95" customHeight="1" x14ac:dyDescent="0.2">
      <c r="A295" s="144">
        <v>578</v>
      </c>
      <c r="B295" s="150" t="s">
        <v>2529</v>
      </c>
      <c r="C295" s="146" t="s">
        <v>2525</v>
      </c>
      <c r="D295" s="146" t="s">
        <v>2525</v>
      </c>
      <c r="E295" s="147" t="s">
        <v>2310</v>
      </c>
      <c r="F295" s="148">
        <v>4705</v>
      </c>
      <c r="G295" s="149">
        <v>5530</v>
      </c>
      <c r="H295" s="149">
        <v>96</v>
      </c>
      <c r="I295" s="196"/>
      <c r="J295" s="149">
        <v>4705</v>
      </c>
      <c r="K295" s="149">
        <v>5815</v>
      </c>
      <c r="L295" s="149">
        <v>97</v>
      </c>
      <c r="M295" s="149">
        <v>6679</v>
      </c>
      <c r="N295" s="149">
        <v>0</v>
      </c>
      <c r="O295" s="149">
        <v>6301</v>
      </c>
      <c r="P295" s="224"/>
      <c r="Q295" s="224"/>
      <c r="R295" s="224"/>
      <c r="S295" s="224"/>
      <c r="T295" s="224"/>
      <c r="U295" s="224"/>
      <c r="V295" s="224"/>
      <c r="W295" s="224"/>
      <c r="X295" s="224"/>
      <c r="Y295" s="224"/>
      <c r="Z295" s="224"/>
      <c r="AA295" s="224"/>
      <c r="AB295" s="224"/>
      <c r="AC295" s="224"/>
      <c r="AD295" s="143" t="s">
        <v>2185</v>
      </c>
      <c r="AE295" s="143" t="s">
        <v>2254</v>
      </c>
    </row>
    <row r="296" spans="1:31" ht="24.95" customHeight="1" x14ac:dyDescent="0.2">
      <c r="A296" s="144">
        <v>579</v>
      </c>
      <c r="B296" s="145" t="s">
        <v>2530</v>
      </c>
      <c r="C296" s="146" t="s">
        <v>2312</v>
      </c>
      <c r="D296" s="146" t="s">
        <v>2525</v>
      </c>
      <c r="E296" s="147" t="s">
        <v>2310</v>
      </c>
      <c r="F296" s="148">
        <v>4835</v>
      </c>
      <c r="G296" s="149">
        <v>5410</v>
      </c>
      <c r="H296" s="149">
        <v>70</v>
      </c>
      <c r="I296" s="196"/>
      <c r="J296" s="149">
        <v>6080</v>
      </c>
      <c r="K296" s="149">
        <v>5410</v>
      </c>
      <c r="L296" s="149">
        <v>67</v>
      </c>
      <c r="M296" s="149">
        <v>3941</v>
      </c>
      <c r="N296" s="149">
        <v>1</v>
      </c>
      <c r="O296" s="149">
        <v>4591</v>
      </c>
      <c r="P296" s="224"/>
      <c r="Q296" s="224"/>
      <c r="R296" s="224"/>
      <c r="S296" s="224"/>
      <c r="T296" s="224"/>
      <c r="U296" s="224"/>
      <c r="V296" s="224"/>
      <c r="W296" s="224"/>
      <c r="X296" s="224"/>
      <c r="Y296" s="224"/>
      <c r="Z296" s="224"/>
      <c r="AA296" s="224"/>
      <c r="AB296" s="224"/>
      <c r="AC296" s="224"/>
      <c r="AD296" s="143" t="s">
        <v>2185</v>
      </c>
      <c r="AE296" s="143" t="s">
        <v>2254</v>
      </c>
    </row>
    <row r="297" spans="1:31" ht="24.95" customHeight="1" x14ac:dyDescent="0.2">
      <c r="A297" s="144">
        <v>580</v>
      </c>
      <c r="B297" s="150" t="s">
        <v>2531</v>
      </c>
      <c r="C297" s="146" t="s">
        <v>2525</v>
      </c>
      <c r="D297" s="146" t="s">
        <v>2525</v>
      </c>
      <c r="E297" s="147" t="s">
        <v>2223</v>
      </c>
      <c r="F297" s="148">
        <v>5500</v>
      </c>
      <c r="G297" s="149">
        <v>5585</v>
      </c>
      <c r="H297" s="149">
        <v>89</v>
      </c>
      <c r="I297" s="196"/>
      <c r="J297" s="149">
        <v>5585</v>
      </c>
      <c r="K297" s="149">
        <v>7050</v>
      </c>
      <c r="L297" s="149">
        <v>87</v>
      </c>
      <c r="M297" s="149">
        <v>4793</v>
      </c>
      <c r="N297" s="149">
        <v>3</v>
      </c>
      <c r="O297" s="149">
        <v>4958</v>
      </c>
      <c r="P297" s="224"/>
      <c r="Q297" s="224"/>
      <c r="R297" s="224"/>
      <c r="S297" s="224"/>
      <c r="T297" s="224"/>
      <c r="U297" s="224"/>
      <c r="V297" s="224"/>
      <c r="W297" s="224"/>
      <c r="X297" s="224"/>
      <c r="Y297" s="224"/>
      <c r="Z297" s="224"/>
      <c r="AA297" s="224"/>
      <c r="AB297" s="224"/>
      <c r="AC297" s="224"/>
      <c r="AD297" s="143" t="s">
        <v>2185</v>
      </c>
      <c r="AE297" s="143" t="s">
        <v>2254</v>
      </c>
    </row>
    <row r="298" spans="1:31" ht="24.95" customHeight="1" x14ac:dyDescent="0.2">
      <c r="A298" s="144">
        <v>581</v>
      </c>
      <c r="B298" s="150" t="s">
        <v>2532</v>
      </c>
      <c r="C298" s="146" t="s">
        <v>2309</v>
      </c>
      <c r="D298" s="146" t="s">
        <v>2309</v>
      </c>
      <c r="E298" s="147" t="s">
        <v>2184</v>
      </c>
      <c r="F298" s="148">
        <v>6128</v>
      </c>
      <c r="G298" s="149">
        <v>5878</v>
      </c>
      <c r="H298" s="149">
        <v>86</v>
      </c>
      <c r="I298" s="196"/>
      <c r="J298" s="149">
        <v>7442</v>
      </c>
      <c r="K298" s="149">
        <v>6160</v>
      </c>
      <c r="L298" s="149">
        <v>83</v>
      </c>
      <c r="M298" s="149">
        <v>5395</v>
      </c>
      <c r="N298" s="149">
        <v>3</v>
      </c>
      <c r="O298" s="149">
        <v>4689</v>
      </c>
      <c r="P298" s="224"/>
      <c r="Q298" s="224"/>
      <c r="R298" s="224"/>
      <c r="S298" s="224"/>
      <c r="T298" s="224"/>
      <c r="U298" s="224"/>
      <c r="V298" s="224"/>
      <c r="W298" s="224"/>
      <c r="X298" s="224"/>
      <c r="Y298" s="224"/>
      <c r="Z298" s="224"/>
      <c r="AA298" s="224"/>
      <c r="AB298" s="224"/>
      <c r="AC298" s="224"/>
      <c r="AD298" s="143" t="s">
        <v>2185</v>
      </c>
      <c r="AE298" s="143" t="s">
        <v>2186</v>
      </c>
    </row>
    <row r="299" spans="1:31" ht="24.95" customHeight="1" x14ac:dyDescent="0.2">
      <c r="A299" s="144">
        <v>582</v>
      </c>
      <c r="B299" s="150" t="s">
        <v>2533</v>
      </c>
      <c r="C299" s="146" t="s">
        <v>2309</v>
      </c>
      <c r="D299" s="146" t="s">
        <v>2309</v>
      </c>
      <c r="E299" s="147" t="s">
        <v>2223</v>
      </c>
      <c r="F299" s="148">
        <v>4175</v>
      </c>
      <c r="G299" s="149">
        <v>4320</v>
      </c>
      <c r="H299" s="149">
        <v>73</v>
      </c>
      <c r="I299" s="196"/>
      <c r="J299" s="149">
        <v>5118</v>
      </c>
      <c r="K299" s="149">
        <v>5615</v>
      </c>
      <c r="L299" s="149">
        <v>78</v>
      </c>
      <c r="M299" s="149">
        <v>3492</v>
      </c>
      <c r="N299" s="149">
        <v>1</v>
      </c>
      <c r="O299" s="149">
        <v>3170</v>
      </c>
      <c r="P299" s="224"/>
      <c r="Q299" s="224"/>
      <c r="R299" s="224"/>
      <c r="S299" s="224"/>
      <c r="T299" s="224"/>
      <c r="U299" s="224"/>
      <c r="V299" s="224"/>
      <c r="W299" s="224"/>
      <c r="X299" s="224"/>
      <c r="Y299" s="224"/>
      <c r="Z299" s="224"/>
      <c r="AA299" s="224"/>
      <c r="AB299" s="224"/>
      <c r="AC299" s="224"/>
      <c r="AD299" s="143" t="s">
        <v>2185</v>
      </c>
      <c r="AE299" s="143" t="s">
        <v>2254</v>
      </c>
    </row>
    <row r="300" spans="1:31" ht="24.95" customHeight="1" x14ac:dyDescent="0.2">
      <c r="A300" s="144">
        <v>583</v>
      </c>
      <c r="B300" s="145" t="s">
        <v>2534</v>
      </c>
      <c r="C300" s="146" t="s">
        <v>2309</v>
      </c>
      <c r="D300" s="146" t="s">
        <v>2309</v>
      </c>
      <c r="E300" s="147" t="s">
        <v>2310</v>
      </c>
      <c r="F300" s="148">
        <v>7170</v>
      </c>
      <c r="G300" s="149">
        <v>6655</v>
      </c>
      <c r="H300" s="149">
        <v>108</v>
      </c>
      <c r="I300" s="196"/>
      <c r="J300" s="149">
        <v>6991</v>
      </c>
      <c r="K300" s="149">
        <v>6782</v>
      </c>
      <c r="L300" s="149">
        <v>94</v>
      </c>
      <c r="M300" s="149">
        <v>4605</v>
      </c>
      <c r="N300" s="149">
        <v>1</v>
      </c>
      <c r="O300" s="149">
        <v>4200</v>
      </c>
      <c r="P300" s="224"/>
      <c r="Q300" s="224"/>
      <c r="R300" s="224"/>
      <c r="S300" s="224"/>
      <c r="T300" s="224"/>
      <c r="U300" s="224"/>
      <c r="V300" s="224"/>
      <c r="W300" s="224"/>
      <c r="X300" s="224"/>
      <c r="Y300" s="224"/>
      <c r="Z300" s="224"/>
      <c r="AA300" s="224"/>
      <c r="AB300" s="224"/>
      <c r="AC300" s="224"/>
      <c r="AD300" s="143" t="s">
        <v>2185</v>
      </c>
      <c r="AE300" s="143" t="s">
        <v>2254</v>
      </c>
    </row>
    <row r="301" spans="1:31" ht="24.95" customHeight="1" x14ac:dyDescent="0.2">
      <c r="A301" s="144">
        <v>584</v>
      </c>
      <c r="B301" s="145" t="s">
        <v>2535</v>
      </c>
      <c r="C301" s="146" t="s">
        <v>2309</v>
      </c>
      <c r="D301" s="146" t="s">
        <v>2309</v>
      </c>
      <c r="E301" s="147" t="s">
        <v>2310</v>
      </c>
      <c r="F301" s="148">
        <v>4835</v>
      </c>
      <c r="G301" s="149">
        <v>6300</v>
      </c>
      <c r="H301" s="149">
        <v>68</v>
      </c>
      <c r="I301" s="196"/>
      <c r="J301" s="149">
        <v>4739</v>
      </c>
      <c r="K301" s="149">
        <v>5952</v>
      </c>
      <c r="L301" s="149">
        <v>66</v>
      </c>
      <c r="M301" s="149">
        <v>2444</v>
      </c>
      <c r="N301" s="149">
        <v>1</v>
      </c>
      <c r="O301" s="149">
        <v>2345</v>
      </c>
      <c r="P301" s="224"/>
      <c r="Q301" s="224"/>
      <c r="R301" s="224"/>
      <c r="S301" s="224"/>
      <c r="T301" s="224"/>
      <c r="U301" s="224"/>
      <c r="V301" s="224"/>
      <c r="W301" s="224"/>
      <c r="X301" s="224"/>
      <c r="Y301" s="224"/>
      <c r="Z301" s="224"/>
      <c r="AA301" s="224"/>
      <c r="AB301" s="224"/>
      <c r="AC301" s="224"/>
      <c r="AD301" s="143" t="s">
        <v>2185</v>
      </c>
      <c r="AE301" s="143" t="s">
        <v>2254</v>
      </c>
    </row>
    <row r="302" spans="1:31" ht="24.95" customHeight="1" x14ac:dyDescent="0.2">
      <c r="A302" s="144">
        <v>585</v>
      </c>
      <c r="B302" s="145" t="s">
        <v>2536</v>
      </c>
      <c r="C302" s="146" t="s">
        <v>2309</v>
      </c>
      <c r="D302" s="146" t="s">
        <v>2309</v>
      </c>
      <c r="E302" s="147" t="s">
        <v>2310</v>
      </c>
      <c r="F302" s="148">
        <v>2505</v>
      </c>
      <c r="G302" s="149">
        <v>5273</v>
      </c>
      <c r="H302" s="149">
        <v>44</v>
      </c>
      <c r="I302" s="196"/>
      <c r="J302" s="149">
        <v>0</v>
      </c>
      <c r="K302" s="149">
        <v>0</v>
      </c>
      <c r="L302" s="149">
        <v>0</v>
      </c>
      <c r="M302" s="149">
        <v>0</v>
      </c>
      <c r="N302" s="149">
        <v>0</v>
      </c>
      <c r="O302" s="149">
        <v>0</v>
      </c>
      <c r="P302" s="224"/>
      <c r="Q302" s="224"/>
      <c r="R302" s="224"/>
      <c r="S302" s="224"/>
      <c r="T302" s="224"/>
      <c r="U302" s="224"/>
      <c r="V302" s="224"/>
      <c r="W302" s="224"/>
      <c r="X302" s="224"/>
      <c r="Y302" s="224"/>
      <c r="Z302" s="224"/>
      <c r="AA302" s="224"/>
      <c r="AB302" s="224"/>
      <c r="AC302" s="224"/>
      <c r="AD302" s="143" t="s">
        <v>2185</v>
      </c>
      <c r="AE302" s="143" t="s">
        <v>2254</v>
      </c>
    </row>
    <row r="303" spans="1:31" ht="24.95" customHeight="1" x14ac:dyDescent="0.2">
      <c r="A303" s="144">
        <v>586</v>
      </c>
      <c r="B303" s="145" t="s">
        <v>2537</v>
      </c>
      <c r="C303" s="146" t="s">
        <v>2309</v>
      </c>
      <c r="D303" s="146" t="s">
        <v>2309</v>
      </c>
      <c r="E303" s="147" t="s">
        <v>2310</v>
      </c>
      <c r="F303" s="148">
        <v>5460</v>
      </c>
      <c r="G303" s="149">
        <f>6637-4-76</f>
        <v>6557</v>
      </c>
      <c r="H303" s="149">
        <v>99</v>
      </c>
      <c r="I303" s="196"/>
      <c r="J303" s="149">
        <v>0</v>
      </c>
      <c r="K303" s="149">
        <v>0</v>
      </c>
      <c r="L303" s="149">
        <v>0</v>
      </c>
      <c r="M303" s="149">
        <v>0</v>
      </c>
      <c r="N303" s="149">
        <v>0</v>
      </c>
      <c r="O303" s="149">
        <v>0</v>
      </c>
      <c r="P303" s="224"/>
      <c r="Q303" s="224"/>
      <c r="R303" s="224"/>
      <c r="S303" s="224"/>
      <c r="T303" s="224"/>
      <c r="U303" s="224"/>
      <c r="V303" s="224"/>
      <c r="W303" s="224"/>
      <c r="X303" s="224"/>
      <c r="Y303" s="224"/>
      <c r="Z303" s="224"/>
      <c r="AA303" s="224"/>
      <c r="AB303" s="224"/>
      <c r="AC303" s="224"/>
      <c r="AD303" s="143" t="s">
        <v>2185</v>
      </c>
      <c r="AE303" s="143" t="s">
        <v>2254</v>
      </c>
    </row>
    <row r="304" spans="1:31" ht="24.95" customHeight="1" x14ac:dyDescent="0.2">
      <c r="A304" s="144">
        <v>587</v>
      </c>
      <c r="B304" s="150" t="s">
        <v>2538</v>
      </c>
      <c r="C304" s="146" t="s">
        <v>2183</v>
      </c>
      <c r="D304" s="146" t="s">
        <v>2183</v>
      </c>
      <c r="E304" s="147" t="s">
        <v>2184</v>
      </c>
      <c r="F304" s="148">
        <v>7851</v>
      </c>
      <c r="G304" s="149">
        <v>8137</v>
      </c>
      <c r="H304" s="149">
        <v>101</v>
      </c>
      <c r="I304" s="196"/>
      <c r="J304" s="149">
        <v>7878</v>
      </c>
      <c r="K304" s="149">
        <v>8137</v>
      </c>
      <c r="L304" s="149">
        <v>96</v>
      </c>
      <c r="M304" s="149">
        <v>5095</v>
      </c>
      <c r="N304" s="149">
        <v>8</v>
      </c>
      <c r="O304" s="149">
        <v>5061</v>
      </c>
      <c r="P304" s="224"/>
      <c r="Q304" s="224"/>
      <c r="R304" s="224"/>
      <c r="S304" s="224"/>
      <c r="T304" s="224"/>
      <c r="U304" s="224"/>
      <c r="V304" s="224"/>
      <c r="W304" s="224"/>
      <c r="X304" s="224"/>
      <c r="Y304" s="224"/>
      <c r="Z304" s="224"/>
      <c r="AA304" s="224"/>
      <c r="AB304" s="224"/>
      <c r="AC304" s="224"/>
      <c r="AD304" s="143" t="s">
        <v>2185</v>
      </c>
      <c r="AE304" s="143" t="s">
        <v>2186</v>
      </c>
    </row>
    <row r="305" spans="1:31" ht="24.95" customHeight="1" x14ac:dyDescent="0.2">
      <c r="A305" s="144">
        <v>588</v>
      </c>
      <c r="B305" s="145" t="s">
        <v>2539</v>
      </c>
      <c r="C305" s="146" t="s">
        <v>2183</v>
      </c>
      <c r="D305" s="146" t="s">
        <v>2183</v>
      </c>
      <c r="E305" s="147" t="s">
        <v>2310</v>
      </c>
      <c r="F305" s="148">
        <f>130+4610</f>
        <v>4740</v>
      </c>
      <c r="G305" s="149">
        <f>300+490+565+980+2335+3355+106+1+2</f>
        <v>8134</v>
      </c>
      <c r="H305" s="149">
        <v>63</v>
      </c>
      <c r="I305" s="196"/>
      <c r="J305" s="149">
        <v>5119</v>
      </c>
      <c r="K305" s="149">
        <v>8130</v>
      </c>
      <c r="L305" s="149">
        <f>5-62</f>
        <v>-57</v>
      </c>
      <c r="M305" s="149">
        <v>5377</v>
      </c>
      <c r="N305" s="149">
        <v>0</v>
      </c>
      <c r="O305" s="149">
        <v>3095</v>
      </c>
      <c r="P305" s="224"/>
      <c r="Q305" s="224"/>
      <c r="R305" s="224"/>
      <c r="S305" s="224"/>
      <c r="T305" s="224"/>
      <c r="U305" s="224"/>
      <c r="V305" s="224"/>
      <c r="W305" s="224"/>
      <c r="X305" s="224"/>
      <c r="Y305" s="224"/>
      <c r="Z305" s="224"/>
      <c r="AA305" s="224"/>
      <c r="AB305" s="224"/>
      <c r="AC305" s="224"/>
      <c r="AD305" s="143" t="s">
        <v>2185</v>
      </c>
      <c r="AE305" s="143" t="s">
        <v>2254</v>
      </c>
    </row>
    <row r="306" spans="1:31" ht="24.95" customHeight="1" x14ac:dyDescent="0.2">
      <c r="A306" s="144">
        <v>589</v>
      </c>
      <c r="B306" s="145" t="s">
        <v>2540</v>
      </c>
      <c r="C306" s="146" t="s">
        <v>2183</v>
      </c>
      <c r="D306" s="146" t="s">
        <v>2183</v>
      </c>
      <c r="E306" s="147" t="s">
        <v>2265</v>
      </c>
      <c r="F306" s="148">
        <v>7220</v>
      </c>
      <c r="G306" s="149">
        <v>5760</v>
      </c>
      <c r="H306" s="149">
        <v>141</v>
      </c>
      <c r="I306" s="196"/>
      <c r="J306" s="149">
        <v>7090</v>
      </c>
      <c r="K306" s="149">
        <v>5760</v>
      </c>
      <c r="L306" s="149">
        <v>143</v>
      </c>
      <c r="M306" s="149">
        <v>6208</v>
      </c>
      <c r="N306" s="149">
        <v>0</v>
      </c>
      <c r="O306" s="149">
        <v>7968</v>
      </c>
      <c r="P306" s="224"/>
      <c r="Q306" s="224"/>
      <c r="R306" s="224"/>
      <c r="S306" s="224"/>
      <c r="T306" s="224"/>
      <c r="U306" s="224"/>
      <c r="V306" s="224"/>
      <c r="W306" s="224"/>
      <c r="X306" s="224"/>
      <c r="Y306" s="224"/>
      <c r="Z306" s="224"/>
      <c r="AA306" s="224"/>
      <c r="AB306" s="224"/>
      <c r="AC306" s="224"/>
      <c r="AD306" s="143" t="s">
        <v>2185</v>
      </c>
      <c r="AE306" s="143" t="s">
        <v>2254</v>
      </c>
    </row>
    <row r="307" spans="1:31" ht="24.95" customHeight="1" x14ac:dyDescent="0.2">
      <c r="A307" s="144">
        <v>590</v>
      </c>
      <c r="B307" s="150" t="s">
        <v>2541</v>
      </c>
      <c r="C307" s="146" t="s">
        <v>2183</v>
      </c>
      <c r="D307" s="146" t="s">
        <v>2183</v>
      </c>
      <c r="E307" s="147" t="s">
        <v>2184</v>
      </c>
      <c r="F307" s="148">
        <v>6005</v>
      </c>
      <c r="G307" s="149">
        <v>6375</v>
      </c>
      <c r="H307" s="149">
        <v>106</v>
      </c>
      <c r="I307" s="196"/>
      <c r="J307" s="149">
        <v>6324</v>
      </c>
      <c r="K307" s="149">
        <v>6375</v>
      </c>
      <c r="L307" s="149">
        <v>68</v>
      </c>
      <c r="M307" s="149">
        <v>5498</v>
      </c>
      <c r="N307" s="149">
        <v>26</v>
      </c>
      <c r="O307" s="149">
        <v>6283</v>
      </c>
      <c r="P307" s="224"/>
      <c r="Q307" s="224"/>
      <c r="R307" s="224"/>
      <c r="S307" s="224"/>
      <c r="T307" s="224"/>
      <c r="U307" s="224"/>
      <c r="V307" s="224"/>
      <c r="W307" s="224"/>
      <c r="X307" s="224"/>
      <c r="Y307" s="224"/>
      <c r="Z307" s="224"/>
      <c r="AA307" s="224"/>
      <c r="AB307" s="224"/>
      <c r="AC307" s="224"/>
      <c r="AD307" s="143" t="s">
        <v>2185</v>
      </c>
      <c r="AE307" s="143" t="s">
        <v>2186</v>
      </c>
    </row>
    <row r="308" spans="1:31" ht="24.95" customHeight="1" x14ac:dyDescent="0.2">
      <c r="A308" s="144">
        <v>591</v>
      </c>
      <c r="B308" s="150" t="s">
        <v>2542</v>
      </c>
      <c r="C308" s="146" t="s">
        <v>2194</v>
      </c>
      <c r="D308" s="146" t="s">
        <v>2194</v>
      </c>
      <c r="E308" s="147" t="s">
        <v>2184</v>
      </c>
      <c r="F308" s="148">
        <v>4919</v>
      </c>
      <c r="G308" s="149">
        <v>5025</v>
      </c>
      <c r="H308" s="149">
        <v>67</v>
      </c>
      <c r="I308" s="196"/>
      <c r="J308" s="149">
        <v>5474</v>
      </c>
      <c r="K308" s="149">
        <v>5645</v>
      </c>
      <c r="L308" s="149">
        <v>60</v>
      </c>
      <c r="M308" s="149">
        <v>3654</v>
      </c>
      <c r="N308" s="149">
        <v>11</v>
      </c>
      <c r="O308" s="149">
        <v>4526</v>
      </c>
      <c r="P308" s="224"/>
      <c r="Q308" s="224"/>
      <c r="R308" s="224"/>
      <c r="S308" s="224"/>
      <c r="T308" s="224"/>
      <c r="U308" s="224"/>
      <c r="V308" s="224"/>
      <c r="W308" s="224"/>
      <c r="X308" s="224"/>
      <c r="Y308" s="224"/>
      <c r="Z308" s="224"/>
      <c r="AA308" s="224"/>
      <c r="AB308" s="224"/>
      <c r="AC308" s="224"/>
      <c r="AD308" s="143" t="s">
        <v>2185</v>
      </c>
      <c r="AE308" s="143" t="s">
        <v>2186</v>
      </c>
    </row>
    <row r="309" spans="1:31" ht="24.95" customHeight="1" x14ac:dyDescent="0.2">
      <c r="A309" s="144">
        <v>592</v>
      </c>
      <c r="B309" s="150" t="s">
        <v>2543</v>
      </c>
      <c r="C309" s="146" t="s">
        <v>2194</v>
      </c>
      <c r="D309" s="146" t="s">
        <v>2194</v>
      </c>
      <c r="E309" s="147" t="s">
        <v>2184</v>
      </c>
      <c r="F309" s="148">
        <v>5370</v>
      </c>
      <c r="G309" s="149">
        <v>4000</v>
      </c>
      <c r="H309" s="149">
        <v>106</v>
      </c>
      <c r="I309" s="196"/>
      <c r="J309" s="149">
        <v>7110</v>
      </c>
      <c r="K309" s="149">
        <v>5340</v>
      </c>
      <c r="L309" s="149">
        <v>119</v>
      </c>
      <c r="M309" s="149">
        <v>7895</v>
      </c>
      <c r="N309" s="149">
        <v>14</v>
      </c>
      <c r="O309" s="149">
        <v>7793</v>
      </c>
      <c r="P309" s="224"/>
      <c r="Q309" s="224"/>
      <c r="R309" s="224"/>
      <c r="S309" s="224"/>
      <c r="T309" s="224"/>
      <c r="U309" s="224"/>
      <c r="V309" s="224"/>
      <c r="W309" s="224"/>
      <c r="X309" s="224"/>
      <c r="Y309" s="224"/>
      <c r="Z309" s="224"/>
      <c r="AA309" s="224"/>
      <c r="AB309" s="224"/>
      <c r="AC309" s="224"/>
      <c r="AD309" s="143" t="s">
        <v>2185</v>
      </c>
      <c r="AE309" s="143" t="s">
        <v>2254</v>
      </c>
    </row>
    <row r="310" spans="1:31" ht="24.95" customHeight="1" x14ac:dyDescent="0.2">
      <c r="A310" s="144">
        <v>593</v>
      </c>
      <c r="B310" s="145" t="s">
        <v>2544</v>
      </c>
      <c r="C310" s="146" t="s">
        <v>2194</v>
      </c>
      <c r="D310" s="146" t="s">
        <v>2194</v>
      </c>
      <c r="E310" s="147" t="s">
        <v>2265</v>
      </c>
      <c r="F310" s="148">
        <v>2520</v>
      </c>
      <c r="G310" s="149">
        <v>6295</v>
      </c>
      <c r="H310" s="149">
        <v>29</v>
      </c>
      <c r="I310" s="196"/>
      <c r="J310" s="149">
        <v>2381</v>
      </c>
      <c r="K310" s="149">
        <v>6295</v>
      </c>
      <c r="L310" s="149">
        <v>31</v>
      </c>
      <c r="M310" s="149">
        <v>1712</v>
      </c>
      <c r="N310" s="149">
        <v>15</v>
      </c>
      <c r="O310" s="149">
        <v>2185</v>
      </c>
      <c r="P310" s="224"/>
      <c r="Q310" s="224"/>
      <c r="R310" s="224"/>
      <c r="S310" s="224"/>
      <c r="T310" s="224"/>
      <c r="U310" s="224"/>
      <c r="V310" s="224"/>
      <c r="W310" s="224"/>
      <c r="X310" s="224"/>
      <c r="Y310" s="224"/>
      <c r="Z310" s="224"/>
      <c r="AA310" s="224"/>
      <c r="AB310" s="224"/>
      <c r="AC310" s="224"/>
      <c r="AD310" s="143" t="s">
        <v>2185</v>
      </c>
      <c r="AE310" s="143" t="s">
        <v>2254</v>
      </c>
    </row>
    <row r="311" spans="1:31" ht="24.95" customHeight="1" x14ac:dyDescent="0.2">
      <c r="A311" s="144">
        <v>594</v>
      </c>
      <c r="B311" s="145" t="s">
        <v>2545</v>
      </c>
      <c r="C311" s="146" t="s">
        <v>2183</v>
      </c>
      <c r="D311" s="146" t="s">
        <v>2546</v>
      </c>
      <c r="E311" s="147" t="s">
        <v>2184</v>
      </c>
      <c r="F311" s="148">
        <v>5665</v>
      </c>
      <c r="G311" s="149">
        <v>5620</v>
      </c>
      <c r="H311" s="149">
        <v>68</v>
      </c>
      <c r="I311" s="196"/>
      <c r="J311" s="149">
        <v>5644</v>
      </c>
      <c r="K311" s="149">
        <v>5620</v>
      </c>
      <c r="L311" s="149">
        <v>116</v>
      </c>
      <c r="M311" s="149">
        <v>5685</v>
      </c>
      <c r="N311" s="149">
        <v>13</v>
      </c>
      <c r="O311" s="149">
        <v>5800</v>
      </c>
      <c r="P311" s="224"/>
      <c r="Q311" s="224"/>
      <c r="R311" s="224"/>
      <c r="S311" s="224"/>
      <c r="T311" s="224"/>
      <c r="U311" s="224"/>
      <c r="V311" s="224"/>
      <c r="W311" s="224"/>
      <c r="X311" s="224"/>
      <c r="Y311" s="224"/>
      <c r="Z311" s="224"/>
      <c r="AA311" s="224"/>
      <c r="AB311" s="224"/>
      <c r="AC311" s="224"/>
      <c r="AD311" s="143" t="s">
        <v>2185</v>
      </c>
      <c r="AE311" s="143" t="s">
        <v>2254</v>
      </c>
    </row>
    <row r="312" spans="1:31" ht="24.95" customHeight="1" x14ac:dyDescent="0.2">
      <c r="A312" s="144">
        <v>598</v>
      </c>
      <c r="B312" s="150" t="s">
        <v>2547</v>
      </c>
      <c r="C312" s="146" t="s">
        <v>2215</v>
      </c>
      <c r="D312" s="146" t="s">
        <v>2215</v>
      </c>
      <c r="E312" s="147" t="s">
        <v>2184</v>
      </c>
      <c r="F312" s="148">
        <f>1259+9541</f>
        <v>10800</v>
      </c>
      <c r="G312" s="149">
        <v>11768</v>
      </c>
      <c r="H312" s="149">
        <v>198</v>
      </c>
      <c r="I312" s="196"/>
      <c r="J312" s="149">
        <v>10778</v>
      </c>
      <c r="K312" s="149">
        <v>11331</v>
      </c>
      <c r="L312" s="149">
        <v>178</v>
      </c>
      <c r="M312" s="149">
        <v>9114</v>
      </c>
      <c r="N312" s="149">
        <v>35</v>
      </c>
      <c r="O312" s="149">
        <v>10475</v>
      </c>
      <c r="P312" s="224"/>
      <c r="Q312" s="224"/>
      <c r="R312" s="224"/>
      <c r="S312" s="224"/>
      <c r="T312" s="224"/>
      <c r="U312" s="224"/>
      <c r="V312" s="224"/>
      <c r="W312" s="224"/>
      <c r="X312" s="224"/>
      <c r="Y312" s="224"/>
      <c r="Z312" s="224"/>
      <c r="AA312" s="224"/>
      <c r="AB312" s="224"/>
      <c r="AC312" s="224"/>
      <c r="AD312" s="143" t="s">
        <v>2185</v>
      </c>
      <c r="AE312" s="143" t="s">
        <v>2186</v>
      </c>
    </row>
    <row r="313" spans="1:31" ht="24.95" customHeight="1" x14ac:dyDescent="0.2">
      <c r="A313" s="144">
        <v>599</v>
      </c>
      <c r="B313" s="145" t="s">
        <v>2548</v>
      </c>
      <c r="C313" s="146" t="s">
        <v>2215</v>
      </c>
      <c r="D313" s="146" t="s">
        <v>2215</v>
      </c>
      <c r="E313" s="147" t="s">
        <v>2265</v>
      </c>
      <c r="F313" s="148">
        <v>5414</v>
      </c>
      <c r="G313" s="149">
        <v>6501</v>
      </c>
      <c r="H313" s="149">
        <v>95</v>
      </c>
      <c r="I313" s="196"/>
      <c r="J313" s="149">
        <v>4979</v>
      </c>
      <c r="K313" s="149">
        <v>6480</v>
      </c>
      <c r="L313" s="149">
        <v>82</v>
      </c>
      <c r="M313" s="149">
        <v>4247</v>
      </c>
      <c r="N313" s="149">
        <v>15</v>
      </c>
      <c r="O313" s="149">
        <v>3913</v>
      </c>
      <c r="P313" s="224"/>
      <c r="Q313" s="224"/>
      <c r="R313" s="224"/>
      <c r="S313" s="224"/>
      <c r="T313" s="224"/>
      <c r="U313" s="224"/>
      <c r="V313" s="224"/>
      <c r="W313" s="224"/>
      <c r="X313" s="224"/>
      <c r="Y313" s="224"/>
      <c r="Z313" s="224"/>
      <c r="AA313" s="224"/>
      <c r="AB313" s="224"/>
      <c r="AC313" s="224"/>
      <c r="AD313" s="143" t="s">
        <v>2185</v>
      </c>
      <c r="AE313" s="143" t="s">
        <v>2254</v>
      </c>
    </row>
    <row r="314" spans="1:31" ht="24.95" customHeight="1" x14ac:dyDescent="0.2">
      <c r="A314" s="144">
        <v>600</v>
      </c>
      <c r="B314" s="150" t="s">
        <v>2549</v>
      </c>
      <c r="C314" s="146" t="s">
        <v>2215</v>
      </c>
      <c r="D314" s="146" t="s">
        <v>2215</v>
      </c>
      <c r="E314" s="147" t="s">
        <v>2184</v>
      </c>
      <c r="F314" s="148">
        <v>7451</v>
      </c>
      <c r="G314" s="149">
        <v>7585</v>
      </c>
      <c r="H314" s="149">
        <v>89</v>
      </c>
      <c r="I314" s="196"/>
      <c r="J314" s="149">
        <v>6591</v>
      </c>
      <c r="K314" s="149">
        <v>7932</v>
      </c>
      <c r="L314" s="149">
        <v>71</v>
      </c>
      <c r="M314" s="149">
        <v>3398</v>
      </c>
      <c r="N314" s="149">
        <v>12</v>
      </c>
      <c r="O314" s="149">
        <v>4070</v>
      </c>
      <c r="P314" s="224"/>
      <c r="Q314" s="224"/>
      <c r="R314" s="224"/>
      <c r="S314" s="224"/>
      <c r="T314" s="224"/>
      <c r="U314" s="224"/>
      <c r="V314" s="224"/>
      <c r="W314" s="224"/>
      <c r="X314" s="224"/>
      <c r="Y314" s="224"/>
      <c r="Z314" s="224"/>
      <c r="AA314" s="224"/>
      <c r="AB314" s="224"/>
      <c r="AC314" s="224"/>
      <c r="AD314" s="143" t="s">
        <v>2185</v>
      </c>
      <c r="AE314" s="143" t="s">
        <v>2186</v>
      </c>
    </row>
    <row r="315" spans="1:31" ht="24.95" customHeight="1" x14ac:dyDescent="0.2">
      <c r="A315" s="144">
        <v>601</v>
      </c>
      <c r="B315" s="150" t="s">
        <v>2550</v>
      </c>
      <c r="C315" s="146" t="s">
        <v>2183</v>
      </c>
      <c r="D315" s="146" t="s">
        <v>2183</v>
      </c>
      <c r="E315" s="147" t="s">
        <v>2184</v>
      </c>
      <c r="F315" s="148">
        <v>1910</v>
      </c>
      <c r="G315" s="149">
        <v>2545</v>
      </c>
      <c r="H315" s="149">
        <v>18</v>
      </c>
      <c r="I315" s="196"/>
      <c r="J315" s="149">
        <v>2316</v>
      </c>
      <c r="K315" s="149">
        <v>2481</v>
      </c>
      <c r="L315" s="149">
        <v>2269</v>
      </c>
      <c r="M315" s="149">
        <v>22</v>
      </c>
      <c r="N315" s="149">
        <v>3</v>
      </c>
      <c r="O315" s="149">
        <v>1151</v>
      </c>
      <c r="P315" s="224"/>
      <c r="Q315" s="224"/>
      <c r="R315" s="224"/>
      <c r="S315" s="224"/>
      <c r="T315" s="224"/>
      <c r="U315" s="224"/>
      <c r="V315" s="224"/>
      <c r="W315" s="224"/>
      <c r="X315" s="224"/>
      <c r="Y315" s="224"/>
      <c r="Z315" s="224"/>
      <c r="AA315" s="224"/>
      <c r="AB315" s="224"/>
      <c r="AC315" s="224"/>
      <c r="AD315" s="143" t="s">
        <v>2185</v>
      </c>
      <c r="AE315" s="143" t="s">
        <v>2186</v>
      </c>
    </row>
    <row r="316" spans="1:31" ht="24.95" customHeight="1" x14ac:dyDescent="0.2">
      <c r="A316" s="144">
        <v>602</v>
      </c>
      <c r="B316" s="150" t="s">
        <v>2551</v>
      </c>
      <c r="C316" s="146" t="s">
        <v>2230</v>
      </c>
      <c r="D316" s="146" t="s">
        <v>2230</v>
      </c>
      <c r="E316" s="147" t="s">
        <v>2231</v>
      </c>
      <c r="F316" s="148">
        <v>6840</v>
      </c>
      <c r="G316" s="149">
        <v>7225</v>
      </c>
      <c r="H316" s="149">
        <v>72</v>
      </c>
      <c r="I316" s="196"/>
      <c r="J316" s="149">
        <v>6950</v>
      </c>
      <c r="K316" s="149">
        <v>6065</v>
      </c>
      <c r="L316" s="149">
        <v>63</v>
      </c>
      <c r="M316" s="149">
        <v>2041</v>
      </c>
      <c r="N316" s="149">
        <v>7</v>
      </c>
      <c r="O316" s="149">
        <v>3713</v>
      </c>
      <c r="P316" s="224"/>
      <c r="Q316" s="224"/>
      <c r="R316" s="224"/>
      <c r="S316" s="224"/>
      <c r="T316" s="224"/>
      <c r="U316" s="224"/>
      <c r="V316" s="224"/>
      <c r="W316" s="224"/>
      <c r="X316" s="224"/>
      <c r="Y316" s="224"/>
      <c r="Z316" s="224"/>
      <c r="AA316" s="224"/>
      <c r="AB316" s="224"/>
      <c r="AC316" s="224"/>
      <c r="AD316" s="143" t="s">
        <v>2185</v>
      </c>
      <c r="AE316" s="143" t="s">
        <v>2186</v>
      </c>
    </row>
    <row r="317" spans="1:31" ht="24.95" customHeight="1" x14ac:dyDescent="0.2">
      <c r="A317" s="144">
        <v>603</v>
      </c>
      <c r="B317" s="150" t="s">
        <v>2552</v>
      </c>
      <c r="C317" s="146" t="s">
        <v>2230</v>
      </c>
      <c r="D317" s="146" t="s">
        <v>2230</v>
      </c>
      <c r="E317" s="147" t="s">
        <v>2231</v>
      </c>
      <c r="F317" s="148">
        <v>7579</v>
      </c>
      <c r="G317" s="149">
        <v>5840</v>
      </c>
      <c r="H317" s="149">
        <v>71</v>
      </c>
      <c r="I317" s="196"/>
      <c r="J317" s="149">
        <v>7325</v>
      </c>
      <c r="K317" s="149">
        <v>6542</v>
      </c>
      <c r="L317" s="149">
        <v>84</v>
      </c>
      <c r="M317" s="149">
        <v>3207</v>
      </c>
      <c r="N317" s="149">
        <v>3</v>
      </c>
      <c r="O317" s="149">
        <v>4983</v>
      </c>
      <c r="P317" s="224"/>
      <c r="Q317" s="224"/>
      <c r="R317" s="224"/>
      <c r="S317" s="224"/>
      <c r="T317" s="224"/>
      <c r="U317" s="224"/>
      <c r="V317" s="224"/>
      <c r="W317" s="224"/>
      <c r="X317" s="224"/>
      <c r="Y317" s="224"/>
      <c r="Z317" s="224"/>
      <c r="AA317" s="224"/>
      <c r="AB317" s="224"/>
      <c r="AC317" s="224"/>
      <c r="AD317" s="143" t="s">
        <v>2185</v>
      </c>
      <c r="AE317" s="143" t="s">
        <v>2186</v>
      </c>
    </row>
    <row r="318" spans="1:31" ht="24.95" customHeight="1" x14ac:dyDescent="0.2">
      <c r="A318" s="144">
        <v>604</v>
      </c>
      <c r="B318" s="150" t="s">
        <v>2553</v>
      </c>
      <c r="C318" s="146" t="s">
        <v>2229</v>
      </c>
      <c r="D318" s="146" t="s">
        <v>2230</v>
      </c>
      <c r="E318" s="147" t="s">
        <v>2223</v>
      </c>
      <c r="F318" s="148">
        <v>6625</v>
      </c>
      <c r="G318" s="149">
        <v>4740</v>
      </c>
      <c r="H318" s="149">
        <v>62</v>
      </c>
      <c r="I318" s="196"/>
      <c r="J318" s="149">
        <v>7215</v>
      </c>
      <c r="K318" s="149">
        <v>4740</v>
      </c>
      <c r="L318" s="149">
        <v>42</v>
      </c>
      <c r="M318" s="149">
        <v>1754</v>
      </c>
      <c r="N318" s="149">
        <v>5</v>
      </c>
      <c r="O318" s="149">
        <v>2761</v>
      </c>
      <c r="P318" s="224"/>
      <c r="Q318" s="224"/>
      <c r="R318" s="224"/>
      <c r="S318" s="224"/>
      <c r="T318" s="224"/>
      <c r="U318" s="224"/>
      <c r="V318" s="224"/>
      <c r="W318" s="224"/>
      <c r="X318" s="224"/>
      <c r="Y318" s="224"/>
      <c r="Z318" s="224"/>
      <c r="AA318" s="224"/>
      <c r="AB318" s="224"/>
      <c r="AC318" s="224"/>
      <c r="AD318" s="143" t="s">
        <v>2185</v>
      </c>
      <c r="AE318" s="143" t="s">
        <v>2254</v>
      </c>
    </row>
    <row r="319" spans="1:31" ht="24.95" customHeight="1" x14ac:dyDescent="0.2">
      <c r="A319" s="144">
        <v>605</v>
      </c>
      <c r="B319" s="145" t="s">
        <v>2554</v>
      </c>
      <c r="C319" s="146" t="s">
        <v>2229</v>
      </c>
      <c r="D319" s="146" t="s">
        <v>2230</v>
      </c>
      <c r="E319" s="147" t="s">
        <v>2223</v>
      </c>
      <c r="F319" s="148">
        <v>6386</v>
      </c>
      <c r="G319" s="149">
        <v>14801</v>
      </c>
      <c r="H319" s="149">
        <v>61</v>
      </c>
      <c r="I319" s="196"/>
      <c r="J319" s="149">
        <v>6326</v>
      </c>
      <c r="K319" s="149">
        <v>14242</v>
      </c>
      <c r="L319" s="149">
        <v>56</v>
      </c>
      <c r="M319" s="149">
        <v>1981</v>
      </c>
      <c r="N319" s="149">
        <v>0</v>
      </c>
      <c r="O319" s="149">
        <v>2102</v>
      </c>
      <c r="P319" s="224"/>
      <c r="Q319" s="224"/>
      <c r="R319" s="224"/>
      <c r="S319" s="224"/>
      <c r="T319" s="224"/>
      <c r="U319" s="224"/>
      <c r="V319" s="224"/>
      <c r="W319" s="224"/>
      <c r="X319" s="224"/>
      <c r="Y319" s="224"/>
      <c r="Z319" s="224"/>
      <c r="AA319" s="224"/>
      <c r="AB319" s="224"/>
      <c r="AC319" s="224"/>
      <c r="AD319" s="143" t="s">
        <v>2185</v>
      </c>
      <c r="AE319" s="143" t="s">
        <v>2254</v>
      </c>
    </row>
    <row r="320" spans="1:31" ht="24.95" customHeight="1" x14ac:dyDescent="0.2">
      <c r="A320" s="144">
        <v>606</v>
      </c>
      <c r="B320" s="150" t="s">
        <v>2555</v>
      </c>
      <c r="C320" s="146" t="s">
        <v>2229</v>
      </c>
      <c r="D320" s="146" t="s">
        <v>2230</v>
      </c>
      <c r="E320" s="147" t="s">
        <v>2223</v>
      </c>
      <c r="F320" s="148">
        <f>1725+7120</f>
        <v>8845</v>
      </c>
      <c r="G320" s="149">
        <v>2675</v>
      </c>
      <c r="H320" s="149">
        <v>112</v>
      </c>
      <c r="I320" s="196"/>
      <c r="J320" s="149">
        <v>9782</v>
      </c>
      <c r="K320" s="149">
        <v>2805</v>
      </c>
      <c r="L320" s="149">
        <v>115</v>
      </c>
      <c r="M320" s="149">
        <v>5501</v>
      </c>
      <c r="N320" s="149">
        <v>2</v>
      </c>
      <c r="O320" s="149">
        <v>6490</v>
      </c>
      <c r="P320" s="224"/>
      <c r="Q320" s="224"/>
      <c r="R320" s="224"/>
      <c r="S320" s="224"/>
      <c r="T320" s="224"/>
      <c r="U320" s="224"/>
      <c r="V320" s="224"/>
      <c r="W320" s="224"/>
      <c r="X320" s="224"/>
      <c r="Y320" s="224"/>
      <c r="Z320" s="224"/>
      <c r="AA320" s="224"/>
      <c r="AB320" s="224"/>
      <c r="AC320" s="224"/>
      <c r="AD320" s="143" t="s">
        <v>2185</v>
      </c>
      <c r="AE320" s="143" t="s">
        <v>2186</v>
      </c>
    </row>
    <row r="321" spans="1:31" ht="24.95" customHeight="1" x14ac:dyDescent="0.2">
      <c r="A321" s="144">
        <v>607</v>
      </c>
      <c r="B321" s="150" t="s">
        <v>2556</v>
      </c>
      <c r="C321" s="146" t="s">
        <v>2229</v>
      </c>
      <c r="D321" s="146" t="s">
        <v>2229</v>
      </c>
      <c r="E321" s="147" t="s">
        <v>2223</v>
      </c>
      <c r="F321" s="148">
        <f>1985+1295</f>
        <v>3280</v>
      </c>
      <c r="G321" s="149">
        <v>2000</v>
      </c>
      <c r="H321" s="149">
        <v>41</v>
      </c>
      <c r="I321" s="196"/>
      <c r="J321" s="149">
        <v>3779</v>
      </c>
      <c r="K321" s="149">
        <v>3030</v>
      </c>
      <c r="L321" s="149">
        <v>45</v>
      </c>
      <c r="M321" s="149">
        <v>1554</v>
      </c>
      <c r="N321" s="149">
        <v>4</v>
      </c>
      <c r="O321" s="149">
        <v>1608</v>
      </c>
      <c r="P321" s="224"/>
      <c r="Q321" s="224"/>
      <c r="R321" s="224"/>
      <c r="S321" s="224"/>
      <c r="T321" s="224"/>
      <c r="U321" s="224"/>
      <c r="V321" s="224"/>
      <c r="W321" s="224"/>
      <c r="X321" s="224"/>
      <c r="Y321" s="224"/>
      <c r="Z321" s="224"/>
      <c r="AA321" s="224"/>
      <c r="AB321" s="224"/>
      <c r="AC321" s="224"/>
      <c r="AD321" s="143" t="s">
        <v>2185</v>
      </c>
      <c r="AE321" s="143" t="s">
        <v>2254</v>
      </c>
    </row>
    <row r="322" spans="1:31" ht="24.95" customHeight="1" x14ac:dyDescent="0.2">
      <c r="A322" s="144">
        <v>608</v>
      </c>
      <c r="B322" s="145" t="s">
        <v>2557</v>
      </c>
      <c r="C322" s="146" t="s">
        <v>2229</v>
      </c>
      <c r="D322" s="146" t="s">
        <v>2229</v>
      </c>
      <c r="E322" s="147" t="s">
        <v>2223</v>
      </c>
      <c r="F322" s="148">
        <f>5104+3790</f>
        <v>8894</v>
      </c>
      <c r="G322" s="149">
        <f>12671-6240-1</f>
        <v>6430</v>
      </c>
      <c r="H322" s="149">
        <v>96</v>
      </c>
      <c r="I322" s="196"/>
      <c r="J322" s="149">
        <v>9015</v>
      </c>
      <c r="K322" s="149">
        <v>6430</v>
      </c>
      <c r="L322" s="149">
        <v>82</v>
      </c>
      <c r="M322" s="149">
        <v>2978</v>
      </c>
      <c r="N322" s="149">
        <v>5300</v>
      </c>
      <c r="O322" s="149">
        <v>8</v>
      </c>
      <c r="P322" s="224"/>
      <c r="Q322" s="224"/>
      <c r="R322" s="224"/>
      <c r="S322" s="224"/>
      <c r="T322" s="224"/>
      <c r="U322" s="224"/>
      <c r="V322" s="224"/>
      <c r="W322" s="224"/>
      <c r="X322" s="224"/>
      <c r="Y322" s="224"/>
      <c r="Z322" s="224"/>
      <c r="AA322" s="224"/>
      <c r="AB322" s="224"/>
      <c r="AC322" s="224"/>
      <c r="AD322" s="143" t="s">
        <v>2185</v>
      </c>
      <c r="AE322" s="143" t="s">
        <v>2254</v>
      </c>
    </row>
    <row r="323" spans="1:31" ht="24.95" customHeight="1" x14ac:dyDescent="0.2">
      <c r="A323" s="144">
        <v>609</v>
      </c>
      <c r="B323" s="145" t="s">
        <v>2558</v>
      </c>
      <c r="C323" s="146" t="s">
        <v>2229</v>
      </c>
      <c r="D323" s="146" t="s">
        <v>2229</v>
      </c>
      <c r="E323" s="147" t="s">
        <v>2223</v>
      </c>
      <c r="F323" s="148">
        <f>3712+3278</f>
        <v>6990</v>
      </c>
      <c r="G323" s="149">
        <f>9514-6175-3</f>
        <v>3336</v>
      </c>
      <c r="H323" s="149">
        <v>95</v>
      </c>
      <c r="I323" s="196"/>
      <c r="J323" s="149">
        <v>7184</v>
      </c>
      <c r="K323" s="149">
        <v>3322</v>
      </c>
      <c r="L323" s="149">
        <v>89</v>
      </c>
      <c r="M323" s="149">
        <v>3167</v>
      </c>
      <c r="N323" s="149">
        <v>5</v>
      </c>
      <c r="O323" s="149">
        <v>6321</v>
      </c>
      <c r="P323" s="225"/>
      <c r="Q323" s="224"/>
      <c r="R323" s="224"/>
      <c r="S323" s="224"/>
      <c r="T323" s="224"/>
      <c r="U323" s="224"/>
      <c r="V323" s="224"/>
      <c r="W323" s="224"/>
      <c r="X323" s="224"/>
      <c r="Y323" s="224"/>
      <c r="Z323" s="224"/>
      <c r="AA323" s="224"/>
      <c r="AB323" s="224"/>
      <c r="AC323" s="224"/>
      <c r="AD323" s="143" t="s">
        <v>2185</v>
      </c>
      <c r="AE323" s="143" t="s">
        <v>2254</v>
      </c>
    </row>
    <row r="324" spans="1:31" ht="24.95" customHeight="1" x14ac:dyDescent="0.2">
      <c r="A324" s="144">
        <v>610</v>
      </c>
      <c r="B324" s="145" t="s">
        <v>2559</v>
      </c>
      <c r="C324" s="146" t="s">
        <v>2183</v>
      </c>
      <c r="D324" s="146" t="s">
        <v>2183</v>
      </c>
      <c r="E324" s="147" t="s">
        <v>2310</v>
      </c>
      <c r="F324" s="148">
        <f>21618-12870-8</f>
        <v>8740</v>
      </c>
      <c r="G324" s="149">
        <v>13085</v>
      </c>
      <c r="H324" s="149">
        <v>198</v>
      </c>
      <c r="I324" s="196"/>
      <c r="J324" s="149">
        <v>8492</v>
      </c>
      <c r="K324" s="149">
        <v>13085</v>
      </c>
      <c r="L324" s="149">
        <v>166</v>
      </c>
      <c r="M324" s="149">
        <v>9008</v>
      </c>
      <c r="N324" s="149">
        <f>214-166</f>
        <v>48</v>
      </c>
      <c r="O324" s="149">
        <v>10140</v>
      </c>
      <c r="P324" s="224"/>
      <c r="Q324" s="224"/>
      <c r="R324" s="224"/>
      <c r="S324" s="224"/>
      <c r="T324" s="224"/>
      <c r="U324" s="224"/>
      <c r="V324" s="224"/>
      <c r="W324" s="224"/>
      <c r="X324" s="224"/>
      <c r="Y324" s="224"/>
      <c r="Z324" s="224"/>
      <c r="AA324" s="224"/>
      <c r="AB324" s="224"/>
      <c r="AC324" s="224"/>
      <c r="AD324" s="143" t="s">
        <v>2185</v>
      </c>
      <c r="AE324" s="143" t="s">
        <v>2254</v>
      </c>
    </row>
    <row r="325" spans="1:31" ht="24.95" customHeight="1" x14ac:dyDescent="0.2">
      <c r="A325" s="144">
        <v>611</v>
      </c>
      <c r="B325" s="150" t="s">
        <v>2560</v>
      </c>
      <c r="C325" s="146" t="s">
        <v>2215</v>
      </c>
      <c r="D325" s="146" t="s">
        <v>2215</v>
      </c>
      <c r="E325" s="147" t="s">
        <v>2184</v>
      </c>
      <c r="F325" s="148">
        <v>2920</v>
      </c>
      <c r="G325" s="149">
        <v>5105</v>
      </c>
      <c r="H325" s="149">
        <v>43</v>
      </c>
      <c r="I325" s="196"/>
      <c r="J325" s="149">
        <v>2076</v>
      </c>
      <c r="K325" s="149">
        <v>5020</v>
      </c>
      <c r="L325" s="149">
        <v>31</v>
      </c>
      <c r="M325" s="149">
        <v>1474</v>
      </c>
      <c r="N325" s="149">
        <v>11</v>
      </c>
      <c r="O325" s="149">
        <v>1591</v>
      </c>
      <c r="P325" s="224"/>
      <c r="Q325" s="224"/>
      <c r="R325" s="224"/>
      <c r="S325" s="224"/>
      <c r="T325" s="224"/>
      <c r="U325" s="224"/>
      <c r="V325" s="224"/>
      <c r="W325" s="224"/>
      <c r="X325" s="224"/>
      <c r="Y325" s="224"/>
      <c r="Z325" s="224"/>
      <c r="AA325" s="224"/>
      <c r="AB325" s="224"/>
      <c r="AC325" s="224"/>
      <c r="AD325" s="143" t="s">
        <v>2185</v>
      </c>
      <c r="AE325" s="143" t="s">
        <v>2254</v>
      </c>
    </row>
    <row r="326" spans="1:31" ht="24.95" customHeight="1" x14ac:dyDescent="0.2">
      <c r="A326" s="144">
        <v>614</v>
      </c>
      <c r="B326" s="150" t="s">
        <v>2561</v>
      </c>
      <c r="C326" s="146" t="s">
        <v>2183</v>
      </c>
      <c r="D326" s="146" t="s">
        <v>2562</v>
      </c>
      <c r="E326" s="147" t="s">
        <v>2184</v>
      </c>
      <c r="F326" s="148">
        <v>4843</v>
      </c>
      <c r="G326" s="149">
        <v>5229</v>
      </c>
      <c r="H326" s="149">
        <v>77</v>
      </c>
      <c r="I326" s="196"/>
      <c r="J326" s="149">
        <v>4522</v>
      </c>
      <c r="K326" s="149">
        <v>5229</v>
      </c>
      <c r="L326" s="149">
        <v>61</v>
      </c>
      <c r="M326" s="149">
        <v>4739</v>
      </c>
      <c r="N326" s="149">
        <v>2</v>
      </c>
      <c r="O326" s="149">
        <v>4268</v>
      </c>
      <c r="P326" s="224"/>
      <c r="Q326" s="224"/>
      <c r="R326" s="224"/>
      <c r="S326" s="224"/>
      <c r="T326" s="224"/>
      <c r="U326" s="224"/>
      <c r="V326" s="224"/>
      <c r="W326" s="224"/>
      <c r="X326" s="224"/>
      <c r="Y326" s="224"/>
      <c r="Z326" s="224"/>
      <c r="AA326" s="224"/>
      <c r="AB326" s="224"/>
      <c r="AC326" s="224"/>
      <c r="AD326" s="143" t="s">
        <v>2185</v>
      </c>
      <c r="AE326" s="143" t="s">
        <v>2254</v>
      </c>
    </row>
    <row r="327" spans="1:31" ht="24.95" customHeight="1" x14ac:dyDescent="0.2">
      <c r="A327" s="144">
        <v>616</v>
      </c>
      <c r="B327" s="145" t="s">
        <v>2563</v>
      </c>
      <c r="C327" s="146" t="s">
        <v>2280</v>
      </c>
      <c r="D327" s="146" t="s">
        <v>2280</v>
      </c>
      <c r="E327" s="147" t="s">
        <v>2564</v>
      </c>
      <c r="F327" s="148">
        <v>3695</v>
      </c>
      <c r="G327" s="149">
        <f>20+35+5306+521</f>
        <v>5882</v>
      </c>
      <c r="H327" s="149">
        <v>0</v>
      </c>
      <c r="I327" s="196"/>
      <c r="J327" s="149">
        <v>0</v>
      </c>
      <c r="K327" s="149">
        <v>0</v>
      </c>
      <c r="L327" s="149">
        <v>0</v>
      </c>
      <c r="M327" s="149">
        <v>0</v>
      </c>
      <c r="N327" s="149">
        <v>0</v>
      </c>
      <c r="O327" s="149">
        <v>0</v>
      </c>
      <c r="P327" s="224"/>
      <c r="Q327" s="224"/>
      <c r="R327" s="224"/>
      <c r="S327" s="224"/>
      <c r="T327" s="224"/>
      <c r="U327" s="224"/>
      <c r="V327" s="224"/>
      <c r="W327" s="224"/>
      <c r="X327" s="224"/>
      <c r="Y327" s="224"/>
      <c r="Z327" s="224"/>
      <c r="AA327" s="224"/>
      <c r="AB327" s="224"/>
      <c r="AC327" s="224"/>
      <c r="AD327" s="143" t="s">
        <v>2185</v>
      </c>
      <c r="AE327" s="143" t="s">
        <v>2254</v>
      </c>
    </row>
    <row r="328" spans="1:31" ht="24.95" customHeight="1" x14ac:dyDescent="0.2">
      <c r="A328" s="144">
        <v>617</v>
      </c>
      <c r="B328" s="150" t="s">
        <v>2565</v>
      </c>
      <c r="C328" s="146" t="s">
        <v>2483</v>
      </c>
      <c r="D328" s="146" t="s">
        <v>2483</v>
      </c>
      <c r="E328" s="147" t="s">
        <v>2231</v>
      </c>
      <c r="F328" s="148">
        <v>7934</v>
      </c>
      <c r="G328" s="149">
        <v>8124</v>
      </c>
      <c r="H328" s="149">
        <v>159</v>
      </c>
      <c r="I328" s="196"/>
      <c r="J328" s="149">
        <v>7890</v>
      </c>
      <c r="K328" s="149">
        <v>8272</v>
      </c>
      <c r="L328" s="149">
        <v>159</v>
      </c>
      <c r="M328" s="149">
        <v>13661</v>
      </c>
      <c r="N328" s="149">
        <v>6</v>
      </c>
      <c r="O328" s="149">
        <v>13703</v>
      </c>
      <c r="P328" s="224"/>
      <c r="Q328" s="224"/>
      <c r="R328" s="224"/>
      <c r="S328" s="224"/>
      <c r="T328" s="224"/>
      <c r="U328" s="224"/>
      <c r="V328" s="224"/>
      <c r="W328" s="224"/>
      <c r="X328" s="224"/>
      <c r="Y328" s="224"/>
      <c r="Z328" s="224"/>
      <c r="AA328" s="224"/>
      <c r="AB328" s="224"/>
      <c r="AC328" s="224"/>
      <c r="AD328" s="143" t="s">
        <v>2185</v>
      </c>
      <c r="AE328" s="143" t="s">
        <v>2186</v>
      </c>
    </row>
    <row r="329" spans="1:31" ht="24.95" customHeight="1" x14ac:dyDescent="0.2">
      <c r="A329" s="144">
        <v>618</v>
      </c>
      <c r="B329" s="145" t="s">
        <v>2566</v>
      </c>
      <c r="C329" s="146" t="s">
        <v>2250</v>
      </c>
      <c r="D329" s="146" t="s">
        <v>2250</v>
      </c>
      <c r="E329" s="147" t="s">
        <v>2223</v>
      </c>
      <c r="F329" s="148">
        <v>6835</v>
      </c>
      <c r="G329" s="149">
        <v>5265</v>
      </c>
      <c r="H329" s="149">
        <v>111</v>
      </c>
      <c r="I329" s="196"/>
      <c r="J329" s="149">
        <v>0</v>
      </c>
      <c r="K329" s="149">
        <v>0</v>
      </c>
      <c r="L329" s="149">
        <v>0</v>
      </c>
      <c r="M329" s="149">
        <v>0</v>
      </c>
      <c r="N329" s="149">
        <v>0</v>
      </c>
      <c r="O329" s="149">
        <v>0</v>
      </c>
      <c r="P329" s="224"/>
      <c r="Q329" s="224"/>
      <c r="R329" s="224"/>
      <c r="S329" s="224"/>
      <c r="T329" s="224"/>
      <c r="U329" s="224"/>
      <c r="V329" s="224"/>
      <c r="W329" s="224"/>
      <c r="X329" s="224"/>
      <c r="Y329" s="224"/>
      <c r="Z329" s="224"/>
      <c r="AA329" s="224"/>
      <c r="AB329" s="224"/>
      <c r="AC329" s="224"/>
      <c r="AD329" s="143" t="s">
        <v>2185</v>
      </c>
      <c r="AE329" s="143" t="s">
        <v>2254</v>
      </c>
    </row>
    <row r="330" spans="1:31" ht="24.95" customHeight="1" x14ac:dyDescent="0.2">
      <c r="A330" s="144">
        <v>629</v>
      </c>
      <c r="B330" s="150" t="s">
        <v>2567</v>
      </c>
      <c r="C330" s="146" t="s">
        <v>2222</v>
      </c>
      <c r="D330" s="146" t="s">
        <v>2222</v>
      </c>
      <c r="E330" s="147" t="s">
        <v>2223</v>
      </c>
      <c r="F330" s="148">
        <f>4255+1615</f>
        <v>5870</v>
      </c>
      <c r="G330" s="149">
        <v>4340</v>
      </c>
      <c r="H330" s="149">
        <v>95</v>
      </c>
      <c r="I330" s="196"/>
      <c r="J330" s="149">
        <v>6088</v>
      </c>
      <c r="K330" s="149">
        <v>4355</v>
      </c>
      <c r="L330" s="149">
        <v>87</v>
      </c>
      <c r="M330" s="149">
        <v>7530</v>
      </c>
      <c r="N330" s="149">
        <v>2</v>
      </c>
      <c r="O330" s="149">
        <v>6677</v>
      </c>
      <c r="P330" s="224"/>
      <c r="Q330" s="224"/>
      <c r="R330" s="224"/>
      <c r="S330" s="224"/>
      <c r="T330" s="224"/>
      <c r="U330" s="224"/>
      <c r="V330" s="224"/>
      <c r="W330" s="224"/>
      <c r="X330" s="224"/>
      <c r="Y330" s="224"/>
      <c r="Z330" s="224"/>
      <c r="AA330" s="224"/>
      <c r="AB330" s="224"/>
      <c r="AC330" s="224"/>
      <c r="AD330" s="143" t="s">
        <v>2185</v>
      </c>
      <c r="AE330" s="143" t="s">
        <v>2186</v>
      </c>
    </row>
    <row r="331" spans="1:31" ht="24.95" customHeight="1" x14ac:dyDescent="0.2">
      <c r="A331" s="144">
        <v>630</v>
      </c>
      <c r="B331" s="150" t="s">
        <v>2568</v>
      </c>
      <c r="C331" s="146" t="s">
        <v>2250</v>
      </c>
      <c r="D331" s="146" t="s">
        <v>2250</v>
      </c>
      <c r="E331" s="147" t="s">
        <v>2223</v>
      </c>
      <c r="F331" s="148">
        <v>8650</v>
      </c>
      <c r="G331" s="149">
        <v>8978</v>
      </c>
      <c r="H331" s="149">
        <v>131</v>
      </c>
      <c r="I331" s="196"/>
      <c r="J331" s="149">
        <v>8788</v>
      </c>
      <c r="K331" s="149">
        <v>6995</v>
      </c>
      <c r="L331" s="149">
        <v>129</v>
      </c>
      <c r="M331" s="149">
        <v>7021</v>
      </c>
      <c r="N331" s="149">
        <v>0</v>
      </c>
      <c r="O331" s="149">
        <v>9027</v>
      </c>
      <c r="P331" s="224"/>
      <c r="Q331" s="224"/>
      <c r="R331" s="224"/>
      <c r="S331" s="224"/>
      <c r="T331" s="224"/>
      <c r="U331" s="224"/>
      <c r="V331" s="224"/>
      <c r="W331" s="224"/>
      <c r="X331" s="224"/>
      <c r="Y331" s="224"/>
      <c r="Z331" s="224"/>
      <c r="AA331" s="224"/>
      <c r="AB331" s="224"/>
      <c r="AC331" s="224"/>
      <c r="AD331" s="143" t="s">
        <v>2185</v>
      </c>
      <c r="AE331" s="143" t="s">
        <v>2254</v>
      </c>
    </row>
    <row r="332" spans="1:31" ht="24.95" customHeight="1" x14ac:dyDescent="0.2">
      <c r="A332" s="144">
        <v>631</v>
      </c>
      <c r="B332" s="150" t="s">
        <v>2569</v>
      </c>
      <c r="C332" s="146" t="s">
        <v>2250</v>
      </c>
      <c r="D332" s="146" t="s">
        <v>2250</v>
      </c>
      <c r="E332" s="147" t="s">
        <v>2223</v>
      </c>
      <c r="F332" s="148">
        <v>10040</v>
      </c>
      <c r="G332" s="149">
        <v>6895</v>
      </c>
      <c r="H332" s="149">
        <v>161</v>
      </c>
      <c r="I332" s="196"/>
      <c r="J332" s="149">
        <v>10108</v>
      </c>
      <c r="K332" s="149">
        <v>6895</v>
      </c>
      <c r="L332" s="149">
        <v>157</v>
      </c>
      <c r="M332" s="149">
        <v>8752</v>
      </c>
      <c r="N332" s="149">
        <v>1</v>
      </c>
      <c r="O332" s="149">
        <v>7979</v>
      </c>
      <c r="P332" s="224"/>
      <c r="Q332" s="224"/>
      <c r="R332" s="224"/>
      <c r="S332" s="224"/>
      <c r="T332" s="224"/>
      <c r="U332" s="224"/>
      <c r="V332" s="224"/>
      <c r="W332" s="224"/>
      <c r="X332" s="224"/>
      <c r="Y332" s="224"/>
      <c r="Z332" s="224"/>
      <c r="AA332" s="224"/>
      <c r="AB332" s="224"/>
      <c r="AC332" s="224"/>
      <c r="AD332" s="143" t="s">
        <v>2185</v>
      </c>
      <c r="AE332" s="143" t="s">
        <v>2254</v>
      </c>
    </row>
    <row r="333" spans="1:31" ht="24.95" customHeight="1" x14ac:dyDescent="0.2">
      <c r="A333" s="144">
        <v>632</v>
      </c>
      <c r="B333" s="150" t="s">
        <v>2570</v>
      </c>
      <c r="C333" s="146" t="s">
        <v>2298</v>
      </c>
      <c r="D333" s="146" t="s">
        <v>2298</v>
      </c>
      <c r="E333" s="147" t="s">
        <v>2184</v>
      </c>
      <c r="F333" s="148">
        <v>8505</v>
      </c>
      <c r="G333" s="149">
        <v>7605</v>
      </c>
      <c r="H333" s="149">
        <v>115</v>
      </c>
      <c r="I333" s="196"/>
      <c r="J333" s="149">
        <v>8152</v>
      </c>
      <c r="K333" s="149">
        <v>7698</v>
      </c>
      <c r="L333" s="149">
        <v>114</v>
      </c>
      <c r="M333" s="149">
        <v>9047</v>
      </c>
      <c r="N333" s="149">
        <v>0</v>
      </c>
      <c r="O333" s="149">
        <v>8804</v>
      </c>
      <c r="P333" s="224"/>
      <c r="Q333" s="224"/>
      <c r="R333" s="224"/>
      <c r="S333" s="224"/>
      <c r="T333" s="224"/>
      <c r="U333" s="224"/>
      <c r="V333" s="224"/>
      <c r="W333" s="224"/>
      <c r="X333" s="224"/>
      <c r="Y333" s="224"/>
      <c r="Z333" s="224"/>
      <c r="AA333" s="224"/>
      <c r="AB333" s="224"/>
      <c r="AC333" s="224"/>
      <c r="AD333" s="143" t="s">
        <v>2185</v>
      </c>
      <c r="AE333" s="143" t="s">
        <v>2186</v>
      </c>
    </row>
    <row r="334" spans="1:31" ht="24.95" customHeight="1" x14ac:dyDescent="0.2">
      <c r="A334" s="144">
        <v>633</v>
      </c>
      <c r="B334" s="145" t="s">
        <v>2571</v>
      </c>
      <c r="C334" s="146" t="s">
        <v>2483</v>
      </c>
      <c r="D334" s="146" t="s">
        <v>2483</v>
      </c>
      <c r="E334" s="147" t="s">
        <v>2310</v>
      </c>
      <c r="F334" s="148">
        <v>6005</v>
      </c>
      <c r="G334" s="149">
        <v>6265</v>
      </c>
      <c r="H334" s="149">
        <v>113</v>
      </c>
      <c r="I334" s="196"/>
      <c r="J334" s="149">
        <v>8190</v>
      </c>
      <c r="K334" s="149">
        <v>6265</v>
      </c>
      <c r="L334" s="149">
        <v>74</v>
      </c>
      <c r="M334" s="149">
        <v>7117</v>
      </c>
      <c r="N334" s="149">
        <v>1</v>
      </c>
      <c r="O334" s="149">
        <v>5335</v>
      </c>
      <c r="P334" s="224"/>
      <c r="Q334" s="224"/>
      <c r="R334" s="224"/>
      <c r="S334" s="224"/>
      <c r="T334" s="224"/>
      <c r="U334" s="224"/>
      <c r="V334" s="224"/>
      <c r="W334" s="224"/>
      <c r="X334" s="224"/>
      <c r="Y334" s="224"/>
      <c r="Z334" s="224"/>
      <c r="AA334" s="224"/>
      <c r="AB334" s="224"/>
      <c r="AC334" s="224"/>
      <c r="AD334" s="143" t="s">
        <v>2185</v>
      </c>
      <c r="AE334" s="143" t="s">
        <v>2254</v>
      </c>
    </row>
    <row r="335" spans="1:31" ht="24.95" customHeight="1" x14ac:dyDescent="0.2">
      <c r="A335" s="144">
        <v>637</v>
      </c>
      <c r="B335" s="150" t="s">
        <v>2572</v>
      </c>
      <c r="C335" s="146" t="s">
        <v>2483</v>
      </c>
      <c r="D335" s="146" t="s">
        <v>2483</v>
      </c>
      <c r="E335" s="147" t="s">
        <v>2223</v>
      </c>
      <c r="F335" s="148">
        <v>4270</v>
      </c>
      <c r="G335" s="149">
        <v>5520</v>
      </c>
      <c r="H335" s="149">
        <v>116</v>
      </c>
      <c r="I335" s="196"/>
      <c r="J335" s="149">
        <v>5804</v>
      </c>
      <c r="K335" s="149">
        <v>5562</v>
      </c>
      <c r="L335" s="149">
        <v>115</v>
      </c>
      <c r="M335" s="149">
        <v>5853</v>
      </c>
      <c r="N335" s="149">
        <v>2</v>
      </c>
      <c r="O335" s="149">
        <v>4761</v>
      </c>
      <c r="P335" s="224"/>
      <c r="Q335" s="224"/>
      <c r="R335" s="224"/>
      <c r="S335" s="224"/>
      <c r="T335" s="224"/>
      <c r="U335" s="224"/>
      <c r="V335" s="224"/>
      <c r="W335" s="224"/>
      <c r="X335" s="224"/>
      <c r="Y335" s="224"/>
      <c r="Z335" s="224"/>
      <c r="AA335" s="224"/>
      <c r="AB335" s="224"/>
      <c r="AC335" s="224"/>
      <c r="AD335" s="143" t="s">
        <v>2185</v>
      </c>
      <c r="AE335" s="143" t="s">
        <v>2254</v>
      </c>
    </row>
    <row r="336" spans="1:31" ht="24.95" customHeight="1" x14ac:dyDescent="0.2">
      <c r="A336" s="144">
        <v>638</v>
      </c>
      <c r="B336" s="145" t="s">
        <v>2573</v>
      </c>
      <c r="C336" s="146" t="s">
        <v>2483</v>
      </c>
      <c r="D336" s="146" t="s">
        <v>2483</v>
      </c>
      <c r="E336" s="147" t="s">
        <v>2310</v>
      </c>
      <c r="F336" s="148">
        <v>5475</v>
      </c>
      <c r="G336" s="149">
        <v>5960</v>
      </c>
      <c r="H336" s="149">
        <v>68</v>
      </c>
      <c r="I336" s="196"/>
      <c r="J336" s="149">
        <v>5427</v>
      </c>
      <c r="K336" s="149">
        <v>5938</v>
      </c>
      <c r="L336" s="149">
        <v>51</v>
      </c>
      <c r="M336" s="149">
        <v>2846</v>
      </c>
      <c r="N336" s="149">
        <v>1</v>
      </c>
      <c r="O336" s="149">
        <v>2557</v>
      </c>
      <c r="P336" s="224"/>
      <c r="Q336" s="224"/>
      <c r="R336" s="224"/>
      <c r="S336" s="224"/>
      <c r="T336" s="224"/>
      <c r="U336" s="224"/>
      <c r="V336" s="224"/>
      <c r="W336" s="224"/>
      <c r="X336" s="224"/>
      <c r="Y336" s="224"/>
      <c r="Z336" s="224"/>
      <c r="AA336" s="224"/>
      <c r="AB336" s="224"/>
      <c r="AC336" s="224"/>
      <c r="AD336" s="143" t="s">
        <v>2185</v>
      </c>
      <c r="AE336" s="143" t="s">
        <v>2254</v>
      </c>
    </row>
    <row r="337" spans="1:31" ht="24.95" customHeight="1" x14ac:dyDescent="0.2">
      <c r="A337" s="144">
        <v>639</v>
      </c>
      <c r="B337" s="150" t="s">
        <v>2574</v>
      </c>
      <c r="C337" s="146" t="s">
        <v>2483</v>
      </c>
      <c r="D337" s="146" t="s">
        <v>2483</v>
      </c>
      <c r="E337" s="147" t="s">
        <v>2223</v>
      </c>
      <c r="F337" s="148">
        <v>5055</v>
      </c>
      <c r="G337" s="149">
        <v>5810</v>
      </c>
      <c r="H337" s="149">
        <v>90</v>
      </c>
      <c r="I337" s="196"/>
      <c r="J337" s="149">
        <v>5697</v>
      </c>
      <c r="K337" s="149">
        <v>5790</v>
      </c>
      <c r="L337" s="149">
        <v>82</v>
      </c>
      <c r="M337" s="149">
        <v>4452</v>
      </c>
      <c r="N337" s="149">
        <v>1</v>
      </c>
      <c r="O337" s="149">
        <v>4290</v>
      </c>
      <c r="P337" s="224"/>
      <c r="Q337" s="224"/>
      <c r="R337" s="224"/>
      <c r="S337" s="224"/>
      <c r="T337" s="224"/>
      <c r="U337" s="224"/>
      <c r="V337" s="224"/>
      <c r="W337" s="224"/>
      <c r="X337" s="224"/>
      <c r="Y337" s="224"/>
      <c r="Z337" s="224"/>
      <c r="AA337" s="224"/>
      <c r="AB337" s="224"/>
      <c r="AC337" s="224"/>
      <c r="AD337" s="143" t="s">
        <v>2185</v>
      </c>
      <c r="AE337" s="143" t="s">
        <v>2254</v>
      </c>
    </row>
    <row r="338" spans="1:31" ht="24.95" customHeight="1" x14ac:dyDescent="0.2">
      <c r="A338" s="144">
        <v>640</v>
      </c>
      <c r="B338" s="145" t="s">
        <v>2575</v>
      </c>
      <c r="C338" s="146" t="s">
        <v>2309</v>
      </c>
      <c r="D338" s="146" t="s">
        <v>2483</v>
      </c>
      <c r="E338" s="147" t="s">
        <v>2310</v>
      </c>
      <c r="F338" s="148">
        <v>5290</v>
      </c>
      <c r="G338" s="149">
        <v>8540</v>
      </c>
      <c r="H338" s="149">
        <v>87</v>
      </c>
      <c r="I338" s="196"/>
      <c r="J338" s="149">
        <v>4936</v>
      </c>
      <c r="K338" s="149">
        <v>7108</v>
      </c>
      <c r="L338" s="149">
        <v>79</v>
      </c>
      <c r="M338" s="149">
        <v>4884</v>
      </c>
      <c r="N338" s="149">
        <v>0</v>
      </c>
      <c r="O338" s="149">
        <v>5689</v>
      </c>
      <c r="P338" s="224"/>
      <c r="Q338" s="224"/>
      <c r="R338" s="224"/>
      <c r="S338" s="224"/>
      <c r="T338" s="224"/>
      <c r="U338" s="224"/>
      <c r="V338" s="224"/>
      <c r="W338" s="224"/>
      <c r="X338" s="224"/>
      <c r="Y338" s="224"/>
      <c r="Z338" s="224"/>
      <c r="AA338" s="224"/>
      <c r="AB338" s="224"/>
      <c r="AC338" s="224"/>
      <c r="AD338" s="143" t="s">
        <v>2185</v>
      </c>
      <c r="AE338" s="143" t="s">
        <v>2254</v>
      </c>
    </row>
    <row r="339" spans="1:31" ht="24.95" customHeight="1" x14ac:dyDescent="0.2">
      <c r="A339" s="144">
        <v>641</v>
      </c>
      <c r="B339" s="150" t="s">
        <v>2576</v>
      </c>
      <c r="C339" s="146" t="s">
        <v>2483</v>
      </c>
      <c r="D339" s="146" t="s">
        <v>2483</v>
      </c>
      <c r="E339" s="147" t="s">
        <v>2223</v>
      </c>
      <c r="F339" s="148">
        <v>4894</v>
      </c>
      <c r="G339" s="149">
        <v>8188</v>
      </c>
      <c r="H339" s="149">
        <v>76</v>
      </c>
      <c r="I339" s="196"/>
      <c r="J339" s="149">
        <v>5405</v>
      </c>
      <c r="K339" s="149">
        <v>8320</v>
      </c>
      <c r="L339" s="149">
        <v>72</v>
      </c>
      <c r="M339" s="149">
        <v>5223</v>
      </c>
      <c r="N339" s="149">
        <v>0</v>
      </c>
      <c r="O339" s="149">
        <v>4279</v>
      </c>
      <c r="P339" s="224"/>
      <c r="Q339" s="224"/>
      <c r="R339" s="224"/>
      <c r="S339" s="224"/>
      <c r="T339" s="224"/>
      <c r="U339" s="224"/>
      <c r="V339" s="224"/>
      <c r="W339" s="224"/>
      <c r="X339" s="224"/>
      <c r="Y339" s="224"/>
      <c r="Z339" s="224"/>
      <c r="AA339" s="224"/>
      <c r="AB339" s="224"/>
      <c r="AC339" s="224"/>
      <c r="AD339" s="143" t="s">
        <v>2185</v>
      </c>
      <c r="AE339" s="143" t="s">
        <v>2186</v>
      </c>
    </row>
    <row r="340" spans="1:31" ht="24.95" customHeight="1" x14ac:dyDescent="0.2">
      <c r="A340" s="144">
        <v>642</v>
      </c>
      <c r="B340" s="145" t="s">
        <v>2577</v>
      </c>
      <c r="C340" s="146" t="s">
        <v>2309</v>
      </c>
      <c r="D340" s="146" t="s">
        <v>2483</v>
      </c>
      <c r="E340" s="147" t="s">
        <v>2310</v>
      </c>
      <c r="F340" s="148">
        <v>5030</v>
      </c>
      <c r="G340" s="149">
        <v>5095</v>
      </c>
      <c r="H340" s="149">
        <v>47</v>
      </c>
      <c r="I340" s="196"/>
      <c r="J340" s="149">
        <v>6282</v>
      </c>
      <c r="K340" s="149">
        <v>5073</v>
      </c>
      <c r="L340" s="149">
        <v>40</v>
      </c>
      <c r="M340" s="149">
        <v>2974</v>
      </c>
      <c r="N340" s="149">
        <v>0</v>
      </c>
      <c r="O340" s="149">
        <v>2859</v>
      </c>
      <c r="P340" s="224"/>
      <c r="Q340" s="224"/>
      <c r="R340" s="224"/>
      <c r="S340" s="224"/>
      <c r="T340" s="224"/>
      <c r="U340" s="224"/>
      <c r="V340" s="224"/>
      <c r="W340" s="224"/>
      <c r="X340" s="224"/>
      <c r="Y340" s="224"/>
      <c r="Z340" s="224"/>
      <c r="AA340" s="224"/>
      <c r="AB340" s="224"/>
      <c r="AC340" s="224"/>
      <c r="AD340" s="143" t="s">
        <v>2185</v>
      </c>
      <c r="AE340" s="143" t="s">
        <v>2254</v>
      </c>
    </row>
    <row r="341" spans="1:31" ht="24.95" customHeight="1" x14ac:dyDescent="0.2">
      <c r="A341" s="144">
        <v>643</v>
      </c>
      <c r="B341" s="145" t="s">
        <v>2578</v>
      </c>
      <c r="C341" s="146" t="s">
        <v>2309</v>
      </c>
      <c r="D341" s="146" t="s">
        <v>2483</v>
      </c>
      <c r="E341" s="147" t="s">
        <v>2310</v>
      </c>
      <c r="F341" s="148">
        <f>1315+1050</f>
        <v>2365</v>
      </c>
      <c r="G341" s="149">
        <v>4450</v>
      </c>
      <c r="H341" s="149">
        <v>16</v>
      </c>
      <c r="I341" s="196"/>
      <c r="J341" s="149">
        <v>2075</v>
      </c>
      <c r="K341" s="149">
        <v>3705</v>
      </c>
      <c r="L341" s="149">
        <v>13</v>
      </c>
      <c r="M341" s="149">
        <v>818</v>
      </c>
      <c r="N341" s="149">
        <f>17-13</f>
        <v>4</v>
      </c>
      <c r="O341" s="149">
        <v>634</v>
      </c>
      <c r="P341" s="224"/>
      <c r="Q341" s="224"/>
      <c r="R341" s="224"/>
      <c r="S341" s="224"/>
      <c r="T341" s="224"/>
      <c r="U341" s="224"/>
      <c r="V341" s="224"/>
      <c r="W341" s="224"/>
      <c r="X341" s="224"/>
      <c r="Y341" s="224"/>
      <c r="Z341" s="224"/>
      <c r="AA341" s="224"/>
      <c r="AB341" s="224"/>
      <c r="AC341" s="224"/>
      <c r="AD341" s="143" t="s">
        <v>2185</v>
      </c>
      <c r="AE341" s="143" t="s">
        <v>2254</v>
      </c>
    </row>
    <row r="342" spans="1:31" ht="24.95" customHeight="1" x14ac:dyDescent="0.2">
      <c r="A342" s="144">
        <v>644</v>
      </c>
      <c r="B342" s="145" t="s">
        <v>2579</v>
      </c>
      <c r="C342" s="146" t="s">
        <v>2280</v>
      </c>
      <c r="D342" s="146" t="s">
        <v>2280</v>
      </c>
      <c r="E342" s="147" t="s">
        <v>2564</v>
      </c>
      <c r="F342" s="148">
        <f>3680+705</f>
        <v>4385</v>
      </c>
      <c r="G342" s="149">
        <f>445+850+3915</f>
        <v>5210</v>
      </c>
      <c r="H342" s="149">
        <v>0</v>
      </c>
      <c r="I342" s="196"/>
      <c r="J342" s="149">
        <v>0</v>
      </c>
      <c r="K342" s="149">
        <v>0</v>
      </c>
      <c r="L342" s="149">
        <v>0</v>
      </c>
      <c r="M342" s="149">
        <v>0</v>
      </c>
      <c r="N342" s="149">
        <v>0</v>
      </c>
      <c r="O342" s="149">
        <v>0</v>
      </c>
      <c r="P342" s="224"/>
      <c r="Q342" s="224"/>
      <c r="R342" s="224"/>
      <c r="S342" s="224"/>
      <c r="T342" s="224"/>
      <c r="U342" s="224"/>
      <c r="V342" s="224"/>
      <c r="W342" s="224"/>
      <c r="X342" s="224"/>
      <c r="Y342" s="224"/>
      <c r="Z342" s="224"/>
      <c r="AA342" s="224"/>
      <c r="AB342" s="224"/>
      <c r="AC342" s="224"/>
      <c r="AD342" s="143" t="s">
        <v>2185</v>
      </c>
      <c r="AE342" s="143" t="s">
        <v>2254</v>
      </c>
    </row>
    <row r="343" spans="1:31" ht="24.95" customHeight="1" x14ac:dyDescent="0.2">
      <c r="A343" s="144">
        <v>645</v>
      </c>
      <c r="B343" s="150" t="s">
        <v>2580</v>
      </c>
      <c r="C343" s="146" t="s">
        <v>2280</v>
      </c>
      <c r="D343" s="146" t="s">
        <v>2280</v>
      </c>
      <c r="E343" s="147" t="s">
        <v>2223</v>
      </c>
      <c r="F343" s="148">
        <v>7001</v>
      </c>
      <c r="G343" s="149">
        <v>6352</v>
      </c>
      <c r="H343" s="149">
        <v>107</v>
      </c>
      <c r="I343" s="196"/>
      <c r="J343" s="149">
        <v>7102</v>
      </c>
      <c r="K343" s="149">
        <v>6336</v>
      </c>
      <c r="L343" s="149">
        <v>109</v>
      </c>
      <c r="M343" s="149">
        <v>7626</v>
      </c>
      <c r="N343" s="149">
        <v>0</v>
      </c>
      <c r="O343" s="149">
        <v>8580</v>
      </c>
      <c r="P343" s="224"/>
      <c r="Q343" s="224"/>
      <c r="R343" s="224"/>
      <c r="S343" s="224"/>
      <c r="T343" s="224"/>
      <c r="U343" s="224"/>
      <c r="V343" s="224"/>
      <c r="W343" s="224"/>
      <c r="X343" s="224"/>
      <c r="Y343" s="224"/>
      <c r="Z343" s="224"/>
      <c r="AA343" s="224"/>
      <c r="AB343" s="224"/>
      <c r="AC343" s="224"/>
      <c r="AD343" s="143" t="s">
        <v>2185</v>
      </c>
      <c r="AE343" s="143" t="s">
        <v>2254</v>
      </c>
    </row>
    <row r="344" spans="1:31" ht="24.95" customHeight="1" x14ac:dyDescent="0.2">
      <c r="A344" s="144">
        <v>646</v>
      </c>
      <c r="B344" s="145" t="s">
        <v>2581</v>
      </c>
      <c r="C344" s="146" t="s">
        <v>2280</v>
      </c>
      <c r="D344" s="146" t="s">
        <v>2280</v>
      </c>
      <c r="E344" s="147" t="s">
        <v>2310</v>
      </c>
      <c r="F344" s="148">
        <v>8260</v>
      </c>
      <c r="G344" s="149">
        <v>5925</v>
      </c>
      <c r="H344" s="149">
        <v>90</v>
      </c>
      <c r="I344" s="196"/>
      <c r="J344" s="149">
        <v>8157</v>
      </c>
      <c r="K344" s="149">
        <v>5925</v>
      </c>
      <c r="L344" s="149">
        <v>89</v>
      </c>
      <c r="M344" s="149">
        <v>5577</v>
      </c>
      <c r="N344" s="149">
        <v>1</v>
      </c>
      <c r="O344" s="149">
        <v>5992</v>
      </c>
      <c r="P344" s="224"/>
      <c r="Q344" s="224"/>
      <c r="R344" s="224"/>
      <c r="S344" s="224"/>
      <c r="T344" s="224"/>
      <c r="U344" s="224"/>
      <c r="V344" s="224"/>
      <c r="W344" s="224"/>
      <c r="X344" s="224"/>
      <c r="Y344" s="224"/>
      <c r="Z344" s="224"/>
      <c r="AA344" s="224"/>
      <c r="AB344" s="224"/>
      <c r="AC344" s="224"/>
      <c r="AD344" s="143" t="s">
        <v>2185</v>
      </c>
      <c r="AE344" s="143" t="s">
        <v>2254</v>
      </c>
    </row>
    <row r="345" spans="1:31" ht="24.95" customHeight="1" x14ac:dyDescent="0.2">
      <c r="A345" s="144">
        <v>647</v>
      </c>
      <c r="B345" s="145" t="s">
        <v>2582</v>
      </c>
      <c r="C345" s="146" t="s">
        <v>2280</v>
      </c>
      <c r="D345" s="146" t="s">
        <v>2280</v>
      </c>
      <c r="E345" s="147" t="s">
        <v>2223</v>
      </c>
      <c r="F345" s="148">
        <v>6808</v>
      </c>
      <c r="G345" s="149">
        <v>6303</v>
      </c>
      <c r="H345" s="149">
        <v>143</v>
      </c>
      <c r="I345" s="196"/>
      <c r="J345" s="149">
        <v>11611</v>
      </c>
      <c r="K345" s="149">
        <v>6292</v>
      </c>
      <c r="L345" s="149">
        <v>131</v>
      </c>
      <c r="M345" s="149">
        <v>5254</v>
      </c>
      <c r="N345" s="149">
        <v>3</v>
      </c>
      <c r="O345" s="149">
        <v>6147</v>
      </c>
      <c r="P345" s="224"/>
      <c r="Q345" s="224"/>
      <c r="R345" s="224"/>
      <c r="S345" s="224"/>
      <c r="T345" s="224"/>
      <c r="U345" s="224"/>
      <c r="V345" s="224"/>
      <c r="W345" s="224"/>
      <c r="X345" s="224"/>
      <c r="Y345" s="224"/>
      <c r="Z345" s="224"/>
      <c r="AA345" s="224"/>
      <c r="AB345" s="224"/>
      <c r="AC345" s="224"/>
      <c r="AD345" s="143" t="s">
        <v>2185</v>
      </c>
      <c r="AE345" s="143" t="s">
        <v>2254</v>
      </c>
    </row>
    <row r="346" spans="1:31" ht="24.95" customHeight="1" x14ac:dyDescent="0.2">
      <c r="A346" s="144">
        <v>648</v>
      </c>
      <c r="B346" s="150" t="s">
        <v>2583</v>
      </c>
      <c r="C346" s="146" t="s">
        <v>2280</v>
      </c>
      <c r="D346" s="146" t="s">
        <v>2280</v>
      </c>
      <c r="E346" s="147" t="s">
        <v>2223</v>
      </c>
      <c r="F346" s="148">
        <v>5635</v>
      </c>
      <c r="G346" s="149">
        <v>6531</v>
      </c>
      <c r="H346" s="149">
        <v>150</v>
      </c>
      <c r="I346" s="196"/>
      <c r="J346" s="149">
        <v>5865</v>
      </c>
      <c r="K346" s="149">
        <v>6531</v>
      </c>
      <c r="L346" s="149">
        <v>151</v>
      </c>
      <c r="M346" s="149">
        <v>8031</v>
      </c>
      <c r="N346" s="149">
        <v>1</v>
      </c>
      <c r="O346" s="149">
        <v>7410</v>
      </c>
      <c r="P346" s="224"/>
      <c r="Q346" s="224"/>
      <c r="R346" s="224"/>
      <c r="S346" s="224"/>
      <c r="T346" s="224"/>
      <c r="U346" s="224"/>
      <c r="V346" s="224"/>
      <c r="W346" s="224"/>
      <c r="X346" s="224"/>
      <c r="Y346" s="224"/>
      <c r="Z346" s="224"/>
      <c r="AA346" s="224"/>
      <c r="AB346" s="224"/>
      <c r="AC346" s="224"/>
      <c r="AD346" s="143" t="s">
        <v>2185</v>
      </c>
      <c r="AE346" s="143" t="s">
        <v>2254</v>
      </c>
    </row>
    <row r="347" spans="1:31" ht="24.95" customHeight="1" x14ac:dyDescent="0.2">
      <c r="A347" s="144">
        <v>649</v>
      </c>
      <c r="B347" s="145" t="s">
        <v>2584</v>
      </c>
      <c r="C347" s="146" t="s">
        <v>2280</v>
      </c>
      <c r="D347" s="146" t="s">
        <v>2280</v>
      </c>
      <c r="E347" s="147" t="s">
        <v>2310</v>
      </c>
      <c r="F347" s="148">
        <v>8390</v>
      </c>
      <c r="G347" s="149">
        <v>7520</v>
      </c>
      <c r="H347" s="149">
        <v>100</v>
      </c>
      <c r="I347" s="196"/>
      <c r="J347" s="149">
        <v>9076</v>
      </c>
      <c r="K347" s="149">
        <v>7520</v>
      </c>
      <c r="L347" s="149">
        <v>102</v>
      </c>
      <c r="M347" s="149">
        <v>4073</v>
      </c>
      <c r="N347" s="149">
        <v>0</v>
      </c>
      <c r="O347" s="149">
        <v>5805</v>
      </c>
      <c r="P347" s="224"/>
      <c r="Q347" s="224"/>
      <c r="R347" s="224"/>
      <c r="S347" s="224"/>
      <c r="T347" s="224"/>
      <c r="U347" s="224"/>
      <c r="V347" s="224"/>
      <c r="W347" s="224"/>
      <c r="X347" s="224"/>
      <c r="Y347" s="224"/>
      <c r="Z347" s="224"/>
      <c r="AA347" s="224"/>
      <c r="AB347" s="224"/>
      <c r="AC347" s="224"/>
      <c r="AD347" s="143" t="s">
        <v>2185</v>
      </c>
      <c r="AE347" s="143" t="s">
        <v>2254</v>
      </c>
    </row>
    <row r="348" spans="1:31" ht="24.95" customHeight="1" x14ac:dyDescent="0.2">
      <c r="A348" s="144">
        <v>650</v>
      </c>
      <c r="B348" s="145" t="s">
        <v>2585</v>
      </c>
      <c r="C348" s="146" t="s">
        <v>2280</v>
      </c>
      <c r="D348" s="146" t="s">
        <v>2280</v>
      </c>
      <c r="E348" s="147" t="s">
        <v>2310</v>
      </c>
      <c r="F348" s="148">
        <v>2105</v>
      </c>
      <c r="G348" s="149">
        <v>2670</v>
      </c>
      <c r="H348" s="149">
        <v>53</v>
      </c>
      <c r="I348" s="196"/>
      <c r="J348" s="149">
        <v>3602</v>
      </c>
      <c r="K348" s="149">
        <v>2699</v>
      </c>
      <c r="L348" s="149">
        <v>53</v>
      </c>
      <c r="M348" s="149">
        <v>2072</v>
      </c>
      <c r="N348" s="149">
        <v>5</v>
      </c>
      <c r="O348" s="149">
        <v>2996</v>
      </c>
      <c r="P348" s="224"/>
      <c r="Q348" s="224"/>
      <c r="R348" s="224"/>
      <c r="S348" s="224"/>
      <c r="T348" s="224"/>
      <c r="U348" s="224"/>
      <c r="V348" s="224"/>
      <c r="W348" s="224"/>
      <c r="X348" s="224"/>
      <c r="Y348" s="224"/>
      <c r="Z348" s="224"/>
      <c r="AA348" s="224"/>
      <c r="AB348" s="224"/>
      <c r="AC348" s="224"/>
      <c r="AD348" s="143" t="s">
        <v>2185</v>
      </c>
      <c r="AE348" s="143" t="s">
        <v>2254</v>
      </c>
    </row>
    <row r="349" spans="1:31" ht="24.95" customHeight="1" x14ac:dyDescent="0.2">
      <c r="A349" s="144">
        <v>651</v>
      </c>
      <c r="B349" s="145" t="s">
        <v>2586</v>
      </c>
      <c r="C349" s="146" t="s">
        <v>2280</v>
      </c>
      <c r="D349" s="146" t="s">
        <v>2280</v>
      </c>
      <c r="E349" s="147" t="s">
        <v>2310</v>
      </c>
      <c r="F349" s="148">
        <f>870+3890</f>
        <v>4760</v>
      </c>
      <c r="G349" s="149">
        <f>170+400+660+990+1495+1525+61+92+2</f>
        <v>5395</v>
      </c>
      <c r="H349" s="149">
        <v>61</v>
      </c>
      <c r="I349" s="196"/>
      <c r="J349" s="149">
        <v>0</v>
      </c>
      <c r="K349" s="149">
        <v>0</v>
      </c>
      <c r="L349" s="149">
        <v>0</v>
      </c>
      <c r="M349" s="149">
        <v>0</v>
      </c>
      <c r="N349" s="149">
        <v>0</v>
      </c>
      <c r="O349" s="149">
        <v>0</v>
      </c>
      <c r="P349" s="224"/>
      <c r="Q349" s="224"/>
      <c r="R349" s="224"/>
      <c r="S349" s="224"/>
      <c r="T349" s="224"/>
      <c r="U349" s="224"/>
      <c r="V349" s="224"/>
      <c r="W349" s="224"/>
      <c r="X349" s="224"/>
      <c r="Y349" s="224"/>
      <c r="Z349" s="224"/>
      <c r="AA349" s="224"/>
      <c r="AB349" s="224"/>
      <c r="AC349" s="224"/>
      <c r="AD349" s="143" t="s">
        <v>2185</v>
      </c>
      <c r="AE349" s="143" t="s">
        <v>2254</v>
      </c>
    </row>
    <row r="350" spans="1:31" ht="24.95" customHeight="1" x14ac:dyDescent="0.2">
      <c r="A350" s="144">
        <v>652</v>
      </c>
      <c r="B350" s="150" t="s">
        <v>2587</v>
      </c>
      <c r="C350" s="146" t="s">
        <v>2280</v>
      </c>
      <c r="D350" s="146" t="s">
        <v>2280</v>
      </c>
      <c r="E350" s="147" t="s">
        <v>2223</v>
      </c>
      <c r="F350" s="148">
        <v>3186</v>
      </c>
      <c r="G350" s="149">
        <v>3736</v>
      </c>
      <c r="H350" s="149">
        <v>101</v>
      </c>
      <c r="I350" s="196"/>
      <c r="J350" s="149">
        <v>3206</v>
      </c>
      <c r="K350" s="149">
        <v>3736</v>
      </c>
      <c r="L350" s="149">
        <v>97</v>
      </c>
      <c r="M350" s="149">
        <v>5867</v>
      </c>
      <c r="N350" s="149">
        <v>4</v>
      </c>
      <c r="O350" s="149">
        <v>5966</v>
      </c>
      <c r="P350" s="224"/>
      <c r="Q350" s="224"/>
      <c r="R350" s="224"/>
      <c r="S350" s="224"/>
      <c r="T350" s="224"/>
      <c r="U350" s="224"/>
      <c r="V350" s="224"/>
      <c r="W350" s="224"/>
      <c r="X350" s="224"/>
      <c r="Y350" s="224"/>
      <c r="Z350" s="224"/>
      <c r="AA350" s="224"/>
      <c r="AB350" s="224"/>
      <c r="AC350" s="224"/>
      <c r="AD350" s="143" t="s">
        <v>2185</v>
      </c>
      <c r="AE350" s="143" t="s">
        <v>2186</v>
      </c>
    </row>
    <row r="351" spans="1:31" ht="24.95" customHeight="1" x14ac:dyDescent="0.2">
      <c r="A351" s="144">
        <v>653</v>
      </c>
      <c r="B351" s="150" t="s">
        <v>2588</v>
      </c>
      <c r="C351" s="146" t="s">
        <v>2280</v>
      </c>
      <c r="D351" s="146" t="s">
        <v>2280</v>
      </c>
      <c r="E351" s="147" t="s">
        <v>2223</v>
      </c>
      <c r="F351" s="148">
        <f>3236+63</f>
        <v>3299</v>
      </c>
      <c r="G351" s="149">
        <v>3190</v>
      </c>
      <c r="H351" s="149">
        <v>100</v>
      </c>
      <c r="I351" s="196"/>
      <c r="J351" s="149">
        <v>4592</v>
      </c>
      <c r="K351" s="149">
        <v>3751</v>
      </c>
      <c r="L351" s="149">
        <v>98</v>
      </c>
      <c r="M351" s="149">
        <v>4625</v>
      </c>
      <c r="N351" s="149">
        <v>4</v>
      </c>
      <c r="O351" s="149">
        <v>2952</v>
      </c>
      <c r="P351" s="224"/>
      <c r="Q351" s="224"/>
      <c r="R351" s="224"/>
      <c r="S351" s="224"/>
      <c r="T351" s="224"/>
      <c r="U351" s="224"/>
      <c r="V351" s="224"/>
      <c r="W351" s="224"/>
      <c r="X351" s="224"/>
      <c r="Y351" s="224"/>
      <c r="Z351" s="224"/>
      <c r="AA351" s="224"/>
      <c r="AB351" s="224"/>
      <c r="AC351" s="224"/>
      <c r="AD351" s="143" t="s">
        <v>2185</v>
      </c>
      <c r="AE351" s="143" t="s">
        <v>2186</v>
      </c>
    </row>
    <row r="352" spans="1:31" ht="24.95" customHeight="1" x14ac:dyDescent="0.2">
      <c r="A352" s="144">
        <v>657</v>
      </c>
      <c r="B352" s="145" t="s">
        <v>2589</v>
      </c>
      <c r="C352" s="146" t="s">
        <v>2250</v>
      </c>
      <c r="D352" s="146" t="s">
        <v>2285</v>
      </c>
      <c r="E352" s="147" t="s">
        <v>2310</v>
      </c>
      <c r="F352" s="148">
        <v>4955</v>
      </c>
      <c r="G352" s="149">
        <v>3905</v>
      </c>
      <c r="H352" s="149">
        <v>60</v>
      </c>
      <c r="I352" s="196"/>
      <c r="J352" s="149">
        <v>4842</v>
      </c>
      <c r="K352" s="149">
        <v>2965</v>
      </c>
      <c r="L352" s="149">
        <v>62</v>
      </c>
      <c r="M352" s="149">
        <v>3604</v>
      </c>
      <c r="N352" s="149">
        <v>0</v>
      </c>
      <c r="O352" s="149">
        <v>4123</v>
      </c>
      <c r="P352" s="224"/>
      <c r="Q352" s="224"/>
      <c r="R352" s="224"/>
      <c r="S352" s="224"/>
      <c r="T352" s="224"/>
      <c r="U352" s="224"/>
      <c r="V352" s="224"/>
      <c r="W352" s="224"/>
      <c r="X352" s="224"/>
      <c r="Y352" s="224"/>
      <c r="Z352" s="224"/>
      <c r="AA352" s="224"/>
      <c r="AB352" s="224"/>
      <c r="AC352" s="224"/>
      <c r="AD352" s="143" t="s">
        <v>2185</v>
      </c>
      <c r="AE352" s="143" t="s">
        <v>2254</v>
      </c>
    </row>
    <row r="353" spans="1:31" ht="24.95" customHeight="1" x14ac:dyDescent="0.2">
      <c r="A353" s="144">
        <v>658</v>
      </c>
      <c r="B353" s="145" t="s">
        <v>2590</v>
      </c>
      <c r="C353" s="146" t="s">
        <v>2250</v>
      </c>
      <c r="D353" s="146" t="s">
        <v>2285</v>
      </c>
      <c r="E353" s="147" t="s">
        <v>2310</v>
      </c>
      <c r="F353" s="148">
        <v>4940</v>
      </c>
      <c r="G353" s="149">
        <v>4860</v>
      </c>
      <c r="H353" s="149">
        <v>95</v>
      </c>
      <c r="I353" s="196"/>
      <c r="J353" s="149">
        <v>5642</v>
      </c>
      <c r="K353" s="149">
        <v>4020</v>
      </c>
      <c r="L353" s="149">
        <v>93</v>
      </c>
      <c r="M353" s="149">
        <v>6056</v>
      </c>
      <c r="N353" s="149">
        <v>0</v>
      </c>
      <c r="O353" s="149">
        <v>6348</v>
      </c>
      <c r="P353" s="224"/>
      <c r="Q353" s="224"/>
      <c r="R353" s="224"/>
      <c r="S353" s="224"/>
      <c r="T353" s="224"/>
      <c r="U353" s="224"/>
      <c r="V353" s="224"/>
      <c r="W353" s="224"/>
      <c r="X353" s="224"/>
      <c r="Y353" s="224"/>
      <c r="Z353" s="224"/>
      <c r="AA353" s="224"/>
      <c r="AB353" s="224"/>
      <c r="AC353" s="224"/>
      <c r="AD353" s="143" t="s">
        <v>2185</v>
      </c>
      <c r="AE353" s="143" t="s">
        <v>2254</v>
      </c>
    </row>
    <row r="354" spans="1:31" ht="24.95" customHeight="1" x14ac:dyDescent="0.2">
      <c r="A354" s="144">
        <v>659</v>
      </c>
      <c r="B354" s="145" t="s">
        <v>2591</v>
      </c>
      <c r="C354" s="146" t="s">
        <v>2250</v>
      </c>
      <c r="D354" s="146" t="s">
        <v>2285</v>
      </c>
      <c r="E354" s="147" t="s">
        <v>2310</v>
      </c>
      <c r="F354" s="148">
        <v>9085</v>
      </c>
      <c r="G354" s="149">
        <v>5750</v>
      </c>
      <c r="H354" s="149">
        <v>88</v>
      </c>
      <c r="I354" s="196"/>
      <c r="J354" s="149">
        <v>9085</v>
      </c>
      <c r="K354" s="149">
        <v>5750</v>
      </c>
      <c r="L354" s="149">
        <v>101</v>
      </c>
      <c r="M354" s="149">
        <v>4179</v>
      </c>
      <c r="N354" s="149">
        <v>0</v>
      </c>
      <c r="O354" s="149">
        <v>6143</v>
      </c>
      <c r="P354" s="224"/>
      <c r="Q354" s="224"/>
      <c r="R354" s="224"/>
      <c r="S354" s="224"/>
      <c r="T354" s="224"/>
      <c r="U354" s="224"/>
      <c r="V354" s="224"/>
      <c r="W354" s="224"/>
      <c r="X354" s="224"/>
      <c r="Y354" s="224"/>
      <c r="Z354" s="224"/>
      <c r="AA354" s="224"/>
      <c r="AB354" s="224"/>
      <c r="AC354" s="224"/>
      <c r="AD354" s="143" t="s">
        <v>2185</v>
      </c>
      <c r="AE354" s="143" t="s">
        <v>2254</v>
      </c>
    </row>
    <row r="355" spans="1:31" ht="24.95" customHeight="1" x14ac:dyDescent="0.2">
      <c r="A355" s="144">
        <v>660</v>
      </c>
      <c r="B355" s="150" t="s">
        <v>2592</v>
      </c>
      <c r="C355" s="146" t="s">
        <v>2285</v>
      </c>
      <c r="D355" s="146" t="s">
        <v>2285</v>
      </c>
      <c r="E355" s="147" t="s">
        <v>2223</v>
      </c>
      <c r="F355" s="148">
        <v>8025</v>
      </c>
      <c r="G355" s="149">
        <v>4885</v>
      </c>
      <c r="H355" s="149">
        <v>85</v>
      </c>
      <c r="I355" s="196"/>
      <c r="J355" s="149">
        <v>8275</v>
      </c>
      <c r="K355" s="149">
        <v>5117</v>
      </c>
      <c r="L355" s="149">
        <v>91</v>
      </c>
      <c r="M355" s="149">
        <v>3686</v>
      </c>
      <c r="N355" s="149">
        <v>0</v>
      </c>
      <c r="O355" s="149">
        <v>5652</v>
      </c>
      <c r="P355" s="224"/>
      <c r="Q355" s="224"/>
      <c r="R355" s="224"/>
      <c r="S355" s="224"/>
      <c r="T355" s="224"/>
      <c r="U355" s="224"/>
      <c r="V355" s="224"/>
      <c r="W355" s="224"/>
      <c r="X355" s="224"/>
      <c r="Y355" s="224"/>
      <c r="Z355" s="224"/>
      <c r="AA355" s="224"/>
      <c r="AB355" s="224"/>
      <c r="AC355" s="224"/>
      <c r="AD355" s="143" t="s">
        <v>2185</v>
      </c>
      <c r="AE355" s="143" t="s">
        <v>2254</v>
      </c>
    </row>
    <row r="356" spans="1:31" ht="24.95" customHeight="1" x14ac:dyDescent="0.2">
      <c r="A356" s="144">
        <v>661</v>
      </c>
      <c r="B356" s="145" t="s">
        <v>2593</v>
      </c>
      <c r="C356" s="146" t="s">
        <v>2222</v>
      </c>
      <c r="D356" s="146" t="s">
        <v>2222</v>
      </c>
      <c r="E356" s="147" t="s">
        <v>2223</v>
      </c>
      <c r="F356" s="148">
        <v>2540</v>
      </c>
      <c r="G356" s="149">
        <v>6665</v>
      </c>
      <c r="H356" s="149">
        <v>26</v>
      </c>
      <c r="I356" s="196"/>
      <c r="J356" s="149">
        <v>0</v>
      </c>
      <c r="K356" s="149">
        <v>0</v>
      </c>
      <c r="L356" s="149">
        <v>0</v>
      </c>
      <c r="M356" s="149">
        <v>0</v>
      </c>
      <c r="N356" s="149">
        <v>0</v>
      </c>
      <c r="O356" s="149">
        <v>0</v>
      </c>
      <c r="P356" s="224"/>
      <c r="Q356" s="224"/>
      <c r="R356" s="224"/>
      <c r="S356" s="224"/>
      <c r="T356" s="224"/>
      <c r="U356" s="224"/>
      <c r="V356" s="224"/>
      <c r="W356" s="224"/>
      <c r="X356" s="224"/>
      <c r="Y356" s="224"/>
      <c r="Z356" s="224"/>
      <c r="AA356" s="224"/>
      <c r="AB356" s="224"/>
      <c r="AC356" s="224"/>
      <c r="AD356" s="143" t="s">
        <v>2185</v>
      </c>
      <c r="AE356" s="143" t="s">
        <v>2254</v>
      </c>
    </row>
    <row r="357" spans="1:31" ht="24.95" customHeight="1" x14ac:dyDescent="0.2">
      <c r="A357" s="144">
        <v>662</v>
      </c>
      <c r="B357" s="150" t="s">
        <v>2594</v>
      </c>
      <c r="C357" s="146" t="s">
        <v>2222</v>
      </c>
      <c r="D357" s="146" t="s">
        <v>2222</v>
      </c>
      <c r="E357" s="147" t="s">
        <v>2223</v>
      </c>
      <c r="F357" s="148">
        <v>3565</v>
      </c>
      <c r="G357" s="149">
        <v>7010</v>
      </c>
      <c r="H357" s="149">
        <v>142</v>
      </c>
      <c r="I357" s="196"/>
      <c r="J357" s="149">
        <v>3676</v>
      </c>
      <c r="K357" s="149">
        <v>7294</v>
      </c>
      <c r="L357" s="149">
        <v>125</v>
      </c>
      <c r="M357" s="149">
        <v>11850</v>
      </c>
      <c r="N357" s="149">
        <v>13</v>
      </c>
      <c r="O357" s="149">
        <v>9218</v>
      </c>
      <c r="P357" s="224"/>
      <c r="Q357" s="224"/>
      <c r="R357" s="224"/>
      <c r="S357" s="224"/>
      <c r="T357" s="224"/>
      <c r="U357" s="224"/>
      <c r="V357" s="224"/>
      <c r="W357" s="224"/>
      <c r="X357" s="224"/>
      <c r="Y357" s="224"/>
      <c r="Z357" s="224"/>
      <c r="AA357" s="224"/>
      <c r="AB357" s="224"/>
      <c r="AC357" s="224"/>
      <c r="AD357" s="143" t="s">
        <v>2185</v>
      </c>
      <c r="AE357" s="143" t="s">
        <v>2254</v>
      </c>
    </row>
    <row r="358" spans="1:31" ht="24.95" customHeight="1" x14ac:dyDescent="0.2">
      <c r="A358" s="144">
        <v>663</v>
      </c>
      <c r="B358" s="145" t="s">
        <v>2595</v>
      </c>
      <c r="C358" s="146" t="s">
        <v>2222</v>
      </c>
      <c r="D358" s="146" t="s">
        <v>2222</v>
      </c>
      <c r="E358" s="147" t="s">
        <v>2310</v>
      </c>
      <c r="F358" s="148">
        <f>2310+1835</f>
        <v>4145</v>
      </c>
      <c r="G358" s="149">
        <v>5245</v>
      </c>
      <c r="H358" s="149">
        <v>90</v>
      </c>
      <c r="I358" s="196"/>
      <c r="J358" s="149">
        <v>4355</v>
      </c>
      <c r="K358" s="149">
        <v>5245</v>
      </c>
      <c r="L358" s="149">
        <v>84</v>
      </c>
      <c r="M358" s="149">
        <v>4527</v>
      </c>
      <c r="N358" s="149">
        <f>91-84</f>
        <v>7</v>
      </c>
      <c r="O358" s="149">
        <v>5133</v>
      </c>
      <c r="P358" s="224"/>
      <c r="Q358" s="224"/>
      <c r="R358" s="224"/>
      <c r="S358" s="224"/>
      <c r="T358" s="224"/>
      <c r="U358" s="224"/>
      <c r="V358" s="224"/>
      <c r="W358" s="224"/>
      <c r="X358" s="224"/>
      <c r="Y358" s="224"/>
      <c r="Z358" s="224"/>
      <c r="AA358" s="224"/>
      <c r="AB358" s="224"/>
      <c r="AC358" s="224"/>
      <c r="AD358" s="143" t="s">
        <v>2185</v>
      </c>
      <c r="AE358" s="143" t="s">
        <v>2254</v>
      </c>
    </row>
    <row r="359" spans="1:31" ht="24.95" customHeight="1" x14ac:dyDescent="0.2">
      <c r="A359" s="144">
        <v>664</v>
      </c>
      <c r="B359" s="145" t="s">
        <v>2596</v>
      </c>
      <c r="C359" s="146" t="s">
        <v>2309</v>
      </c>
      <c r="D359" s="146" t="s">
        <v>2368</v>
      </c>
      <c r="E359" s="147" t="s">
        <v>2265</v>
      </c>
      <c r="F359" s="148">
        <v>3405</v>
      </c>
      <c r="G359" s="149">
        <v>4800</v>
      </c>
      <c r="H359" s="149">
        <v>55</v>
      </c>
      <c r="I359" s="196"/>
      <c r="J359" s="149">
        <v>3522</v>
      </c>
      <c r="K359" s="149">
        <v>4346</v>
      </c>
      <c r="L359" s="149">
        <v>50</v>
      </c>
      <c r="M359" s="149">
        <v>3167</v>
      </c>
      <c r="N359" s="149">
        <v>3</v>
      </c>
      <c r="O359" s="149">
        <v>2866</v>
      </c>
      <c r="P359" s="224"/>
      <c r="Q359" s="224"/>
      <c r="R359" s="224"/>
      <c r="S359" s="224"/>
      <c r="T359" s="224"/>
      <c r="U359" s="224"/>
      <c r="V359" s="224"/>
      <c r="W359" s="224"/>
      <c r="X359" s="224"/>
      <c r="Y359" s="224"/>
      <c r="Z359" s="224"/>
      <c r="AA359" s="224"/>
      <c r="AB359" s="224"/>
      <c r="AC359" s="224"/>
      <c r="AD359" s="143" t="s">
        <v>2185</v>
      </c>
      <c r="AE359" s="143" t="s">
        <v>2254</v>
      </c>
    </row>
    <row r="360" spans="1:31" ht="24.95" customHeight="1" x14ac:dyDescent="0.2">
      <c r="A360" s="144">
        <v>665</v>
      </c>
      <c r="B360" s="145" t="s">
        <v>2597</v>
      </c>
      <c r="C360" s="146" t="s">
        <v>2222</v>
      </c>
      <c r="D360" s="146" t="s">
        <v>2222</v>
      </c>
      <c r="E360" s="147" t="s">
        <v>2310</v>
      </c>
      <c r="F360" s="148">
        <f>1245+920+6765</f>
        <v>8930</v>
      </c>
      <c r="G360" s="149">
        <f>15+1175+1067+3495</f>
        <v>5752</v>
      </c>
      <c r="H360" s="149">
        <v>97</v>
      </c>
      <c r="I360" s="196"/>
      <c r="J360" s="149">
        <v>0</v>
      </c>
      <c r="K360" s="149">
        <v>0</v>
      </c>
      <c r="L360" s="149">
        <v>0</v>
      </c>
      <c r="M360" s="149">
        <v>0</v>
      </c>
      <c r="N360" s="149">
        <v>0</v>
      </c>
      <c r="O360" s="149">
        <v>0</v>
      </c>
      <c r="P360" s="224"/>
      <c r="Q360" s="224"/>
      <c r="R360" s="224"/>
      <c r="S360" s="224"/>
      <c r="T360" s="224"/>
      <c r="U360" s="224"/>
      <c r="V360" s="224"/>
      <c r="W360" s="224"/>
      <c r="X360" s="224"/>
      <c r="Y360" s="224"/>
      <c r="Z360" s="224"/>
      <c r="AA360" s="224"/>
      <c r="AB360" s="224"/>
      <c r="AC360" s="224"/>
      <c r="AD360" s="143" t="s">
        <v>2598</v>
      </c>
      <c r="AE360" s="143" t="s">
        <v>2254</v>
      </c>
    </row>
    <row r="361" spans="1:31" ht="24.95" customHeight="1" x14ac:dyDescent="0.2">
      <c r="A361" s="144">
        <v>666</v>
      </c>
      <c r="B361" s="145" t="s">
        <v>2599</v>
      </c>
      <c r="C361" s="146" t="s">
        <v>2222</v>
      </c>
      <c r="D361" s="146" t="s">
        <v>2222</v>
      </c>
      <c r="E361" s="147" t="s">
        <v>2310</v>
      </c>
      <c r="F361" s="148">
        <v>4920</v>
      </c>
      <c r="G361" s="149">
        <f>280+981+476+922</f>
        <v>2659</v>
      </c>
      <c r="H361" s="149">
        <v>2166</v>
      </c>
      <c r="I361" s="196"/>
      <c r="J361" s="149">
        <v>0</v>
      </c>
      <c r="K361" s="149">
        <v>0</v>
      </c>
      <c r="L361" s="149">
        <v>0</v>
      </c>
      <c r="M361" s="149">
        <v>0</v>
      </c>
      <c r="N361" s="149">
        <v>0</v>
      </c>
      <c r="O361" s="149">
        <v>0</v>
      </c>
      <c r="P361" s="224"/>
      <c r="Q361" s="224"/>
      <c r="R361" s="224"/>
      <c r="S361" s="224"/>
      <c r="T361" s="224"/>
      <c r="U361" s="224"/>
      <c r="V361" s="224"/>
      <c r="W361" s="224"/>
      <c r="X361" s="224"/>
      <c r="Y361" s="224"/>
      <c r="Z361" s="224"/>
      <c r="AA361" s="224"/>
      <c r="AB361" s="224"/>
      <c r="AC361" s="224"/>
      <c r="AD361" s="143" t="s">
        <v>2517</v>
      </c>
      <c r="AE361" s="143" t="s">
        <v>2186</v>
      </c>
    </row>
    <row r="362" spans="1:31" ht="24.95" customHeight="1" x14ac:dyDescent="0.2">
      <c r="A362" s="144">
        <v>667</v>
      </c>
      <c r="B362" s="145" t="s">
        <v>2600</v>
      </c>
      <c r="C362" s="146" t="s">
        <v>2222</v>
      </c>
      <c r="D362" s="146" t="s">
        <v>2222</v>
      </c>
      <c r="E362" s="147" t="s">
        <v>2310</v>
      </c>
      <c r="F362" s="148">
        <v>10485</v>
      </c>
      <c r="G362" s="149">
        <f>1326+4729</f>
        <v>6055</v>
      </c>
      <c r="H362" s="149">
        <f>35+128</f>
        <v>163</v>
      </c>
      <c r="I362" s="196"/>
      <c r="J362" s="149">
        <v>0</v>
      </c>
      <c r="K362" s="149">
        <v>0</v>
      </c>
      <c r="L362" s="149">
        <v>0</v>
      </c>
      <c r="M362" s="149">
        <v>0</v>
      </c>
      <c r="N362" s="149">
        <v>0</v>
      </c>
      <c r="O362" s="149">
        <v>0</v>
      </c>
      <c r="P362" s="224"/>
      <c r="Q362" s="224"/>
      <c r="R362" s="224"/>
      <c r="S362" s="224"/>
      <c r="T362" s="224"/>
      <c r="U362" s="224"/>
      <c r="V362" s="224"/>
      <c r="W362" s="224"/>
      <c r="X362" s="224"/>
      <c r="Y362" s="224"/>
      <c r="Z362" s="224"/>
      <c r="AA362" s="224"/>
      <c r="AB362" s="224"/>
      <c r="AC362" s="224"/>
      <c r="AD362" s="143" t="s">
        <v>2601</v>
      </c>
      <c r="AE362" s="143" t="s">
        <v>2254</v>
      </c>
    </row>
    <row r="363" spans="1:31" ht="24.95" customHeight="1" x14ac:dyDescent="0.2">
      <c r="A363" s="144">
        <v>668</v>
      </c>
      <c r="B363" s="145" t="s">
        <v>2602</v>
      </c>
      <c r="C363" s="146" t="s">
        <v>2222</v>
      </c>
      <c r="D363" s="146" t="s">
        <v>2222</v>
      </c>
      <c r="E363" s="147" t="s">
        <v>2310</v>
      </c>
      <c r="F363" s="148">
        <f>435+8660</f>
        <v>9095</v>
      </c>
      <c r="G363" s="149">
        <f>1351+632</f>
        <v>1983</v>
      </c>
      <c r="H363" s="149">
        <f>24+72</f>
        <v>96</v>
      </c>
      <c r="I363" s="196"/>
      <c r="J363" s="149">
        <v>0</v>
      </c>
      <c r="K363" s="149">
        <v>0</v>
      </c>
      <c r="L363" s="149">
        <v>0</v>
      </c>
      <c r="M363" s="149">
        <v>0</v>
      </c>
      <c r="N363" s="149">
        <v>0</v>
      </c>
      <c r="O363" s="149">
        <v>0</v>
      </c>
      <c r="P363" s="224"/>
      <c r="Q363" s="224"/>
      <c r="R363" s="224"/>
      <c r="S363" s="224"/>
      <c r="T363" s="224"/>
      <c r="U363" s="224"/>
      <c r="V363" s="224"/>
      <c r="W363" s="224"/>
      <c r="X363" s="224"/>
      <c r="Y363" s="224"/>
      <c r="Z363" s="224"/>
      <c r="AA363" s="224"/>
      <c r="AB363" s="224"/>
      <c r="AC363" s="224"/>
      <c r="AD363" s="143" t="s">
        <v>2601</v>
      </c>
      <c r="AE363" s="143" t="s">
        <v>2254</v>
      </c>
    </row>
    <row r="364" spans="1:31" ht="24.95" customHeight="1" x14ac:dyDescent="0.2">
      <c r="A364" s="144">
        <v>669</v>
      </c>
      <c r="B364" s="145" t="s">
        <v>2603</v>
      </c>
      <c r="C364" s="146" t="s">
        <v>2222</v>
      </c>
      <c r="D364" s="146" t="s">
        <v>2222</v>
      </c>
      <c r="E364" s="147" t="s">
        <v>2310</v>
      </c>
      <c r="F364" s="148">
        <f>1655+5840</f>
        <v>7495</v>
      </c>
      <c r="G364" s="149">
        <f>155+410+635+795+1026+1+2946</f>
        <v>5968</v>
      </c>
      <c r="H364" s="149">
        <f>70+38</f>
        <v>108</v>
      </c>
      <c r="I364" s="196"/>
      <c r="J364" s="149">
        <v>0</v>
      </c>
      <c r="K364" s="149">
        <v>0</v>
      </c>
      <c r="L364" s="149">
        <v>0</v>
      </c>
      <c r="M364" s="149">
        <v>0</v>
      </c>
      <c r="N364" s="149">
        <v>0</v>
      </c>
      <c r="O364" s="149">
        <v>0</v>
      </c>
      <c r="P364" s="224"/>
      <c r="Q364" s="224"/>
      <c r="R364" s="224"/>
      <c r="S364" s="224"/>
      <c r="T364" s="224"/>
      <c r="U364" s="224"/>
      <c r="V364" s="224"/>
      <c r="W364" s="224"/>
      <c r="X364" s="224"/>
      <c r="Y364" s="224"/>
      <c r="Z364" s="224"/>
      <c r="AA364" s="224"/>
      <c r="AB364" s="224"/>
      <c r="AC364" s="224"/>
      <c r="AD364" s="143" t="s">
        <v>2601</v>
      </c>
      <c r="AE364" s="143" t="s">
        <v>2254</v>
      </c>
    </row>
    <row r="365" spans="1:31" ht="24.95" customHeight="1" x14ac:dyDescent="0.2">
      <c r="A365" s="144">
        <v>670</v>
      </c>
      <c r="B365" s="145" t="s">
        <v>2604</v>
      </c>
      <c r="C365" s="146" t="s">
        <v>2222</v>
      </c>
      <c r="D365" s="146" t="s">
        <v>2222</v>
      </c>
      <c r="E365" s="147" t="s">
        <v>2310</v>
      </c>
      <c r="F365" s="148">
        <f>2160+230+4230</f>
        <v>6620</v>
      </c>
      <c r="G365" s="149">
        <f>45+40+50+85+85+105+130+135+855+1255+1910+6295+45</f>
        <v>11035</v>
      </c>
      <c r="H365" s="149">
        <f>130+2600</f>
        <v>2730</v>
      </c>
      <c r="I365" s="196"/>
      <c r="J365" s="149">
        <v>0</v>
      </c>
      <c r="K365" s="149">
        <v>0</v>
      </c>
      <c r="L365" s="149">
        <v>0</v>
      </c>
      <c r="M365" s="149">
        <v>0</v>
      </c>
      <c r="N365" s="149">
        <v>0</v>
      </c>
      <c r="O365" s="149">
        <v>0</v>
      </c>
      <c r="P365" s="224"/>
      <c r="Q365" s="224"/>
      <c r="R365" s="224"/>
      <c r="S365" s="224"/>
      <c r="T365" s="224"/>
      <c r="U365" s="224"/>
      <c r="V365" s="224"/>
      <c r="W365" s="224"/>
      <c r="X365" s="224"/>
      <c r="Y365" s="224"/>
      <c r="Z365" s="224"/>
      <c r="AA365" s="224"/>
      <c r="AB365" s="224"/>
      <c r="AC365" s="224"/>
      <c r="AD365" s="143" t="s">
        <v>2517</v>
      </c>
      <c r="AE365" s="143" t="s">
        <v>2186</v>
      </c>
    </row>
    <row r="366" spans="1:31" ht="24.95" customHeight="1" x14ac:dyDescent="0.2">
      <c r="A366" s="144">
        <v>671</v>
      </c>
      <c r="B366" s="145" t="s">
        <v>2605</v>
      </c>
      <c r="C366" s="146" t="s">
        <v>2222</v>
      </c>
      <c r="D366" s="146" t="s">
        <v>2222</v>
      </c>
      <c r="E366" s="147" t="s">
        <v>2310</v>
      </c>
      <c r="F366" s="148">
        <v>4740</v>
      </c>
      <c r="G366" s="149">
        <f>10+95+115+861+1+871+3964</f>
        <v>5917</v>
      </c>
      <c r="H366" s="149">
        <v>4085</v>
      </c>
      <c r="I366" s="196"/>
      <c r="J366" s="149">
        <v>0</v>
      </c>
      <c r="K366" s="149">
        <v>0</v>
      </c>
      <c r="L366" s="149">
        <v>0</v>
      </c>
      <c r="M366" s="149">
        <v>0</v>
      </c>
      <c r="N366" s="149">
        <v>0</v>
      </c>
      <c r="O366" s="149">
        <v>0</v>
      </c>
      <c r="P366" s="224"/>
      <c r="Q366" s="224"/>
      <c r="R366" s="224"/>
      <c r="S366" s="224"/>
      <c r="T366" s="224"/>
      <c r="U366" s="224"/>
      <c r="V366" s="224"/>
      <c r="W366" s="224"/>
      <c r="X366" s="224"/>
      <c r="Y366" s="224"/>
      <c r="Z366" s="224"/>
      <c r="AA366" s="224"/>
      <c r="AB366" s="224"/>
      <c r="AC366" s="224"/>
      <c r="AD366" s="143" t="s">
        <v>2517</v>
      </c>
      <c r="AE366" s="143" t="s">
        <v>2186</v>
      </c>
    </row>
    <row r="367" spans="1:31" ht="24.95" customHeight="1" x14ac:dyDescent="0.2">
      <c r="A367" s="144">
        <v>672</v>
      </c>
      <c r="B367" s="145" t="s">
        <v>2606</v>
      </c>
      <c r="C367" s="146" t="s">
        <v>2250</v>
      </c>
      <c r="D367" s="146" t="s">
        <v>2250</v>
      </c>
      <c r="E367" s="147" t="s">
        <v>2310</v>
      </c>
      <c r="F367" s="148">
        <v>7345</v>
      </c>
      <c r="G367" s="149">
        <v>5240</v>
      </c>
      <c r="H367" s="149">
        <v>96</v>
      </c>
      <c r="I367" s="196"/>
      <c r="J367" s="149">
        <v>6247</v>
      </c>
      <c r="K367" s="149">
        <v>5240</v>
      </c>
      <c r="L367" s="149">
        <v>89</v>
      </c>
      <c r="M367" s="149">
        <v>4277</v>
      </c>
      <c r="N367" s="149">
        <v>0</v>
      </c>
      <c r="O367" s="149">
        <v>5111</v>
      </c>
      <c r="P367" s="224"/>
      <c r="Q367" s="224"/>
      <c r="R367" s="224"/>
      <c r="S367" s="224"/>
      <c r="T367" s="224"/>
      <c r="U367" s="224"/>
      <c r="V367" s="224"/>
      <c r="W367" s="224"/>
      <c r="X367" s="224"/>
      <c r="Y367" s="224"/>
      <c r="Z367" s="224"/>
      <c r="AA367" s="224"/>
      <c r="AB367" s="224"/>
      <c r="AC367" s="224"/>
      <c r="AD367" s="143" t="s">
        <v>2185</v>
      </c>
      <c r="AE367" s="143" t="s">
        <v>2254</v>
      </c>
    </row>
    <row r="368" spans="1:31" ht="24.95" customHeight="1" x14ac:dyDescent="0.2">
      <c r="A368" s="144">
        <v>673</v>
      </c>
      <c r="B368" s="145" t="s">
        <v>2607</v>
      </c>
      <c r="C368" s="146" t="s">
        <v>2250</v>
      </c>
      <c r="D368" s="146" t="s">
        <v>2250</v>
      </c>
      <c r="E368" s="147" t="s">
        <v>2310</v>
      </c>
      <c r="F368" s="148">
        <v>3505</v>
      </c>
      <c r="G368" s="149">
        <v>4455</v>
      </c>
      <c r="H368" s="149">
        <v>53</v>
      </c>
      <c r="I368" s="196"/>
      <c r="J368" s="149">
        <v>3509</v>
      </c>
      <c r="K368" s="149">
        <v>4455</v>
      </c>
      <c r="L368" s="149">
        <v>48</v>
      </c>
      <c r="M368" s="149">
        <v>2419</v>
      </c>
      <c r="N368" s="149">
        <v>1</v>
      </c>
      <c r="O368" s="149">
        <v>3160</v>
      </c>
      <c r="P368" s="224"/>
      <c r="Q368" s="224"/>
      <c r="R368" s="224"/>
      <c r="S368" s="224"/>
      <c r="T368" s="224"/>
      <c r="U368" s="224"/>
      <c r="V368" s="224"/>
      <c r="W368" s="224"/>
      <c r="X368" s="224"/>
      <c r="Y368" s="224"/>
      <c r="Z368" s="224"/>
      <c r="AA368" s="224"/>
      <c r="AB368" s="224"/>
      <c r="AC368" s="224"/>
      <c r="AD368" s="143" t="s">
        <v>2185</v>
      </c>
      <c r="AE368" s="143" t="s">
        <v>2254</v>
      </c>
    </row>
    <row r="369" spans="1:31" ht="24.95" customHeight="1" x14ac:dyDescent="0.2">
      <c r="A369" s="144">
        <v>674</v>
      </c>
      <c r="B369" s="145" t="s">
        <v>2608</v>
      </c>
      <c r="C369" s="146" t="s">
        <v>2250</v>
      </c>
      <c r="D369" s="146" t="s">
        <v>2250</v>
      </c>
      <c r="E369" s="147" t="s">
        <v>2223</v>
      </c>
      <c r="F369" s="148">
        <v>8535</v>
      </c>
      <c r="G369" s="149">
        <v>4235</v>
      </c>
      <c r="H369" s="149">
        <v>124</v>
      </c>
      <c r="I369" s="196"/>
      <c r="J369" s="149">
        <v>8585</v>
      </c>
      <c r="K369" s="149">
        <v>4235</v>
      </c>
      <c r="L369" s="149">
        <v>124</v>
      </c>
      <c r="M369" s="149">
        <v>5636</v>
      </c>
      <c r="N369" s="149">
        <v>1</v>
      </c>
      <c r="O369" s="149">
        <v>7132</v>
      </c>
      <c r="P369" s="224"/>
      <c r="Q369" s="224"/>
      <c r="R369" s="224"/>
      <c r="S369" s="224"/>
      <c r="T369" s="224"/>
      <c r="U369" s="224"/>
      <c r="V369" s="224"/>
      <c r="W369" s="224"/>
      <c r="X369" s="224"/>
      <c r="Y369" s="224"/>
      <c r="Z369" s="224"/>
      <c r="AA369" s="224"/>
      <c r="AB369" s="224"/>
      <c r="AC369" s="224"/>
      <c r="AD369" s="143" t="s">
        <v>2185</v>
      </c>
      <c r="AE369" s="143" t="s">
        <v>2254</v>
      </c>
    </row>
    <row r="370" spans="1:31" ht="24.95" customHeight="1" x14ac:dyDescent="0.2">
      <c r="A370" s="144">
        <v>675</v>
      </c>
      <c r="B370" s="150" t="s">
        <v>2609</v>
      </c>
      <c r="C370" s="146" t="s">
        <v>2250</v>
      </c>
      <c r="D370" s="146" t="s">
        <v>2250</v>
      </c>
      <c r="E370" s="147" t="s">
        <v>2223</v>
      </c>
      <c r="F370" s="148">
        <v>2157</v>
      </c>
      <c r="G370" s="149">
        <v>2469</v>
      </c>
      <c r="H370" s="149">
        <v>16</v>
      </c>
      <c r="I370" s="196"/>
      <c r="J370" s="149">
        <v>1835</v>
      </c>
      <c r="K370" s="149">
        <v>2469</v>
      </c>
      <c r="L370" s="149">
        <v>7</v>
      </c>
      <c r="M370" s="149">
        <v>490</v>
      </c>
      <c r="N370" s="149">
        <v>1</v>
      </c>
      <c r="O370" s="149">
        <v>528</v>
      </c>
      <c r="P370" s="224"/>
      <c r="Q370" s="224"/>
      <c r="R370" s="224"/>
      <c r="S370" s="224"/>
      <c r="T370" s="224"/>
      <c r="U370" s="224"/>
      <c r="V370" s="224"/>
      <c r="W370" s="224"/>
      <c r="X370" s="224"/>
      <c r="Y370" s="224"/>
      <c r="Z370" s="224"/>
      <c r="AA370" s="224"/>
      <c r="AB370" s="224"/>
      <c r="AC370" s="224"/>
      <c r="AD370" s="143" t="s">
        <v>2185</v>
      </c>
      <c r="AE370" s="143" t="s">
        <v>2254</v>
      </c>
    </row>
    <row r="371" spans="1:31" ht="24.95" customHeight="1" x14ac:dyDescent="0.2">
      <c r="A371" s="144">
        <v>676</v>
      </c>
      <c r="B371" s="145" t="s">
        <v>2610</v>
      </c>
      <c r="C371" s="146" t="s">
        <v>2250</v>
      </c>
      <c r="D371" s="146" t="s">
        <v>2611</v>
      </c>
      <c r="E371" s="147" t="s">
        <v>2310</v>
      </c>
      <c r="F371" s="148">
        <f>10840+1795</f>
        <v>12635</v>
      </c>
      <c r="G371" s="149">
        <f>9271-37-59</f>
        <v>9175</v>
      </c>
      <c r="H371" s="149">
        <v>160</v>
      </c>
      <c r="I371" s="196"/>
      <c r="J371" s="149">
        <v>13196</v>
      </c>
      <c r="K371" s="149">
        <v>9175</v>
      </c>
      <c r="L371" s="149">
        <v>164</v>
      </c>
      <c r="M371" s="149">
        <v>7246</v>
      </c>
      <c r="N371" s="149">
        <v>0</v>
      </c>
      <c r="O371" s="149">
        <v>10275</v>
      </c>
      <c r="P371" s="224"/>
      <c r="Q371" s="224"/>
      <c r="R371" s="224"/>
      <c r="S371" s="224"/>
      <c r="T371" s="224"/>
      <c r="U371" s="224"/>
      <c r="V371" s="224"/>
      <c r="W371" s="224"/>
      <c r="X371" s="224"/>
      <c r="Y371" s="224"/>
      <c r="Z371" s="224"/>
      <c r="AA371" s="224"/>
      <c r="AB371" s="224"/>
      <c r="AC371" s="224"/>
      <c r="AD371" s="143" t="s">
        <v>2185</v>
      </c>
      <c r="AE371" s="143" t="s">
        <v>2254</v>
      </c>
    </row>
    <row r="372" spans="1:31" ht="24.95" customHeight="1" x14ac:dyDescent="0.2">
      <c r="A372" s="144">
        <v>677</v>
      </c>
      <c r="B372" s="145" t="s">
        <v>2612</v>
      </c>
      <c r="C372" s="146" t="s">
        <v>2250</v>
      </c>
      <c r="D372" s="146" t="s">
        <v>2611</v>
      </c>
      <c r="E372" s="147" t="s">
        <v>2310</v>
      </c>
      <c r="F372" s="148">
        <v>12130</v>
      </c>
      <c r="G372" s="149">
        <v>9500</v>
      </c>
      <c r="H372" s="149">
        <v>149</v>
      </c>
      <c r="I372" s="196"/>
      <c r="J372" s="149">
        <v>11662</v>
      </c>
      <c r="K372" s="149">
        <v>9460</v>
      </c>
      <c r="L372" s="149">
        <v>143</v>
      </c>
      <c r="M372" s="149">
        <v>6682</v>
      </c>
      <c r="N372" s="149">
        <v>1</v>
      </c>
      <c r="O372" s="149">
        <v>9434</v>
      </c>
      <c r="P372" s="224"/>
      <c r="Q372" s="224"/>
      <c r="R372" s="224"/>
      <c r="S372" s="224"/>
      <c r="T372" s="224"/>
      <c r="U372" s="224"/>
      <c r="V372" s="224"/>
      <c r="W372" s="224"/>
      <c r="X372" s="224"/>
      <c r="Y372" s="224"/>
      <c r="Z372" s="224"/>
      <c r="AA372" s="224"/>
      <c r="AB372" s="224"/>
      <c r="AC372" s="224"/>
      <c r="AD372" s="143" t="s">
        <v>2185</v>
      </c>
      <c r="AE372" s="143" t="s">
        <v>2254</v>
      </c>
    </row>
    <row r="373" spans="1:31" ht="24.95" customHeight="1" x14ac:dyDescent="0.2">
      <c r="A373" s="144">
        <v>678</v>
      </c>
      <c r="B373" s="145" t="s">
        <v>2613</v>
      </c>
      <c r="C373" s="146" t="s">
        <v>2250</v>
      </c>
      <c r="D373" s="146" t="s">
        <v>2250</v>
      </c>
      <c r="E373" s="147" t="s">
        <v>2310</v>
      </c>
      <c r="F373" s="148">
        <v>13090</v>
      </c>
      <c r="G373" s="149">
        <v>8435</v>
      </c>
      <c r="H373" s="149">
        <v>184</v>
      </c>
      <c r="I373" s="196"/>
      <c r="J373" s="149">
        <v>0</v>
      </c>
      <c r="K373" s="149">
        <v>0</v>
      </c>
      <c r="L373" s="149">
        <v>0</v>
      </c>
      <c r="M373" s="149">
        <v>0</v>
      </c>
      <c r="N373" s="149">
        <v>0</v>
      </c>
      <c r="O373" s="149">
        <v>0</v>
      </c>
      <c r="P373" s="224"/>
      <c r="Q373" s="224"/>
      <c r="R373" s="224"/>
      <c r="S373" s="224"/>
      <c r="T373" s="224"/>
      <c r="U373" s="224"/>
      <c r="V373" s="224"/>
      <c r="W373" s="224"/>
      <c r="X373" s="224"/>
      <c r="Y373" s="224"/>
      <c r="Z373" s="224"/>
      <c r="AA373" s="224"/>
      <c r="AB373" s="224"/>
      <c r="AC373" s="224"/>
      <c r="AD373" s="143" t="s">
        <v>2185</v>
      </c>
      <c r="AE373" s="143" t="s">
        <v>2254</v>
      </c>
    </row>
    <row r="374" spans="1:31" ht="24.95" customHeight="1" x14ac:dyDescent="0.2">
      <c r="A374" s="144">
        <v>679</v>
      </c>
      <c r="B374" s="145" t="s">
        <v>2614</v>
      </c>
      <c r="C374" s="146" t="s">
        <v>2250</v>
      </c>
      <c r="D374" s="146" t="s">
        <v>2250</v>
      </c>
      <c r="E374" s="147" t="s">
        <v>2310</v>
      </c>
      <c r="F374" s="148">
        <v>8880</v>
      </c>
      <c r="G374" s="149">
        <v>5645</v>
      </c>
      <c r="H374" s="149">
        <v>119</v>
      </c>
      <c r="I374" s="196"/>
      <c r="J374" s="149">
        <v>9190</v>
      </c>
      <c r="K374" s="149">
        <v>5645</v>
      </c>
      <c r="L374" s="149">
        <v>118</v>
      </c>
      <c r="M374" s="149">
        <v>5006</v>
      </c>
      <c r="N374" s="149">
        <v>0</v>
      </c>
      <c r="O374" s="149">
        <v>7221</v>
      </c>
      <c r="P374" s="224"/>
      <c r="Q374" s="224"/>
      <c r="R374" s="224"/>
      <c r="S374" s="224"/>
      <c r="T374" s="224"/>
      <c r="U374" s="224"/>
      <c r="V374" s="224"/>
      <c r="W374" s="224"/>
      <c r="X374" s="224"/>
      <c r="Y374" s="224"/>
      <c r="Z374" s="224"/>
      <c r="AA374" s="224"/>
      <c r="AB374" s="224"/>
      <c r="AC374" s="224"/>
      <c r="AD374" s="143" t="s">
        <v>2185</v>
      </c>
      <c r="AE374" s="143" t="s">
        <v>2254</v>
      </c>
    </row>
    <row r="375" spans="1:31" ht="24.95" customHeight="1" x14ac:dyDescent="0.2">
      <c r="A375" s="144">
        <v>680</v>
      </c>
      <c r="B375" s="145" t="s">
        <v>2615</v>
      </c>
      <c r="C375" s="146" t="s">
        <v>2250</v>
      </c>
      <c r="D375" s="146" t="s">
        <v>2250</v>
      </c>
      <c r="E375" s="147" t="s">
        <v>2310</v>
      </c>
      <c r="F375" s="148">
        <v>8545</v>
      </c>
      <c r="G375" s="149">
        <v>5615</v>
      </c>
      <c r="H375" s="149">
        <v>130</v>
      </c>
      <c r="I375" s="196"/>
      <c r="J375" s="149">
        <v>8745</v>
      </c>
      <c r="K375" s="149">
        <v>6315</v>
      </c>
      <c r="L375" s="149">
        <v>130</v>
      </c>
      <c r="M375" s="149">
        <v>6285</v>
      </c>
      <c r="N375" s="149">
        <v>0</v>
      </c>
      <c r="O375" s="149">
        <v>6084</v>
      </c>
      <c r="P375" s="224"/>
      <c r="Q375" s="224"/>
      <c r="R375" s="224"/>
      <c r="S375" s="224"/>
      <c r="T375" s="224"/>
      <c r="U375" s="224"/>
      <c r="V375" s="224"/>
      <c r="W375" s="224"/>
      <c r="X375" s="224"/>
      <c r="Y375" s="224"/>
      <c r="Z375" s="224"/>
      <c r="AA375" s="224"/>
      <c r="AB375" s="224"/>
      <c r="AC375" s="224"/>
      <c r="AD375" s="143" t="s">
        <v>2185</v>
      </c>
      <c r="AE375" s="143" t="s">
        <v>2254</v>
      </c>
    </row>
    <row r="376" spans="1:31" ht="24.95" customHeight="1" x14ac:dyDescent="0.2">
      <c r="A376" s="144">
        <v>682</v>
      </c>
      <c r="B376" s="145" t="s">
        <v>2616</v>
      </c>
      <c r="C376" s="146" t="s">
        <v>2250</v>
      </c>
      <c r="D376" s="146" t="s">
        <v>2250</v>
      </c>
      <c r="E376" s="147" t="s">
        <v>2310</v>
      </c>
      <c r="F376" s="148">
        <f>9240+2380</f>
        <v>11620</v>
      </c>
      <c r="G376" s="149">
        <v>9975</v>
      </c>
      <c r="H376" s="149">
        <v>148</v>
      </c>
      <c r="I376" s="196"/>
      <c r="J376" s="149">
        <v>11813</v>
      </c>
      <c r="K376" s="149">
        <v>9975</v>
      </c>
      <c r="L376" s="149">
        <v>148</v>
      </c>
      <c r="M376" s="149">
        <v>6526</v>
      </c>
      <c r="N376" s="149">
        <v>1</v>
      </c>
      <c r="O376" s="149">
        <v>7756</v>
      </c>
      <c r="P376" s="224"/>
      <c r="Q376" s="224"/>
      <c r="R376" s="224"/>
      <c r="S376" s="224"/>
      <c r="T376" s="224"/>
      <c r="U376" s="224"/>
      <c r="V376" s="224"/>
      <c r="W376" s="224"/>
      <c r="X376" s="224"/>
      <c r="Y376" s="224"/>
      <c r="Z376" s="224"/>
      <c r="AA376" s="224"/>
      <c r="AB376" s="224"/>
      <c r="AC376" s="224"/>
      <c r="AD376" s="143" t="s">
        <v>2185</v>
      </c>
      <c r="AE376" s="143" t="s">
        <v>2254</v>
      </c>
    </row>
    <row r="377" spans="1:31" ht="24.95" customHeight="1" x14ac:dyDescent="0.2">
      <c r="A377" s="144">
        <v>683</v>
      </c>
      <c r="B377" s="145" t="s">
        <v>2617</v>
      </c>
      <c r="C377" s="146" t="s">
        <v>2250</v>
      </c>
      <c r="D377" s="146" t="s">
        <v>2250</v>
      </c>
      <c r="E377" s="147" t="s">
        <v>2223</v>
      </c>
      <c r="F377" s="148">
        <v>10155</v>
      </c>
      <c r="G377" s="149">
        <v>5775</v>
      </c>
      <c r="H377" s="149">
        <v>114</v>
      </c>
      <c r="I377" s="196"/>
      <c r="J377" s="149">
        <v>10122</v>
      </c>
      <c r="K377" s="149">
        <v>5775</v>
      </c>
      <c r="L377" s="149">
        <v>112</v>
      </c>
      <c r="M377" s="149">
        <v>5302</v>
      </c>
      <c r="N377" s="149">
        <v>0</v>
      </c>
      <c r="O377" s="149">
        <v>7321</v>
      </c>
      <c r="P377" s="224"/>
      <c r="Q377" s="224"/>
      <c r="R377" s="224"/>
      <c r="S377" s="224"/>
      <c r="T377" s="224"/>
      <c r="U377" s="224"/>
      <c r="V377" s="224"/>
      <c r="W377" s="224"/>
      <c r="X377" s="224"/>
      <c r="Y377" s="224"/>
      <c r="Z377" s="224"/>
      <c r="AA377" s="224"/>
      <c r="AB377" s="224"/>
      <c r="AC377" s="224"/>
      <c r="AD377" s="143" t="s">
        <v>2185</v>
      </c>
      <c r="AE377" s="143" t="s">
        <v>2254</v>
      </c>
    </row>
    <row r="378" spans="1:31" ht="24.95" customHeight="1" x14ac:dyDescent="0.2">
      <c r="A378" s="144">
        <v>684</v>
      </c>
      <c r="B378" s="145" t="s">
        <v>2618</v>
      </c>
      <c r="C378" s="146" t="s">
        <v>2250</v>
      </c>
      <c r="D378" s="146" t="s">
        <v>2250</v>
      </c>
      <c r="E378" s="147" t="s">
        <v>2310</v>
      </c>
      <c r="F378" s="148">
        <f>2705+3350</f>
        <v>6055</v>
      </c>
      <c r="G378" s="149">
        <f>10501-3900-1</f>
        <v>6600</v>
      </c>
      <c r="H378" s="149">
        <v>60</v>
      </c>
      <c r="I378" s="196"/>
      <c r="J378" s="149">
        <v>5954</v>
      </c>
      <c r="K378" s="149">
        <v>6600</v>
      </c>
      <c r="L378" s="149">
        <v>60</v>
      </c>
      <c r="M378" s="149">
        <v>4670</v>
      </c>
      <c r="N378" s="149">
        <v>0</v>
      </c>
      <c r="O378" s="149">
        <v>3743</v>
      </c>
      <c r="P378" s="224"/>
      <c r="Q378" s="224"/>
      <c r="R378" s="224"/>
      <c r="S378" s="224"/>
      <c r="T378" s="224"/>
      <c r="U378" s="224"/>
      <c r="V378" s="224"/>
      <c r="W378" s="224"/>
      <c r="X378" s="224"/>
      <c r="Y378" s="224"/>
      <c r="Z378" s="224"/>
      <c r="AA378" s="224"/>
      <c r="AB378" s="224"/>
      <c r="AC378" s="224"/>
      <c r="AD378" s="143" t="s">
        <v>2185</v>
      </c>
      <c r="AE378" s="143" t="s">
        <v>2254</v>
      </c>
    </row>
    <row r="379" spans="1:31" ht="24.95" customHeight="1" x14ac:dyDescent="0.2">
      <c r="A379" s="144">
        <v>685</v>
      </c>
      <c r="B379" s="145" t="s">
        <v>2619</v>
      </c>
      <c r="C379" s="146" t="s">
        <v>2250</v>
      </c>
      <c r="D379" s="146" t="s">
        <v>2250</v>
      </c>
      <c r="E379" s="147" t="s">
        <v>2223</v>
      </c>
      <c r="F379" s="148">
        <v>9340</v>
      </c>
      <c r="G379" s="149">
        <v>4015</v>
      </c>
      <c r="H379" s="149">
        <v>118</v>
      </c>
      <c r="I379" s="196"/>
      <c r="J379" s="149">
        <v>9438</v>
      </c>
      <c r="K379" s="149">
        <v>4535</v>
      </c>
      <c r="L379" s="149">
        <v>117</v>
      </c>
      <c r="M379" s="149">
        <v>4622</v>
      </c>
      <c r="N379" s="149">
        <v>1</v>
      </c>
      <c r="O379" s="149">
        <v>6768</v>
      </c>
      <c r="P379" s="224"/>
      <c r="Q379" s="224"/>
      <c r="R379" s="224"/>
      <c r="S379" s="224"/>
      <c r="T379" s="224"/>
      <c r="U379" s="224"/>
      <c r="V379" s="224"/>
      <c r="W379" s="224"/>
      <c r="X379" s="224"/>
      <c r="Y379" s="224"/>
      <c r="Z379" s="224"/>
      <c r="AA379" s="224"/>
      <c r="AB379" s="224"/>
      <c r="AC379" s="224"/>
      <c r="AD379" s="143" t="s">
        <v>2185</v>
      </c>
      <c r="AE379" s="143" t="s">
        <v>2254</v>
      </c>
    </row>
    <row r="380" spans="1:31" ht="24.95" customHeight="1" x14ac:dyDescent="0.2">
      <c r="A380" s="144">
        <v>710</v>
      </c>
      <c r="B380" s="145" t="s">
        <v>2620</v>
      </c>
      <c r="C380" s="146" t="s">
        <v>2222</v>
      </c>
      <c r="D380" s="146" t="s">
        <v>2222</v>
      </c>
      <c r="E380" s="147" t="s">
        <v>2310</v>
      </c>
      <c r="F380" s="148">
        <v>2520</v>
      </c>
      <c r="G380" s="149">
        <v>1091</v>
      </c>
      <c r="H380" s="149">
        <v>72</v>
      </c>
      <c r="I380" s="196"/>
      <c r="J380" s="149">
        <v>0</v>
      </c>
      <c r="K380" s="149">
        <v>0</v>
      </c>
      <c r="L380" s="149">
        <v>0</v>
      </c>
      <c r="M380" s="149">
        <v>0</v>
      </c>
      <c r="N380" s="149">
        <v>0</v>
      </c>
      <c r="O380" s="149">
        <v>0</v>
      </c>
      <c r="P380" s="224"/>
      <c r="Q380" s="224"/>
      <c r="R380" s="224"/>
      <c r="S380" s="224"/>
      <c r="T380" s="224"/>
      <c r="U380" s="224"/>
      <c r="V380" s="224"/>
      <c r="W380" s="224"/>
      <c r="X380" s="224"/>
      <c r="Y380" s="224"/>
      <c r="Z380" s="224"/>
      <c r="AA380" s="224"/>
      <c r="AB380" s="224"/>
      <c r="AC380" s="224"/>
      <c r="AD380" s="143" t="s">
        <v>2185</v>
      </c>
      <c r="AE380" s="143" t="s">
        <v>2254</v>
      </c>
    </row>
    <row r="381" spans="1:31" ht="24.95" customHeight="1" x14ac:dyDescent="0.2">
      <c r="A381" s="144">
        <v>711</v>
      </c>
      <c r="B381" s="145" t="s">
        <v>2621</v>
      </c>
      <c r="C381" s="146" t="s">
        <v>2222</v>
      </c>
      <c r="D381" s="146" t="s">
        <v>2222</v>
      </c>
      <c r="E381" s="147" t="s">
        <v>2310</v>
      </c>
      <c r="F381" s="148">
        <v>3660</v>
      </c>
      <c r="G381" s="149">
        <f>20+40+5250+1+106</f>
        <v>5417</v>
      </c>
      <c r="H381" s="149">
        <v>3541</v>
      </c>
      <c r="I381" s="196"/>
      <c r="J381" s="149">
        <v>0</v>
      </c>
      <c r="K381" s="149">
        <v>0</v>
      </c>
      <c r="L381" s="149">
        <v>0</v>
      </c>
      <c r="M381" s="149">
        <v>0</v>
      </c>
      <c r="N381" s="149">
        <v>0</v>
      </c>
      <c r="O381" s="149">
        <v>0</v>
      </c>
      <c r="P381" s="224"/>
      <c r="Q381" s="224"/>
      <c r="R381" s="224"/>
      <c r="S381" s="224"/>
      <c r="T381" s="224"/>
      <c r="U381" s="224"/>
      <c r="V381" s="224"/>
      <c r="W381" s="224"/>
      <c r="X381" s="224"/>
      <c r="Y381" s="224"/>
      <c r="Z381" s="224"/>
      <c r="AA381" s="224"/>
      <c r="AB381" s="224"/>
      <c r="AC381" s="224"/>
      <c r="AD381" s="143" t="s">
        <v>2598</v>
      </c>
      <c r="AE381" s="143" t="s">
        <v>2186</v>
      </c>
    </row>
    <row r="382" spans="1:31" ht="24.95" customHeight="1" x14ac:dyDescent="0.2">
      <c r="A382" s="144">
        <v>712</v>
      </c>
      <c r="B382" s="145" t="s">
        <v>2622</v>
      </c>
      <c r="C382" s="146" t="s">
        <v>2222</v>
      </c>
      <c r="D382" s="146" t="s">
        <v>2222</v>
      </c>
      <c r="E382" s="147" t="s">
        <v>2223</v>
      </c>
      <c r="F382" s="148">
        <v>4800</v>
      </c>
      <c r="G382" s="149">
        <f>70+2713</f>
        <v>2783</v>
      </c>
      <c r="H382" s="149">
        <v>65</v>
      </c>
      <c r="I382" s="196"/>
      <c r="J382" s="149">
        <v>0</v>
      </c>
      <c r="K382" s="149">
        <v>0</v>
      </c>
      <c r="L382" s="149">
        <v>0</v>
      </c>
      <c r="M382" s="149">
        <v>0</v>
      </c>
      <c r="N382" s="149">
        <v>0</v>
      </c>
      <c r="O382" s="149">
        <v>0</v>
      </c>
      <c r="P382" s="224"/>
      <c r="Q382" s="224"/>
      <c r="R382" s="224"/>
      <c r="S382" s="224"/>
      <c r="T382" s="224"/>
      <c r="U382" s="224"/>
      <c r="V382" s="224"/>
      <c r="W382" s="224"/>
      <c r="X382" s="224"/>
      <c r="Y382" s="224"/>
      <c r="Z382" s="224"/>
      <c r="AA382" s="224"/>
      <c r="AB382" s="224"/>
      <c r="AC382" s="224"/>
      <c r="AD382" s="143" t="s">
        <v>2185</v>
      </c>
      <c r="AE382" s="143" t="s">
        <v>2254</v>
      </c>
    </row>
    <row r="383" spans="1:31" ht="24.95" customHeight="1" x14ac:dyDescent="0.2">
      <c r="A383" s="144">
        <v>713</v>
      </c>
      <c r="B383" s="145" t="s">
        <v>2623</v>
      </c>
      <c r="C383" s="146" t="s">
        <v>2222</v>
      </c>
      <c r="D383" s="146" t="s">
        <v>2222</v>
      </c>
      <c r="E383" s="147" t="s">
        <v>2310</v>
      </c>
      <c r="F383" s="148">
        <f>4695+4565</f>
        <v>9260</v>
      </c>
      <c r="G383" s="149">
        <f>20+50+630+1+1321+4421</f>
        <v>6443</v>
      </c>
      <c r="H383" s="149">
        <v>133</v>
      </c>
      <c r="I383" s="196"/>
      <c r="J383" s="149">
        <v>0</v>
      </c>
      <c r="K383" s="149">
        <v>0</v>
      </c>
      <c r="L383" s="149">
        <v>0</v>
      </c>
      <c r="M383" s="149">
        <v>0</v>
      </c>
      <c r="N383" s="149">
        <v>0</v>
      </c>
      <c r="O383" s="149">
        <v>0</v>
      </c>
      <c r="P383" s="224"/>
      <c r="Q383" s="224"/>
      <c r="R383" s="224"/>
      <c r="S383" s="224"/>
      <c r="T383" s="224"/>
      <c r="U383" s="224"/>
      <c r="V383" s="224"/>
      <c r="W383" s="224"/>
      <c r="X383" s="224"/>
      <c r="Y383" s="224"/>
      <c r="Z383" s="224"/>
      <c r="AA383" s="224"/>
      <c r="AB383" s="224"/>
      <c r="AC383" s="224"/>
      <c r="AD383" s="143" t="s">
        <v>2185</v>
      </c>
      <c r="AE383" s="143" t="s">
        <v>2254</v>
      </c>
    </row>
    <row r="384" spans="1:31" ht="24.95" customHeight="1" x14ac:dyDescent="0.2">
      <c r="A384" s="144">
        <v>715</v>
      </c>
      <c r="B384" s="150" t="s">
        <v>2624</v>
      </c>
      <c r="C384" s="146" t="s">
        <v>2222</v>
      </c>
      <c r="D384" s="146" t="s">
        <v>2222</v>
      </c>
      <c r="E384" s="147" t="s">
        <v>2223</v>
      </c>
      <c r="F384" s="148">
        <v>4535</v>
      </c>
      <c r="G384" s="149">
        <v>4360</v>
      </c>
      <c r="H384" s="149">
        <v>145</v>
      </c>
      <c r="I384" s="196"/>
      <c r="J384" s="149">
        <v>5266</v>
      </c>
      <c r="K384" s="149">
        <v>4360</v>
      </c>
      <c r="L384" s="149">
        <v>98</v>
      </c>
      <c r="M384" s="149">
        <v>7635</v>
      </c>
      <c r="N384" s="149">
        <v>17</v>
      </c>
      <c r="O384" s="149">
        <v>7654</v>
      </c>
      <c r="P384" s="224"/>
      <c r="Q384" s="224"/>
      <c r="R384" s="224"/>
      <c r="S384" s="224"/>
      <c r="T384" s="224"/>
      <c r="U384" s="224"/>
      <c r="V384" s="224"/>
      <c r="W384" s="224"/>
      <c r="X384" s="224"/>
      <c r="Y384" s="224"/>
      <c r="Z384" s="224"/>
      <c r="AA384" s="224"/>
      <c r="AB384" s="224"/>
      <c r="AC384" s="224"/>
      <c r="AD384" s="143" t="s">
        <v>2185</v>
      </c>
      <c r="AE384" s="143" t="s">
        <v>2254</v>
      </c>
    </row>
    <row r="385" spans="1:31" ht="24.95" customHeight="1" x14ac:dyDescent="0.2">
      <c r="A385" s="144">
        <v>716</v>
      </c>
      <c r="B385" s="145" t="s">
        <v>2625</v>
      </c>
      <c r="C385" s="146" t="s">
        <v>2222</v>
      </c>
      <c r="D385" s="146" t="s">
        <v>2222</v>
      </c>
      <c r="E385" s="147" t="s">
        <v>2310</v>
      </c>
      <c r="F385" s="148">
        <v>2595</v>
      </c>
      <c r="G385" s="149">
        <f>40+295+1230+40+4370</f>
        <v>5975</v>
      </c>
      <c r="H385" s="149">
        <v>1717</v>
      </c>
      <c r="I385" s="196"/>
      <c r="J385" s="149">
        <v>0</v>
      </c>
      <c r="K385" s="149">
        <v>0</v>
      </c>
      <c r="L385" s="149">
        <v>0</v>
      </c>
      <c r="M385" s="149">
        <v>0</v>
      </c>
      <c r="N385" s="149">
        <v>0</v>
      </c>
      <c r="O385" s="149">
        <v>0</v>
      </c>
      <c r="P385" s="224"/>
      <c r="Q385" s="224"/>
      <c r="R385" s="224"/>
      <c r="S385" s="224"/>
      <c r="T385" s="224"/>
      <c r="U385" s="224"/>
      <c r="V385" s="224"/>
      <c r="W385" s="224"/>
      <c r="X385" s="224"/>
      <c r="Y385" s="224"/>
      <c r="Z385" s="224"/>
      <c r="AA385" s="224"/>
      <c r="AB385" s="224"/>
      <c r="AC385" s="224"/>
      <c r="AD385" s="143" t="s">
        <v>2347</v>
      </c>
      <c r="AE385" s="143" t="s">
        <v>2254</v>
      </c>
    </row>
    <row r="386" spans="1:31" ht="24.95" customHeight="1" x14ac:dyDescent="0.2">
      <c r="A386" s="144">
        <v>717</v>
      </c>
      <c r="B386" s="145" t="s">
        <v>2626</v>
      </c>
      <c r="C386" s="146" t="s">
        <v>2222</v>
      </c>
      <c r="D386" s="146" t="s">
        <v>2222</v>
      </c>
      <c r="E386" s="147" t="s">
        <v>2310</v>
      </c>
      <c r="F386" s="148">
        <f>15+8280</f>
        <v>8295</v>
      </c>
      <c r="G386" s="149">
        <f>10+1140+1945+2233</f>
        <v>5328</v>
      </c>
      <c r="H386" s="149">
        <f>20+4711</f>
        <v>4731</v>
      </c>
      <c r="I386" s="196"/>
      <c r="J386" s="149">
        <v>0</v>
      </c>
      <c r="K386" s="149">
        <v>0</v>
      </c>
      <c r="L386" s="149">
        <v>0</v>
      </c>
      <c r="M386" s="149">
        <v>0</v>
      </c>
      <c r="N386" s="149">
        <v>0</v>
      </c>
      <c r="O386" s="149">
        <v>0</v>
      </c>
      <c r="P386" s="224"/>
      <c r="Q386" s="224"/>
      <c r="R386" s="224"/>
      <c r="S386" s="224"/>
      <c r="T386" s="224"/>
      <c r="U386" s="224"/>
      <c r="V386" s="224"/>
      <c r="W386" s="224"/>
      <c r="X386" s="224"/>
      <c r="Y386" s="224"/>
      <c r="Z386" s="224"/>
      <c r="AA386" s="224"/>
      <c r="AB386" s="224"/>
      <c r="AC386" s="224"/>
      <c r="AD386" s="143" t="s">
        <v>2517</v>
      </c>
      <c r="AE386" s="143" t="s">
        <v>2186</v>
      </c>
    </row>
    <row r="387" spans="1:31" ht="24.95" customHeight="1" x14ac:dyDescent="0.2">
      <c r="A387" s="144">
        <v>718</v>
      </c>
      <c r="B387" s="145" t="s">
        <v>2627</v>
      </c>
      <c r="C387" s="146" t="s">
        <v>2222</v>
      </c>
      <c r="D387" s="146" t="s">
        <v>2222</v>
      </c>
      <c r="E387" s="147" t="s">
        <v>2310</v>
      </c>
      <c r="F387" s="148">
        <v>5380</v>
      </c>
      <c r="G387" s="149">
        <f>365+2+5551+56+471</f>
        <v>6445</v>
      </c>
      <c r="H387" s="149">
        <v>142</v>
      </c>
      <c r="I387" s="196"/>
      <c r="J387" s="149">
        <v>0</v>
      </c>
      <c r="K387" s="149">
        <v>0</v>
      </c>
      <c r="L387" s="149">
        <v>0</v>
      </c>
      <c r="M387" s="149">
        <v>0</v>
      </c>
      <c r="N387" s="149">
        <v>0</v>
      </c>
      <c r="O387" s="149">
        <v>0</v>
      </c>
      <c r="P387" s="224"/>
      <c r="Q387" s="224"/>
      <c r="R387" s="224"/>
      <c r="S387" s="224"/>
      <c r="T387" s="224"/>
      <c r="U387" s="224"/>
      <c r="V387" s="224"/>
      <c r="W387" s="224"/>
      <c r="X387" s="224"/>
      <c r="Y387" s="224"/>
      <c r="Z387" s="224"/>
      <c r="AA387" s="224"/>
      <c r="AB387" s="224"/>
      <c r="AC387" s="224"/>
      <c r="AD387" s="143" t="s">
        <v>2185</v>
      </c>
      <c r="AE387" s="143" t="s">
        <v>2254</v>
      </c>
    </row>
    <row r="388" spans="1:31" ht="24.95" customHeight="1" x14ac:dyDescent="0.2">
      <c r="A388" s="144">
        <v>722</v>
      </c>
      <c r="B388" s="145" t="s">
        <v>2628</v>
      </c>
      <c r="C388" s="146" t="s">
        <v>2309</v>
      </c>
      <c r="D388" s="146" t="s">
        <v>2309</v>
      </c>
      <c r="E388" s="147" t="s">
        <v>2310</v>
      </c>
      <c r="F388" s="148">
        <v>5180</v>
      </c>
      <c r="G388" s="149">
        <v>5350</v>
      </c>
      <c r="H388" s="149">
        <v>67</v>
      </c>
      <c r="I388" s="196"/>
      <c r="J388" s="149">
        <v>5218</v>
      </c>
      <c r="K388" s="149">
        <v>5350</v>
      </c>
      <c r="L388" s="149">
        <v>73</v>
      </c>
      <c r="M388" s="149">
        <v>5922</v>
      </c>
      <c r="N388" s="149">
        <v>0</v>
      </c>
      <c r="O388" s="149">
        <v>3066</v>
      </c>
      <c r="P388" s="224"/>
      <c r="Q388" s="224"/>
      <c r="R388" s="224"/>
      <c r="S388" s="224"/>
      <c r="T388" s="224"/>
      <c r="U388" s="224"/>
      <c r="V388" s="224"/>
      <c r="W388" s="224"/>
      <c r="X388" s="224"/>
      <c r="Y388" s="224"/>
      <c r="Z388" s="224"/>
      <c r="AA388" s="224"/>
      <c r="AB388" s="224"/>
      <c r="AC388" s="224"/>
      <c r="AD388" s="143" t="s">
        <v>2185</v>
      </c>
      <c r="AE388" s="143" t="s">
        <v>2254</v>
      </c>
    </row>
    <row r="389" spans="1:31" ht="24.95" customHeight="1" x14ac:dyDescent="0.2">
      <c r="A389" s="144">
        <v>723</v>
      </c>
      <c r="B389" s="145" t="s">
        <v>2629</v>
      </c>
      <c r="C389" s="146" t="s">
        <v>2309</v>
      </c>
      <c r="D389" s="146" t="s">
        <v>2309</v>
      </c>
      <c r="E389" s="147" t="s">
        <v>2310</v>
      </c>
      <c r="F389" s="148">
        <v>3140</v>
      </c>
      <c r="G389" s="149">
        <v>4475</v>
      </c>
      <c r="H389" s="149">
        <v>45</v>
      </c>
      <c r="I389" s="196"/>
      <c r="J389" s="149">
        <v>2600</v>
      </c>
      <c r="K389" s="149">
        <v>4475</v>
      </c>
      <c r="L389" s="149">
        <v>35</v>
      </c>
      <c r="M389" s="149">
        <v>2120</v>
      </c>
      <c r="N389" s="149">
        <v>0</v>
      </c>
      <c r="O389" s="149">
        <v>1644</v>
      </c>
      <c r="P389" s="224"/>
      <c r="Q389" s="224"/>
      <c r="R389" s="224"/>
      <c r="S389" s="224"/>
      <c r="T389" s="224"/>
      <c r="U389" s="224"/>
      <c r="V389" s="224"/>
      <c r="W389" s="224"/>
      <c r="X389" s="224"/>
      <c r="Y389" s="224"/>
      <c r="Z389" s="224"/>
      <c r="AA389" s="224"/>
      <c r="AB389" s="224"/>
      <c r="AC389" s="224"/>
      <c r="AD389" s="143" t="s">
        <v>2185</v>
      </c>
      <c r="AE389" s="143" t="s">
        <v>2254</v>
      </c>
    </row>
    <row r="390" spans="1:31" ht="24.95" customHeight="1" x14ac:dyDescent="0.2">
      <c r="A390" s="144">
        <v>724</v>
      </c>
      <c r="B390" s="145" t="s">
        <v>2630</v>
      </c>
      <c r="C390" s="146" t="s">
        <v>2309</v>
      </c>
      <c r="D390" s="146" t="s">
        <v>2309</v>
      </c>
      <c r="E390" s="147" t="s">
        <v>2310</v>
      </c>
      <c r="F390" s="148">
        <v>2845</v>
      </c>
      <c r="G390" s="149">
        <v>4735</v>
      </c>
      <c r="H390" s="149">
        <v>37</v>
      </c>
      <c r="I390" s="196"/>
      <c r="J390" s="149">
        <v>1886</v>
      </c>
      <c r="K390" s="149">
        <v>4570</v>
      </c>
      <c r="L390" s="149">
        <v>26</v>
      </c>
      <c r="M390" s="149">
        <v>1850</v>
      </c>
      <c r="N390" s="149">
        <v>0</v>
      </c>
      <c r="O390" s="149">
        <v>1446</v>
      </c>
      <c r="P390" s="224"/>
      <c r="Q390" s="224"/>
      <c r="R390" s="224"/>
      <c r="S390" s="224"/>
      <c r="T390" s="224"/>
      <c r="U390" s="224"/>
      <c r="V390" s="224"/>
      <c r="W390" s="224"/>
      <c r="X390" s="224"/>
      <c r="Y390" s="224"/>
      <c r="Z390" s="224"/>
      <c r="AA390" s="224"/>
      <c r="AB390" s="224"/>
      <c r="AC390" s="224"/>
      <c r="AD390" s="143" t="s">
        <v>2185</v>
      </c>
      <c r="AE390" s="143" t="s">
        <v>2254</v>
      </c>
    </row>
    <row r="391" spans="1:31" ht="24.95" customHeight="1" x14ac:dyDescent="0.2">
      <c r="A391" s="144">
        <v>725</v>
      </c>
      <c r="B391" s="145" t="s">
        <v>2631</v>
      </c>
      <c r="C391" s="146" t="s">
        <v>2309</v>
      </c>
      <c r="D391" s="146" t="s">
        <v>2309</v>
      </c>
      <c r="E391" s="147" t="s">
        <v>2310</v>
      </c>
      <c r="F391" s="148">
        <v>4170</v>
      </c>
      <c r="G391" s="149">
        <v>3465</v>
      </c>
      <c r="H391" s="149">
        <v>66</v>
      </c>
      <c r="I391" s="196"/>
      <c r="J391" s="149">
        <v>4075</v>
      </c>
      <c r="K391" s="149">
        <v>3470</v>
      </c>
      <c r="L391" s="149">
        <v>79</v>
      </c>
      <c r="M391" s="149">
        <v>6236</v>
      </c>
      <c r="N391" s="149">
        <v>0</v>
      </c>
      <c r="O391" s="149">
        <v>1265</v>
      </c>
      <c r="P391" s="224"/>
      <c r="Q391" s="224"/>
      <c r="R391" s="224"/>
      <c r="S391" s="224"/>
      <c r="T391" s="224"/>
      <c r="U391" s="224"/>
      <c r="V391" s="224"/>
      <c r="W391" s="224"/>
      <c r="X391" s="224"/>
      <c r="Y391" s="224"/>
      <c r="Z391" s="224"/>
      <c r="AA391" s="224"/>
      <c r="AB391" s="224"/>
      <c r="AC391" s="224"/>
      <c r="AD391" s="143" t="s">
        <v>2185</v>
      </c>
      <c r="AE391" s="143" t="s">
        <v>2254</v>
      </c>
    </row>
    <row r="392" spans="1:31" ht="24.95" customHeight="1" x14ac:dyDescent="0.2">
      <c r="A392" s="144">
        <v>812</v>
      </c>
      <c r="B392" s="145" t="s">
        <v>2632</v>
      </c>
      <c r="C392" s="146" t="s">
        <v>2183</v>
      </c>
      <c r="D392" s="146" t="s">
        <v>2183</v>
      </c>
      <c r="E392" s="147" t="s">
        <v>2184</v>
      </c>
      <c r="F392" s="148">
        <v>2440</v>
      </c>
      <c r="G392" s="149">
        <v>125</v>
      </c>
      <c r="H392" s="149">
        <v>56</v>
      </c>
      <c r="I392" s="196"/>
      <c r="J392" s="149">
        <v>2891</v>
      </c>
      <c r="K392" s="149">
        <v>0</v>
      </c>
      <c r="L392" s="149">
        <v>59</v>
      </c>
      <c r="M392" s="149">
        <v>2967</v>
      </c>
      <c r="N392" s="149">
        <v>13</v>
      </c>
      <c r="O392" s="149">
        <v>3794</v>
      </c>
      <c r="P392" s="224"/>
      <c r="Q392" s="224"/>
      <c r="R392" s="224"/>
      <c r="S392" s="224"/>
      <c r="T392" s="224"/>
      <c r="U392" s="224"/>
      <c r="V392" s="224"/>
      <c r="W392" s="224"/>
      <c r="X392" s="224"/>
      <c r="Y392" s="224"/>
      <c r="Z392" s="224"/>
      <c r="AA392" s="224"/>
      <c r="AB392" s="224"/>
      <c r="AC392" s="224"/>
      <c r="AD392" s="143" t="s">
        <v>2185</v>
      </c>
      <c r="AE392" s="143" t="s">
        <v>2254</v>
      </c>
    </row>
    <row r="393" spans="1:31" ht="24.95" customHeight="1" x14ac:dyDescent="0.2">
      <c r="A393" s="144" t="s">
        <v>2633</v>
      </c>
      <c r="B393" s="145" t="s">
        <v>2634</v>
      </c>
      <c r="C393" s="146" t="s">
        <v>2365</v>
      </c>
      <c r="D393" s="146" t="s">
        <v>2365</v>
      </c>
      <c r="E393" s="147" t="s">
        <v>2223</v>
      </c>
      <c r="F393" s="148">
        <v>2469</v>
      </c>
      <c r="G393" s="149">
        <v>1421</v>
      </c>
      <c r="H393" s="149">
        <v>49</v>
      </c>
      <c r="I393" s="196"/>
      <c r="J393" s="149">
        <v>2474</v>
      </c>
      <c r="K393" s="149">
        <v>1421</v>
      </c>
      <c r="L393" s="149">
        <v>49</v>
      </c>
      <c r="M393" s="149">
        <v>625</v>
      </c>
      <c r="N393" s="149">
        <v>0</v>
      </c>
      <c r="O393" s="149">
        <v>585</v>
      </c>
      <c r="P393" s="224"/>
      <c r="Q393" s="224"/>
      <c r="R393" s="224"/>
      <c r="S393" s="224"/>
      <c r="T393" s="224"/>
      <c r="U393" s="224"/>
      <c r="V393" s="224"/>
      <c r="W393" s="224"/>
      <c r="X393" s="224"/>
      <c r="Y393" s="224"/>
      <c r="Z393" s="224"/>
      <c r="AA393" s="224"/>
      <c r="AB393" s="224"/>
      <c r="AC393" s="224"/>
      <c r="AD393" s="143" t="e">
        <v>#N/A</v>
      </c>
      <c r="AE393" s="143" t="s">
        <v>2186</v>
      </c>
    </row>
    <row r="394" spans="1:31" ht="24.95" customHeight="1" x14ac:dyDescent="0.2">
      <c r="A394" s="144">
        <v>842</v>
      </c>
      <c r="B394" s="145" t="s">
        <v>2635</v>
      </c>
      <c r="C394" s="146" t="s">
        <v>2309</v>
      </c>
      <c r="D394" s="146" t="s">
        <v>2368</v>
      </c>
      <c r="E394" s="147" t="s">
        <v>2310</v>
      </c>
      <c r="F394" s="148">
        <v>11545</v>
      </c>
      <c r="G394" s="149">
        <f>30+130+1555+1+8706</f>
        <v>10422</v>
      </c>
      <c r="H394" s="149">
        <v>146</v>
      </c>
      <c r="I394" s="196"/>
      <c r="J394" s="149">
        <v>0</v>
      </c>
      <c r="K394" s="149">
        <v>0</v>
      </c>
      <c r="L394" s="149">
        <v>0</v>
      </c>
      <c r="M394" s="149">
        <v>0</v>
      </c>
      <c r="N394" s="149">
        <v>0</v>
      </c>
      <c r="O394" s="149">
        <v>0</v>
      </c>
      <c r="P394" s="224"/>
      <c r="Q394" s="224"/>
      <c r="R394" s="224"/>
      <c r="S394" s="224"/>
      <c r="T394" s="224"/>
      <c r="U394" s="224"/>
      <c r="V394" s="224"/>
      <c r="W394" s="224"/>
      <c r="X394" s="224"/>
      <c r="Y394" s="224"/>
      <c r="Z394" s="224"/>
      <c r="AA394" s="224"/>
      <c r="AB394" s="224"/>
      <c r="AC394" s="224"/>
      <c r="AD394" s="143" t="s">
        <v>2185</v>
      </c>
      <c r="AE394" s="143" t="s">
        <v>2254</v>
      </c>
    </row>
    <row r="395" spans="1:31" ht="24.95" customHeight="1" x14ac:dyDescent="0.2">
      <c r="A395" s="144">
        <v>847</v>
      </c>
      <c r="B395" s="150" t="s">
        <v>2636</v>
      </c>
      <c r="C395" s="146" t="s">
        <v>2309</v>
      </c>
      <c r="D395" s="146" t="s">
        <v>2309</v>
      </c>
      <c r="E395" s="147" t="s">
        <v>2231</v>
      </c>
      <c r="F395" s="148">
        <v>1400</v>
      </c>
      <c r="G395" s="149">
        <v>1200</v>
      </c>
      <c r="H395" s="149">
        <v>11</v>
      </c>
      <c r="I395" s="196"/>
      <c r="J395" s="149">
        <v>1290</v>
      </c>
      <c r="K395" s="149">
        <f>700+500</f>
        <v>1200</v>
      </c>
      <c r="L395" s="149">
        <v>12</v>
      </c>
      <c r="M395" s="149">
        <v>951</v>
      </c>
      <c r="N395" s="149">
        <v>0</v>
      </c>
      <c r="O395" s="149">
        <f>325+312</f>
        <v>637</v>
      </c>
      <c r="P395" s="224"/>
      <c r="Q395" s="224"/>
      <c r="R395" s="224"/>
      <c r="S395" s="224"/>
      <c r="T395" s="224"/>
      <c r="U395" s="224"/>
      <c r="V395" s="224"/>
      <c r="W395" s="224"/>
      <c r="X395" s="224"/>
      <c r="Y395" s="224"/>
      <c r="Z395" s="224"/>
      <c r="AA395" s="224"/>
      <c r="AB395" s="224"/>
      <c r="AC395" s="224"/>
      <c r="AD395" s="143" t="s">
        <v>2185</v>
      </c>
      <c r="AE395" s="143" t="s">
        <v>2186</v>
      </c>
    </row>
    <row r="396" spans="1:31" ht="24.95" customHeight="1" x14ac:dyDescent="0.2">
      <c r="A396" s="144">
        <v>853</v>
      </c>
      <c r="B396" s="145" t="s">
        <v>2637</v>
      </c>
      <c r="C396" s="146" t="s">
        <v>2183</v>
      </c>
      <c r="D396" s="146" t="s">
        <v>2183</v>
      </c>
      <c r="E396" s="147" t="s">
        <v>2265</v>
      </c>
      <c r="F396" s="148">
        <f>3300+1600</f>
        <v>4900</v>
      </c>
      <c r="G396" s="149">
        <f>8830-3575</f>
        <v>5255</v>
      </c>
      <c r="H396" s="149">
        <v>55</v>
      </c>
      <c r="I396" s="196"/>
      <c r="J396" s="149">
        <v>4867</v>
      </c>
      <c r="K396" s="149">
        <v>5100</v>
      </c>
      <c r="L396" s="149">
        <v>54</v>
      </c>
      <c r="M396" s="149">
        <v>2863</v>
      </c>
      <c r="N396" s="149">
        <v>14</v>
      </c>
      <c r="O396" s="149">
        <v>2848</v>
      </c>
      <c r="P396" s="224"/>
      <c r="Q396" s="224"/>
      <c r="R396" s="224"/>
      <c r="S396" s="224"/>
      <c r="T396" s="224"/>
      <c r="U396" s="224"/>
      <c r="V396" s="224"/>
      <c r="W396" s="224"/>
      <c r="X396" s="224"/>
      <c r="Y396" s="224"/>
      <c r="Z396" s="224"/>
      <c r="AA396" s="224"/>
      <c r="AB396" s="224"/>
      <c r="AC396" s="224"/>
      <c r="AD396" s="143" t="s">
        <v>2185</v>
      </c>
      <c r="AE396" s="143" t="s">
        <v>2254</v>
      </c>
    </row>
    <row r="397" spans="1:31" ht="24.95" customHeight="1" x14ac:dyDescent="0.2">
      <c r="A397" s="144">
        <v>859</v>
      </c>
      <c r="B397" s="150" t="s">
        <v>2638</v>
      </c>
      <c r="C397" s="146" t="s">
        <v>2298</v>
      </c>
      <c r="D397" s="146" t="s">
        <v>2298</v>
      </c>
      <c r="E397" s="147" t="s">
        <v>2184</v>
      </c>
      <c r="F397" s="148">
        <f>2580+1265</f>
        <v>3845</v>
      </c>
      <c r="G397" s="149">
        <v>3773</v>
      </c>
      <c r="H397" s="149">
        <v>72</v>
      </c>
      <c r="I397" s="196"/>
      <c r="J397" s="149">
        <v>3149</v>
      </c>
      <c r="K397" s="149">
        <v>3979</v>
      </c>
      <c r="L397" s="149">
        <v>63</v>
      </c>
      <c r="M397" s="149">
        <v>3081</v>
      </c>
      <c r="N397" s="149">
        <v>0</v>
      </c>
      <c r="O397" s="149">
        <v>3263</v>
      </c>
      <c r="P397" s="224"/>
      <c r="Q397" s="224"/>
      <c r="R397" s="224"/>
      <c r="S397" s="224"/>
      <c r="T397" s="224"/>
      <c r="U397" s="224"/>
      <c r="V397" s="224"/>
      <c r="W397" s="224"/>
      <c r="X397" s="224"/>
      <c r="Y397" s="224"/>
      <c r="Z397" s="224"/>
      <c r="AA397" s="224"/>
      <c r="AB397" s="224"/>
      <c r="AC397" s="224"/>
      <c r="AD397" s="143" t="s">
        <v>2185</v>
      </c>
      <c r="AE397" s="143" t="s">
        <v>2186</v>
      </c>
    </row>
    <row r="398" spans="1:31" ht="24.95" customHeight="1" x14ac:dyDescent="0.2">
      <c r="A398" s="144" t="s">
        <v>2639</v>
      </c>
      <c r="B398" s="145" t="s">
        <v>2640</v>
      </c>
      <c r="C398" s="146" t="s">
        <v>2183</v>
      </c>
      <c r="D398" s="146" t="s">
        <v>2183</v>
      </c>
      <c r="E398" s="147" t="s">
        <v>2184</v>
      </c>
      <c r="F398" s="148">
        <v>0</v>
      </c>
      <c r="G398" s="149">
        <v>1200</v>
      </c>
      <c r="H398" s="149">
        <v>18</v>
      </c>
      <c r="I398" s="196"/>
      <c r="J398" s="149">
        <v>0</v>
      </c>
      <c r="K398" s="149">
        <f>150+973</f>
        <v>1123</v>
      </c>
      <c r="L398" s="149">
        <v>0</v>
      </c>
      <c r="M398" s="149">
        <v>0</v>
      </c>
      <c r="N398" s="149">
        <v>0</v>
      </c>
      <c r="O398" s="149">
        <v>0</v>
      </c>
      <c r="P398" s="224"/>
      <c r="Q398" s="224"/>
      <c r="R398" s="224"/>
      <c r="S398" s="224"/>
      <c r="T398" s="224"/>
      <c r="U398" s="224"/>
      <c r="V398" s="224"/>
      <c r="W398" s="224"/>
      <c r="X398" s="224"/>
      <c r="Y398" s="224"/>
      <c r="Z398" s="224"/>
      <c r="AA398" s="224"/>
      <c r="AB398" s="224"/>
      <c r="AC398" s="224"/>
      <c r="AD398" s="143" t="s">
        <v>2185</v>
      </c>
      <c r="AE398" s="143" t="s">
        <v>2186</v>
      </c>
    </row>
    <row r="399" spans="1:31" ht="24.95" customHeight="1" x14ac:dyDescent="0.2">
      <c r="A399" s="144">
        <v>861</v>
      </c>
      <c r="B399" s="150" t="s">
        <v>2641</v>
      </c>
      <c r="C399" s="146" t="s">
        <v>2256</v>
      </c>
      <c r="D399" s="146" t="s">
        <v>2282</v>
      </c>
      <c r="E399" s="147" t="s">
        <v>2184</v>
      </c>
      <c r="F399" s="148">
        <f>2835+1980</f>
        <v>4815</v>
      </c>
      <c r="G399" s="149">
        <v>5090</v>
      </c>
      <c r="H399" s="149">
        <v>79</v>
      </c>
      <c r="I399" s="196"/>
      <c r="J399" s="149">
        <v>4377</v>
      </c>
      <c r="K399" s="149">
        <v>5163</v>
      </c>
      <c r="L399" s="149">
        <v>62</v>
      </c>
      <c r="M399" s="149">
        <v>3118</v>
      </c>
      <c r="N399" s="149">
        <v>0</v>
      </c>
      <c r="O399" s="149">
        <v>4810</v>
      </c>
      <c r="P399" s="224"/>
      <c r="Q399" s="224"/>
      <c r="R399" s="224"/>
      <c r="S399" s="224"/>
      <c r="T399" s="224"/>
      <c r="U399" s="224"/>
      <c r="V399" s="224"/>
      <c r="W399" s="224"/>
      <c r="X399" s="224"/>
      <c r="Y399" s="224"/>
      <c r="Z399" s="224"/>
      <c r="AA399" s="224"/>
      <c r="AB399" s="224"/>
      <c r="AC399" s="224"/>
      <c r="AD399" s="143" t="s">
        <v>2185</v>
      </c>
      <c r="AE399" s="143" t="s">
        <v>2254</v>
      </c>
    </row>
    <row r="400" spans="1:31" ht="24.95" customHeight="1" x14ac:dyDescent="0.2">
      <c r="A400" s="144">
        <v>864</v>
      </c>
      <c r="B400" s="145" t="s">
        <v>2642</v>
      </c>
      <c r="C400" s="146" t="s">
        <v>2183</v>
      </c>
      <c r="D400" s="146" t="s">
        <v>2546</v>
      </c>
      <c r="E400" s="147" t="s">
        <v>2265</v>
      </c>
      <c r="F400" s="148">
        <v>5410</v>
      </c>
      <c r="G400" s="149">
        <f>5416-41</f>
        <v>5375</v>
      </c>
      <c r="H400" s="149">
        <v>67</v>
      </c>
      <c r="I400" s="196"/>
      <c r="J400" s="149">
        <v>5775</v>
      </c>
      <c r="K400" s="149">
        <v>5375</v>
      </c>
      <c r="L400" s="149">
        <v>64</v>
      </c>
      <c r="M400" s="149">
        <v>4571</v>
      </c>
      <c r="N400" s="149">
        <v>2</v>
      </c>
      <c r="O400" s="149">
        <v>3651</v>
      </c>
      <c r="P400" s="224"/>
      <c r="Q400" s="224"/>
      <c r="R400" s="224"/>
      <c r="S400" s="224"/>
      <c r="T400" s="224"/>
      <c r="U400" s="224"/>
      <c r="V400" s="224"/>
      <c r="W400" s="224"/>
      <c r="X400" s="224"/>
      <c r="Y400" s="224"/>
      <c r="Z400" s="224"/>
      <c r="AA400" s="224"/>
      <c r="AB400" s="224"/>
      <c r="AC400" s="224"/>
      <c r="AD400" s="143" t="s">
        <v>2185</v>
      </c>
      <c r="AE400" s="143" t="s">
        <v>2254</v>
      </c>
    </row>
    <row r="401" spans="1:31" ht="24.95" customHeight="1" x14ac:dyDescent="0.2">
      <c r="A401" s="144">
        <v>865</v>
      </c>
      <c r="B401" s="150" t="s">
        <v>2643</v>
      </c>
      <c r="C401" s="146" t="s">
        <v>2322</v>
      </c>
      <c r="D401" s="146" t="s">
        <v>2322</v>
      </c>
      <c r="E401" s="147" t="s">
        <v>2184</v>
      </c>
      <c r="F401" s="148">
        <v>3617</v>
      </c>
      <c r="G401" s="149">
        <v>3578</v>
      </c>
      <c r="H401" s="149">
        <v>67</v>
      </c>
      <c r="I401" s="196"/>
      <c r="J401" s="149">
        <v>3481</v>
      </c>
      <c r="K401" s="149">
        <v>3578</v>
      </c>
      <c r="L401" s="149">
        <v>56</v>
      </c>
      <c r="M401" s="149">
        <v>3923</v>
      </c>
      <c r="N401" s="149">
        <v>1</v>
      </c>
      <c r="O401" s="149">
        <v>4031</v>
      </c>
      <c r="P401" s="224"/>
      <c r="Q401" s="224"/>
      <c r="R401" s="224"/>
      <c r="S401" s="224"/>
      <c r="T401" s="224"/>
      <c r="U401" s="224"/>
      <c r="V401" s="224"/>
      <c r="W401" s="224"/>
      <c r="X401" s="224"/>
      <c r="Y401" s="224"/>
      <c r="Z401" s="224"/>
      <c r="AA401" s="224"/>
      <c r="AB401" s="224"/>
      <c r="AC401" s="224"/>
      <c r="AD401" s="143" t="s">
        <v>2185</v>
      </c>
      <c r="AE401" s="143" t="s">
        <v>2186</v>
      </c>
    </row>
    <row r="402" spans="1:31" ht="24.95" customHeight="1" x14ac:dyDescent="0.2">
      <c r="A402" s="144">
        <v>866</v>
      </c>
      <c r="B402" s="145" t="s">
        <v>2644</v>
      </c>
      <c r="C402" s="146" t="s">
        <v>2183</v>
      </c>
      <c r="D402" s="146" t="s">
        <v>2546</v>
      </c>
      <c r="E402" s="147" t="s">
        <v>2265</v>
      </c>
      <c r="F402" s="148">
        <v>2975</v>
      </c>
      <c r="G402" s="149">
        <f>445+535+665+870+2220+77+1</f>
        <v>4813</v>
      </c>
      <c r="H402" s="149">
        <v>2150</v>
      </c>
      <c r="I402" s="196"/>
      <c r="J402" s="149">
        <v>0</v>
      </c>
      <c r="K402" s="149">
        <v>0</v>
      </c>
      <c r="L402" s="149">
        <v>0</v>
      </c>
      <c r="M402" s="149">
        <v>0</v>
      </c>
      <c r="N402" s="149">
        <v>0</v>
      </c>
      <c r="O402" s="149">
        <v>0</v>
      </c>
      <c r="P402" s="224"/>
      <c r="Q402" s="224"/>
      <c r="R402" s="224"/>
      <c r="S402" s="224"/>
      <c r="T402" s="224"/>
      <c r="U402" s="224"/>
      <c r="V402" s="224"/>
      <c r="W402" s="224"/>
      <c r="X402" s="224"/>
      <c r="Y402" s="224"/>
      <c r="Z402" s="224"/>
      <c r="AA402" s="224"/>
      <c r="AB402" s="224"/>
      <c r="AC402" s="224"/>
      <c r="AD402" s="143" t="s">
        <v>2598</v>
      </c>
      <c r="AE402" s="143" t="s">
        <v>2186</v>
      </c>
    </row>
    <row r="403" spans="1:31" ht="24.95" customHeight="1" x14ac:dyDescent="0.2">
      <c r="A403" s="144">
        <v>867</v>
      </c>
      <c r="B403" s="145" t="s">
        <v>2645</v>
      </c>
      <c r="C403" s="146" t="s">
        <v>2183</v>
      </c>
      <c r="D403" s="146" t="s">
        <v>2546</v>
      </c>
      <c r="E403" s="147" t="s">
        <v>2265</v>
      </c>
      <c r="F403" s="148">
        <v>4060</v>
      </c>
      <c r="G403" s="149">
        <v>8845</v>
      </c>
      <c r="H403" s="149">
        <v>0</v>
      </c>
      <c r="I403" s="196"/>
      <c r="J403" s="149">
        <v>0</v>
      </c>
      <c r="K403" s="149">
        <v>0</v>
      </c>
      <c r="L403" s="149">
        <v>0</v>
      </c>
      <c r="M403" s="149">
        <v>0</v>
      </c>
      <c r="N403" s="149">
        <v>0</v>
      </c>
      <c r="O403" s="149">
        <v>0</v>
      </c>
      <c r="P403" s="224"/>
      <c r="Q403" s="224"/>
      <c r="R403" s="224"/>
      <c r="S403" s="224"/>
      <c r="T403" s="224"/>
      <c r="U403" s="224"/>
      <c r="V403" s="224"/>
      <c r="W403" s="224"/>
      <c r="X403" s="224"/>
      <c r="Y403" s="224"/>
      <c r="Z403" s="224"/>
      <c r="AA403" s="224"/>
      <c r="AB403" s="224"/>
      <c r="AC403" s="224"/>
      <c r="AD403" s="143" t="s">
        <v>2185</v>
      </c>
      <c r="AE403" s="143" t="s">
        <v>2254</v>
      </c>
    </row>
    <row r="404" spans="1:31" ht="24.95" customHeight="1" x14ac:dyDescent="0.2">
      <c r="A404" s="144">
        <v>868</v>
      </c>
      <c r="B404" s="145" t="s">
        <v>2646</v>
      </c>
      <c r="C404" s="146" t="s">
        <v>2183</v>
      </c>
      <c r="D404" s="146" t="s">
        <v>2546</v>
      </c>
      <c r="E404" s="147" t="s">
        <v>2265</v>
      </c>
      <c r="F404" s="148">
        <f>330+4865</f>
        <v>5195</v>
      </c>
      <c r="G404" s="149">
        <f>175+335+425+1105+2380+361+1+1</f>
        <v>4783</v>
      </c>
      <c r="H404" s="149">
        <v>4015</v>
      </c>
      <c r="I404" s="196"/>
      <c r="J404" s="149">
        <v>0</v>
      </c>
      <c r="K404" s="149">
        <v>0</v>
      </c>
      <c r="L404" s="149">
        <v>0</v>
      </c>
      <c r="M404" s="149">
        <v>0</v>
      </c>
      <c r="N404" s="149">
        <v>0</v>
      </c>
      <c r="O404" s="149">
        <v>0</v>
      </c>
      <c r="P404" s="224"/>
      <c r="Q404" s="224"/>
      <c r="R404" s="224"/>
      <c r="S404" s="224"/>
      <c r="T404" s="224"/>
      <c r="U404" s="224"/>
      <c r="V404" s="224"/>
      <c r="W404" s="224"/>
      <c r="X404" s="224"/>
      <c r="Y404" s="224"/>
      <c r="Z404" s="224"/>
      <c r="AA404" s="224"/>
      <c r="AB404" s="224"/>
      <c r="AC404" s="224"/>
      <c r="AD404" s="143" t="s">
        <v>2598</v>
      </c>
      <c r="AE404" s="143" t="s">
        <v>2186</v>
      </c>
    </row>
    <row r="405" spans="1:31" ht="24.95" customHeight="1" x14ac:dyDescent="0.2">
      <c r="A405" s="144">
        <v>869</v>
      </c>
      <c r="B405" s="145" t="s">
        <v>2647</v>
      </c>
      <c r="C405" s="146" t="s">
        <v>2183</v>
      </c>
      <c r="D405" s="146" t="s">
        <v>2546</v>
      </c>
      <c r="E405" s="147" t="s">
        <v>2310</v>
      </c>
      <c r="F405" s="148">
        <v>4645</v>
      </c>
      <c r="G405" s="149">
        <v>8155</v>
      </c>
      <c r="H405" s="149">
        <v>48</v>
      </c>
      <c r="I405" s="196"/>
      <c r="J405" s="149">
        <v>0</v>
      </c>
      <c r="K405" s="149">
        <v>0</v>
      </c>
      <c r="L405" s="149">
        <v>0</v>
      </c>
      <c r="M405" s="149">
        <v>0</v>
      </c>
      <c r="N405" s="149">
        <v>0</v>
      </c>
      <c r="O405" s="149">
        <v>0</v>
      </c>
      <c r="P405" s="224"/>
      <c r="Q405" s="224"/>
      <c r="R405" s="224"/>
      <c r="S405" s="224"/>
      <c r="T405" s="224"/>
      <c r="U405" s="224"/>
      <c r="V405" s="224"/>
      <c r="W405" s="224"/>
      <c r="X405" s="224"/>
      <c r="Y405" s="224"/>
      <c r="Z405" s="224"/>
      <c r="AA405" s="224"/>
      <c r="AB405" s="224"/>
      <c r="AC405" s="224"/>
      <c r="AD405" s="143" t="s">
        <v>2185</v>
      </c>
      <c r="AE405" s="143" t="s">
        <v>2254</v>
      </c>
    </row>
    <row r="406" spans="1:31" ht="24.95" customHeight="1" x14ac:dyDescent="0.2">
      <c r="A406" s="144">
        <v>870</v>
      </c>
      <c r="B406" s="145" t="s">
        <v>2648</v>
      </c>
      <c r="C406" s="146" t="s">
        <v>2183</v>
      </c>
      <c r="D406" s="146" t="s">
        <v>2546</v>
      </c>
      <c r="E406" s="147" t="s">
        <v>2265</v>
      </c>
      <c r="F406" s="148">
        <f>1230+560+1625</f>
        <v>3415</v>
      </c>
      <c r="G406" s="149">
        <f>45+330+520+865+1825+51+3</f>
        <v>3639</v>
      </c>
      <c r="H406" s="149">
        <v>1617</v>
      </c>
      <c r="I406" s="196"/>
      <c r="J406" s="149">
        <v>0</v>
      </c>
      <c r="K406" s="149">
        <v>0</v>
      </c>
      <c r="L406" s="149">
        <v>0</v>
      </c>
      <c r="M406" s="149">
        <v>0</v>
      </c>
      <c r="N406" s="149">
        <v>0</v>
      </c>
      <c r="O406" s="149">
        <v>0</v>
      </c>
      <c r="P406" s="224"/>
      <c r="Q406" s="224"/>
      <c r="R406" s="224"/>
      <c r="S406" s="224"/>
      <c r="T406" s="224"/>
      <c r="U406" s="224"/>
      <c r="V406" s="224"/>
      <c r="W406" s="224"/>
      <c r="X406" s="224"/>
      <c r="Y406" s="224"/>
      <c r="Z406" s="224"/>
      <c r="AA406" s="224"/>
      <c r="AB406" s="224"/>
      <c r="AC406" s="224"/>
      <c r="AD406" s="143" t="s">
        <v>2598</v>
      </c>
      <c r="AE406" s="143" t="s">
        <v>2186</v>
      </c>
    </row>
    <row r="407" spans="1:31" ht="24.95" customHeight="1" x14ac:dyDescent="0.2">
      <c r="A407" s="144">
        <v>871</v>
      </c>
      <c r="B407" s="145" t="s">
        <v>2649</v>
      </c>
      <c r="C407" s="146" t="s">
        <v>2183</v>
      </c>
      <c r="D407" s="146" t="s">
        <v>2546</v>
      </c>
      <c r="E407" s="147" t="s">
        <v>2265</v>
      </c>
      <c r="F407" s="148">
        <v>5505</v>
      </c>
      <c r="G407" s="149">
        <v>5960</v>
      </c>
      <c r="H407" s="149">
        <v>59</v>
      </c>
      <c r="I407" s="196"/>
      <c r="J407" s="149">
        <v>0</v>
      </c>
      <c r="K407" s="149">
        <v>0</v>
      </c>
      <c r="L407" s="149">
        <v>0</v>
      </c>
      <c r="M407" s="149">
        <v>0</v>
      </c>
      <c r="N407" s="149">
        <v>0</v>
      </c>
      <c r="O407" s="149">
        <v>0</v>
      </c>
      <c r="P407" s="224"/>
      <c r="Q407" s="224"/>
      <c r="R407" s="224"/>
      <c r="S407" s="224"/>
      <c r="T407" s="224"/>
      <c r="U407" s="224"/>
      <c r="V407" s="224"/>
      <c r="W407" s="224"/>
      <c r="X407" s="224"/>
      <c r="Y407" s="224"/>
      <c r="Z407" s="224"/>
      <c r="AA407" s="224"/>
      <c r="AB407" s="224"/>
      <c r="AC407" s="224"/>
      <c r="AD407" s="143" t="s">
        <v>2185</v>
      </c>
      <c r="AE407" s="143" t="s">
        <v>2254</v>
      </c>
    </row>
    <row r="408" spans="1:31" ht="24.95" customHeight="1" x14ac:dyDescent="0.2">
      <c r="A408" s="144">
        <v>872</v>
      </c>
      <c r="B408" s="145" t="s">
        <v>2650</v>
      </c>
      <c r="C408" s="146" t="s">
        <v>2183</v>
      </c>
      <c r="D408" s="146" t="s">
        <v>2237</v>
      </c>
      <c r="E408" s="147" t="s">
        <v>2265</v>
      </c>
      <c r="F408" s="148">
        <v>3680</v>
      </c>
      <c r="G408" s="149">
        <f>2190+2335</f>
        <v>4525</v>
      </c>
      <c r="H408" s="149">
        <v>42</v>
      </c>
      <c r="I408" s="196"/>
      <c r="J408" s="149">
        <v>3431</v>
      </c>
      <c r="K408" s="149">
        <v>4525</v>
      </c>
      <c r="L408" s="149">
        <v>39</v>
      </c>
      <c r="M408" s="149">
        <v>2893</v>
      </c>
      <c r="N408" s="149">
        <v>6</v>
      </c>
      <c r="O408" s="149">
        <v>3278</v>
      </c>
      <c r="P408" s="224"/>
      <c r="Q408" s="224"/>
      <c r="R408" s="224"/>
      <c r="S408" s="224"/>
      <c r="T408" s="224"/>
      <c r="U408" s="224"/>
      <c r="V408" s="224"/>
      <c r="W408" s="224"/>
      <c r="X408" s="224"/>
      <c r="Y408" s="224"/>
      <c r="Z408" s="224"/>
      <c r="AA408" s="224"/>
      <c r="AB408" s="224"/>
      <c r="AC408" s="224"/>
      <c r="AD408" s="143" t="s">
        <v>2185</v>
      </c>
      <c r="AE408" s="143" t="s">
        <v>2254</v>
      </c>
    </row>
    <row r="409" spans="1:31" ht="24.95" customHeight="1" x14ac:dyDescent="0.2">
      <c r="A409" s="144">
        <v>873</v>
      </c>
      <c r="B409" s="150" t="s">
        <v>2651</v>
      </c>
      <c r="C409" s="146" t="s">
        <v>2237</v>
      </c>
      <c r="D409" s="146" t="s">
        <v>2237</v>
      </c>
      <c r="E409" s="147" t="s">
        <v>2184</v>
      </c>
      <c r="F409" s="148">
        <v>5140</v>
      </c>
      <c r="G409" s="149">
        <v>5015</v>
      </c>
      <c r="H409" s="149">
        <v>86</v>
      </c>
      <c r="I409" s="196"/>
      <c r="J409" s="149">
        <v>4857</v>
      </c>
      <c r="K409" s="149">
        <v>5015</v>
      </c>
      <c r="L409" s="149">
        <v>78</v>
      </c>
      <c r="M409" s="149">
        <v>5637</v>
      </c>
      <c r="N409" s="149">
        <v>5</v>
      </c>
      <c r="O409" s="149">
        <v>4709</v>
      </c>
      <c r="P409" s="224"/>
      <c r="Q409" s="224"/>
      <c r="R409" s="224"/>
      <c r="S409" s="224"/>
      <c r="T409" s="224"/>
      <c r="U409" s="224"/>
      <c r="V409" s="224"/>
      <c r="W409" s="224"/>
      <c r="X409" s="224"/>
      <c r="Y409" s="224"/>
      <c r="Z409" s="224"/>
      <c r="AA409" s="224"/>
      <c r="AB409" s="224"/>
      <c r="AC409" s="224"/>
      <c r="AD409" s="143" t="s">
        <v>2185</v>
      </c>
      <c r="AE409" s="143" t="s">
        <v>2254</v>
      </c>
    </row>
    <row r="410" spans="1:31" ht="24.95" customHeight="1" x14ac:dyDescent="0.2">
      <c r="A410" s="144">
        <v>874</v>
      </c>
      <c r="B410" s="150" t="s">
        <v>2652</v>
      </c>
      <c r="C410" s="146" t="s">
        <v>2237</v>
      </c>
      <c r="D410" s="146" t="s">
        <v>2237</v>
      </c>
      <c r="E410" s="147" t="s">
        <v>2184</v>
      </c>
      <c r="F410" s="148">
        <v>5655</v>
      </c>
      <c r="G410" s="149">
        <v>5500</v>
      </c>
      <c r="H410" s="149">
        <v>100</v>
      </c>
      <c r="I410" s="196"/>
      <c r="J410" s="149">
        <v>4807</v>
      </c>
      <c r="K410" s="149">
        <v>5090</v>
      </c>
      <c r="L410" s="149">
        <v>83</v>
      </c>
      <c r="M410" s="149">
        <v>4937</v>
      </c>
      <c r="N410" s="149">
        <v>7</v>
      </c>
      <c r="O410" s="149">
        <v>4839</v>
      </c>
      <c r="P410" s="224"/>
      <c r="Q410" s="224"/>
      <c r="R410" s="224"/>
      <c r="S410" s="224"/>
      <c r="T410" s="224"/>
      <c r="U410" s="224"/>
      <c r="V410" s="224"/>
      <c r="W410" s="224"/>
      <c r="X410" s="224"/>
      <c r="Y410" s="224"/>
      <c r="Z410" s="224"/>
      <c r="AA410" s="224"/>
      <c r="AB410" s="224"/>
      <c r="AC410" s="224"/>
      <c r="AD410" s="143" t="s">
        <v>2185</v>
      </c>
      <c r="AE410" s="143" t="s">
        <v>2254</v>
      </c>
    </row>
    <row r="411" spans="1:31" ht="24.95" customHeight="1" x14ac:dyDescent="0.2">
      <c r="A411" s="144">
        <v>875</v>
      </c>
      <c r="B411" s="145" t="s">
        <v>2653</v>
      </c>
      <c r="C411" s="146" t="s">
        <v>2237</v>
      </c>
      <c r="D411" s="146" t="s">
        <v>2237</v>
      </c>
      <c r="E411" s="147" t="s">
        <v>2184</v>
      </c>
      <c r="F411" s="148">
        <v>2905</v>
      </c>
      <c r="G411" s="149">
        <v>4540</v>
      </c>
      <c r="H411" s="149">
        <v>61</v>
      </c>
      <c r="I411" s="196"/>
      <c r="J411" s="149">
        <v>3021</v>
      </c>
      <c r="K411" s="149">
        <v>4540</v>
      </c>
      <c r="L411" s="149">
        <v>47</v>
      </c>
      <c r="M411" s="149">
        <v>3297</v>
      </c>
      <c r="N411" s="149">
        <v>9</v>
      </c>
      <c r="O411" s="149">
        <v>3062</v>
      </c>
      <c r="P411" s="224"/>
      <c r="Q411" s="224"/>
      <c r="R411" s="224"/>
      <c r="S411" s="224"/>
      <c r="T411" s="224"/>
      <c r="U411" s="224"/>
      <c r="V411" s="224"/>
      <c r="W411" s="224"/>
      <c r="X411" s="224"/>
      <c r="Y411" s="224"/>
      <c r="Z411" s="224"/>
      <c r="AA411" s="224"/>
      <c r="AB411" s="224"/>
      <c r="AC411" s="224"/>
      <c r="AD411" s="143" t="s">
        <v>2185</v>
      </c>
      <c r="AE411" s="143" t="s">
        <v>2254</v>
      </c>
    </row>
    <row r="412" spans="1:31" ht="24.95" customHeight="1" x14ac:dyDescent="0.2">
      <c r="A412" s="144">
        <v>876</v>
      </c>
      <c r="B412" s="145" t="s">
        <v>2654</v>
      </c>
      <c r="C412" s="146" t="s">
        <v>2183</v>
      </c>
      <c r="D412" s="146" t="s">
        <v>2237</v>
      </c>
      <c r="E412" s="147" t="s">
        <v>2184</v>
      </c>
      <c r="F412" s="148">
        <f>8099-3185-4</f>
        <v>4910</v>
      </c>
      <c r="G412" s="149">
        <v>5915</v>
      </c>
      <c r="H412" s="149">
        <v>49</v>
      </c>
      <c r="I412" s="196"/>
      <c r="J412" s="149">
        <v>4517</v>
      </c>
      <c r="K412" s="149">
        <v>5205</v>
      </c>
      <c r="L412" s="149">
        <v>45</v>
      </c>
      <c r="M412" s="149">
        <v>3015</v>
      </c>
      <c r="N412" s="149">
        <v>6</v>
      </c>
      <c r="O412" s="149">
        <v>3815</v>
      </c>
      <c r="P412" s="224"/>
      <c r="Q412" s="224"/>
      <c r="R412" s="224"/>
      <c r="S412" s="224"/>
      <c r="T412" s="224"/>
      <c r="U412" s="224"/>
      <c r="V412" s="224"/>
      <c r="W412" s="224"/>
      <c r="X412" s="224"/>
      <c r="Y412" s="224"/>
      <c r="Z412" s="224"/>
      <c r="AA412" s="224"/>
      <c r="AB412" s="224"/>
      <c r="AC412" s="224"/>
      <c r="AD412" s="143" t="s">
        <v>2185</v>
      </c>
      <c r="AE412" s="143" t="s">
        <v>2254</v>
      </c>
    </row>
    <row r="413" spans="1:31" ht="24.95" customHeight="1" x14ac:dyDescent="0.2">
      <c r="A413" s="144">
        <v>877</v>
      </c>
      <c r="B413" s="145" t="s">
        <v>2655</v>
      </c>
      <c r="C413" s="146" t="s">
        <v>2183</v>
      </c>
      <c r="D413" s="146" t="s">
        <v>2237</v>
      </c>
      <c r="E413" s="147" t="s">
        <v>2265</v>
      </c>
      <c r="F413" s="148">
        <v>2970</v>
      </c>
      <c r="G413" s="149">
        <f>6291-11</f>
        <v>6280</v>
      </c>
      <c r="H413" s="149">
        <v>15</v>
      </c>
      <c r="I413" s="196"/>
      <c r="J413" s="149">
        <v>2877</v>
      </c>
      <c r="K413" s="149">
        <v>6280</v>
      </c>
      <c r="L413" s="149">
        <v>16</v>
      </c>
      <c r="M413" s="149">
        <v>768</v>
      </c>
      <c r="N413" s="149">
        <v>1</v>
      </c>
      <c r="O413" s="149">
        <v>736</v>
      </c>
      <c r="P413" s="224"/>
      <c r="Q413" s="224"/>
      <c r="R413" s="224"/>
      <c r="S413" s="224"/>
      <c r="T413" s="224"/>
      <c r="U413" s="224"/>
      <c r="V413" s="224"/>
      <c r="W413" s="224"/>
      <c r="X413" s="224"/>
      <c r="Y413" s="224"/>
      <c r="Z413" s="224"/>
      <c r="AA413" s="224"/>
      <c r="AB413" s="224"/>
      <c r="AC413" s="224"/>
      <c r="AD413" s="143" t="s">
        <v>2185</v>
      </c>
      <c r="AE413" s="143" t="s">
        <v>2254</v>
      </c>
    </row>
    <row r="414" spans="1:31" ht="24.95" customHeight="1" x14ac:dyDescent="0.2">
      <c r="A414" s="144">
        <v>878</v>
      </c>
      <c r="B414" s="150" t="s">
        <v>2656</v>
      </c>
      <c r="C414" s="146" t="s">
        <v>2363</v>
      </c>
      <c r="D414" s="146" t="s">
        <v>2363</v>
      </c>
      <c r="E414" s="147" t="s">
        <v>2184</v>
      </c>
      <c r="F414" s="148">
        <v>7007</v>
      </c>
      <c r="G414" s="149">
        <v>6635</v>
      </c>
      <c r="H414" s="149">
        <v>107</v>
      </c>
      <c r="I414" s="196"/>
      <c r="J414" s="149">
        <v>7296</v>
      </c>
      <c r="K414" s="149">
        <v>6530</v>
      </c>
      <c r="L414" s="149">
        <v>77</v>
      </c>
      <c r="M414" s="149">
        <v>6294</v>
      </c>
      <c r="N414" s="149">
        <v>25</v>
      </c>
      <c r="O414" s="149">
        <v>5681</v>
      </c>
      <c r="P414" s="224"/>
      <c r="Q414" s="224"/>
      <c r="R414" s="224"/>
      <c r="S414" s="224"/>
      <c r="T414" s="224"/>
      <c r="U414" s="224"/>
      <c r="V414" s="224"/>
      <c r="W414" s="224"/>
      <c r="X414" s="224"/>
      <c r="Y414" s="224"/>
      <c r="Z414" s="224"/>
      <c r="AA414" s="224"/>
      <c r="AB414" s="224"/>
      <c r="AC414" s="224"/>
      <c r="AD414" s="143" t="s">
        <v>2185</v>
      </c>
      <c r="AE414" s="143" t="s">
        <v>2254</v>
      </c>
    </row>
    <row r="415" spans="1:31" ht="24.95" customHeight="1" x14ac:dyDescent="0.2">
      <c r="A415" s="144">
        <v>880</v>
      </c>
      <c r="B415" s="145" t="s">
        <v>2657</v>
      </c>
      <c r="C415" s="146" t="s">
        <v>2258</v>
      </c>
      <c r="D415" s="146" t="s">
        <v>2258</v>
      </c>
      <c r="E415" s="147" t="s">
        <v>2564</v>
      </c>
      <c r="F415" s="148">
        <v>2370</v>
      </c>
      <c r="G415" s="149">
        <f>105+265+1620+546+1</f>
        <v>2537</v>
      </c>
      <c r="H415" s="149">
        <v>54</v>
      </c>
      <c r="I415" s="196"/>
      <c r="J415" s="149">
        <v>2395</v>
      </c>
      <c r="K415" s="149">
        <v>2535</v>
      </c>
      <c r="L415" s="149">
        <v>10</v>
      </c>
      <c r="M415" s="149">
        <v>2745</v>
      </c>
      <c r="N415" s="149">
        <v>0</v>
      </c>
      <c r="O415" s="149">
        <v>2397</v>
      </c>
      <c r="P415" s="224"/>
      <c r="Q415" s="224"/>
      <c r="R415" s="224"/>
      <c r="S415" s="224"/>
      <c r="T415" s="224"/>
      <c r="U415" s="224"/>
      <c r="V415" s="224"/>
      <c r="W415" s="224"/>
      <c r="X415" s="224"/>
      <c r="Y415" s="224"/>
      <c r="Z415" s="224"/>
      <c r="AA415" s="224"/>
      <c r="AB415" s="224"/>
      <c r="AC415" s="224"/>
      <c r="AD415" s="143" t="s">
        <v>2347</v>
      </c>
      <c r="AE415" s="143" t="s">
        <v>2254</v>
      </c>
    </row>
    <row r="416" spans="1:31" ht="24.95" customHeight="1" x14ac:dyDescent="0.2">
      <c r="A416" s="144">
        <v>884</v>
      </c>
      <c r="B416" s="145" t="s">
        <v>2658</v>
      </c>
      <c r="C416" s="146" t="s">
        <v>2215</v>
      </c>
      <c r="D416" s="146" t="s">
        <v>2258</v>
      </c>
      <c r="E416" s="147" t="s">
        <v>2310</v>
      </c>
      <c r="F416" s="148">
        <v>7130</v>
      </c>
      <c r="G416" s="149">
        <v>9075</v>
      </c>
      <c r="H416" s="149">
        <v>146</v>
      </c>
      <c r="I416" s="196"/>
      <c r="J416" s="149">
        <v>7243</v>
      </c>
      <c r="K416" s="149">
        <v>9295</v>
      </c>
      <c r="L416" s="149">
        <v>135</v>
      </c>
      <c r="M416" s="149">
        <v>6298</v>
      </c>
      <c r="N416" s="149">
        <v>6</v>
      </c>
      <c r="O416" s="149">
        <v>5821</v>
      </c>
      <c r="P416" s="224"/>
      <c r="Q416" s="224"/>
      <c r="R416" s="224"/>
      <c r="S416" s="224"/>
      <c r="T416" s="224"/>
      <c r="U416" s="224"/>
      <c r="V416" s="224"/>
      <c r="W416" s="224"/>
      <c r="X416" s="224"/>
      <c r="Y416" s="224"/>
      <c r="Z416" s="224"/>
      <c r="AA416" s="224"/>
      <c r="AB416" s="224"/>
      <c r="AC416" s="224"/>
      <c r="AD416" s="143" t="s">
        <v>2185</v>
      </c>
      <c r="AE416" s="143" t="s">
        <v>2254</v>
      </c>
    </row>
    <row r="417" spans="1:31" ht="24.95" customHeight="1" x14ac:dyDescent="0.2">
      <c r="A417" s="144">
        <v>887</v>
      </c>
      <c r="B417" s="145" t="s">
        <v>2659</v>
      </c>
      <c r="C417" s="146" t="s">
        <v>2215</v>
      </c>
      <c r="D417" s="146" t="s">
        <v>2258</v>
      </c>
      <c r="E417" s="147" t="s">
        <v>2310</v>
      </c>
      <c r="F417" s="148">
        <v>8660</v>
      </c>
      <c r="G417" s="149">
        <v>7555</v>
      </c>
      <c r="H417" s="149">
        <v>163</v>
      </c>
      <c r="I417" s="196"/>
      <c r="J417" s="149">
        <v>8364</v>
      </c>
      <c r="K417" s="149">
        <v>7497</v>
      </c>
      <c r="L417" s="149">
        <v>130</v>
      </c>
      <c r="M417" s="149">
        <v>4479</v>
      </c>
      <c r="N417" s="149">
        <v>16</v>
      </c>
      <c r="O417" s="149">
        <v>6479</v>
      </c>
      <c r="P417" s="224"/>
      <c r="Q417" s="224"/>
      <c r="R417" s="224"/>
      <c r="S417" s="224"/>
      <c r="T417" s="224"/>
      <c r="U417" s="224"/>
      <c r="V417" s="224"/>
      <c r="W417" s="224"/>
      <c r="X417" s="224"/>
      <c r="Y417" s="224"/>
      <c r="Z417" s="224"/>
      <c r="AA417" s="224"/>
      <c r="AB417" s="224"/>
      <c r="AC417" s="224"/>
      <c r="AD417" s="143" t="s">
        <v>2185</v>
      </c>
      <c r="AE417" s="143" t="s">
        <v>2254</v>
      </c>
    </row>
    <row r="418" spans="1:31" ht="24.95" customHeight="1" x14ac:dyDescent="0.2">
      <c r="A418" s="144">
        <v>888</v>
      </c>
      <c r="B418" s="145" t="s">
        <v>2660</v>
      </c>
      <c r="C418" s="146" t="s">
        <v>2258</v>
      </c>
      <c r="D418" s="146" t="s">
        <v>2258</v>
      </c>
      <c r="E418" s="147" t="s">
        <v>2310</v>
      </c>
      <c r="F418" s="148">
        <v>7365</v>
      </c>
      <c r="G418" s="149">
        <f>40+555+1010+2960+2995</f>
        <v>7560</v>
      </c>
      <c r="H418" s="149">
        <v>145</v>
      </c>
      <c r="I418" s="196"/>
      <c r="J418" s="149">
        <v>7358</v>
      </c>
      <c r="K418" s="149">
        <v>8243</v>
      </c>
      <c r="L418" s="149">
        <v>143</v>
      </c>
      <c r="M418" s="149">
        <v>9370</v>
      </c>
      <c r="N418" s="149">
        <v>5</v>
      </c>
      <c r="O418" s="149">
        <v>9716</v>
      </c>
      <c r="P418" s="224"/>
      <c r="Q418" s="224"/>
      <c r="R418" s="224"/>
      <c r="S418" s="224"/>
      <c r="T418" s="224"/>
      <c r="U418" s="224"/>
      <c r="V418" s="224"/>
      <c r="W418" s="224"/>
      <c r="X418" s="224"/>
      <c r="Y418" s="224"/>
      <c r="Z418" s="224"/>
      <c r="AA418" s="224"/>
      <c r="AB418" s="224"/>
      <c r="AC418" s="224"/>
      <c r="AD418" s="143" t="s">
        <v>2185</v>
      </c>
      <c r="AE418" s="143" t="s">
        <v>2254</v>
      </c>
    </row>
    <row r="419" spans="1:31" ht="24.95" customHeight="1" x14ac:dyDescent="0.2">
      <c r="A419" s="144">
        <v>892</v>
      </c>
      <c r="B419" s="145" t="s">
        <v>2661</v>
      </c>
      <c r="C419" s="146" t="s">
        <v>2258</v>
      </c>
      <c r="D419" s="146" t="s">
        <v>2258</v>
      </c>
      <c r="E419" s="147" t="s">
        <v>2564</v>
      </c>
      <c r="F419" s="148">
        <v>8395</v>
      </c>
      <c r="G419" s="149">
        <f>10+175+230+3370+2457+2</f>
        <v>6244</v>
      </c>
      <c r="H419" s="149">
        <v>104</v>
      </c>
      <c r="I419" s="196"/>
      <c r="J419" s="149">
        <v>0</v>
      </c>
      <c r="K419" s="149">
        <v>0</v>
      </c>
      <c r="L419" s="149">
        <v>0</v>
      </c>
      <c r="M419" s="149">
        <v>0</v>
      </c>
      <c r="N419" s="149">
        <v>0</v>
      </c>
      <c r="O419" s="149">
        <v>0</v>
      </c>
      <c r="P419" s="224"/>
      <c r="Q419" s="224"/>
      <c r="R419" s="224"/>
      <c r="S419" s="224"/>
      <c r="T419" s="224"/>
      <c r="U419" s="224"/>
      <c r="V419" s="224"/>
      <c r="W419" s="224"/>
      <c r="X419" s="224"/>
      <c r="Y419" s="224"/>
      <c r="Z419" s="224"/>
      <c r="AA419" s="224"/>
      <c r="AB419" s="224"/>
      <c r="AC419" s="224"/>
      <c r="AD419" s="143" t="s">
        <v>2347</v>
      </c>
      <c r="AE419" s="143" t="s">
        <v>2254</v>
      </c>
    </row>
    <row r="420" spans="1:31" ht="24.95" customHeight="1" x14ac:dyDescent="0.2">
      <c r="A420" s="144">
        <v>897</v>
      </c>
      <c r="B420" s="145" t="s">
        <v>2662</v>
      </c>
      <c r="C420" s="146" t="s">
        <v>2258</v>
      </c>
      <c r="D420" s="146" t="s">
        <v>2258</v>
      </c>
      <c r="E420" s="147" t="s">
        <v>2265</v>
      </c>
      <c r="F420" s="148">
        <v>6885</v>
      </c>
      <c r="G420" s="149">
        <f>40+240+795+1741+1+2783</f>
        <v>5600</v>
      </c>
      <c r="H420" s="149">
        <v>39</v>
      </c>
      <c r="I420" s="196"/>
      <c r="J420" s="149">
        <v>0</v>
      </c>
      <c r="K420" s="149">
        <v>0</v>
      </c>
      <c r="L420" s="149">
        <v>0</v>
      </c>
      <c r="M420" s="149">
        <v>0</v>
      </c>
      <c r="N420" s="149">
        <v>0</v>
      </c>
      <c r="O420" s="149">
        <v>0</v>
      </c>
      <c r="P420" s="224"/>
      <c r="Q420" s="224"/>
      <c r="R420" s="224"/>
      <c r="S420" s="224"/>
      <c r="T420" s="224"/>
      <c r="U420" s="224"/>
      <c r="V420" s="224"/>
      <c r="W420" s="224"/>
      <c r="X420" s="224"/>
      <c r="Y420" s="224"/>
      <c r="Z420" s="224"/>
      <c r="AA420" s="224"/>
      <c r="AB420" s="224"/>
      <c r="AC420" s="224"/>
      <c r="AD420" s="143" t="s">
        <v>2347</v>
      </c>
      <c r="AE420" s="143" t="s">
        <v>2254</v>
      </c>
    </row>
    <row r="421" spans="1:31" ht="24.95" customHeight="1" x14ac:dyDescent="0.2">
      <c r="A421" s="144">
        <v>898</v>
      </c>
      <c r="B421" s="145" t="s">
        <v>2663</v>
      </c>
      <c r="C421" s="146" t="s">
        <v>2258</v>
      </c>
      <c r="D421" s="146" t="s">
        <v>2258</v>
      </c>
      <c r="E421" s="147" t="s">
        <v>2265</v>
      </c>
      <c r="F421" s="148">
        <v>7060</v>
      </c>
      <c r="G421" s="149">
        <f>60+140+290+315+3360+1366+3</f>
        <v>5534</v>
      </c>
      <c r="H421" s="149">
        <f>33+54</f>
        <v>87</v>
      </c>
      <c r="I421" s="196"/>
      <c r="J421" s="149">
        <v>0</v>
      </c>
      <c r="K421" s="149">
        <v>0</v>
      </c>
      <c r="L421" s="149">
        <v>0</v>
      </c>
      <c r="M421" s="149">
        <v>0</v>
      </c>
      <c r="N421" s="149">
        <v>0</v>
      </c>
      <c r="O421" s="149">
        <v>0</v>
      </c>
      <c r="P421" s="224"/>
      <c r="Q421" s="224"/>
      <c r="R421" s="224"/>
      <c r="S421" s="224"/>
      <c r="T421" s="224"/>
      <c r="U421" s="224"/>
      <c r="V421" s="224"/>
      <c r="W421" s="224"/>
      <c r="X421" s="224"/>
      <c r="Y421" s="224"/>
      <c r="Z421" s="224"/>
      <c r="AA421" s="224"/>
      <c r="AB421" s="224"/>
      <c r="AC421" s="224"/>
      <c r="AD421" s="143" t="s">
        <v>2347</v>
      </c>
      <c r="AE421" s="143" t="s">
        <v>2254</v>
      </c>
    </row>
    <row r="422" spans="1:31" ht="24.95" customHeight="1" x14ac:dyDescent="0.2">
      <c r="A422" s="144">
        <v>903</v>
      </c>
      <c r="B422" s="145" t="s">
        <v>2664</v>
      </c>
      <c r="C422" s="146" t="s">
        <v>2258</v>
      </c>
      <c r="D422" s="146" t="s">
        <v>2258</v>
      </c>
      <c r="E422" s="147" t="s">
        <v>2265</v>
      </c>
      <c r="F422" s="148">
        <v>4845</v>
      </c>
      <c r="G422" s="149">
        <v>3380</v>
      </c>
      <c r="H422" s="149">
        <v>34</v>
      </c>
      <c r="I422" s="196"/>
      <c r="J422" s="149">
        <v>5101</v>
      </c>
      <c r="K422" s="149">
        <v>2150</v>
      </c>
      <c r="L422" s="149">
        <v>5</v>
      </c>
      <c r="M422" s="149">
        <v>1063</v>
      </c>
      <c r="N422" s="149">
        <v>0</v>
      </c>
      <c r="O422" s="149">
        <v>1293</v>
      </c>
      <c r="P422" s="224"/>
      <c r="Q422" s="224"/>
      <c r="R422" s="224"/>
      <c r="S422" s="224"/>
      <c r="T422" s="224"/>
      <c r="U422" s="224"/>
      <c r="V422" s="224"/>
      <c r="W422" s="224"/>
      <c r="X422" s="224"/>
      <c r="Y422" s="224"/>
      <c r="Z422" s="224"/>
      <c r="AA422" s="224"/>
      <c r="AB422" s="224"/>
      <c r="AC422" s="224"/>
      <c r="AD422" s="143" t="s">
        <v>2185</v>
      </c>
      <c r="AE422" s="143" t="s">
        <v>2254</v>
      </c>
    </row>
    <row r="423" spans="1:31" ht="24.95" customHeight="1" x14ac:dyDescent="0.2">
      <c r="A423" s="144">
        <v>912</v>
      </c>
      <c r="B423" s="145" t="s">
        <v>2665</v>
      </c>
      <c r="C423" s="146" t="s">
        <v>2222</v>
      </c>
      <c r="D423" s="146" t="s">
        <v>2222</v>
      </c>
      <c r="E423" s="147" t="s">
        <v>2310</v>
      </c>
      <c r="F423" s="148">
        <f>455+4030</f>
        <v>4485</v>
      </c>
      <c r="G423" s="149">
        <v>3550</v>
      </c>
      <c r="H423" s="149">
        <v>78</v>
      </c>
      <c r="I423" s="196"/>
      <c r="J423" s="149">
        <v>0</v>
      </c>
      <c r="K423" s="149">
        <v>0</v>
      </c>
      <c r="L423" s="149">
        <v>0</v>
      </c>
      <c r="M423" s="149">
        <v>0</v>
      </c>
      <c r="N423" s="149">
        <v>0</v>
      </c>
      <c r="O423" s="149">
        <v>0</v>
      </c>
      <c r="P423" s="224"/>
      <c r="Q423" s="224"/>
      <c r="R423" s="224"/>
      <c r="S423" s="224"/>
      <c r="T423" s="224"/>
      <c r="U423" s="224"/>
      <c r="V423" s="224"/>
      <c r="W423" s="224"/>
      <c r="X423" s="224"/>
      <c r="Y423" s="224"/>
      <c r="Z423" s="224"/>
      <c r="AA423" s="224"/>
      <c r="AB423" s="224"/>
      <c r="AC423" s="224"/>
      <c r="AD423" s="143" t="s">
        <v>2185</v>
      </c>
      <c r="AE423" s="143" t="s">
        <v>2254</v>
      </c>
    </row>
    <row r="424" spans="1:31" ht="23.45" customHeight="1" x14ac:dyDescent="0.2">
      <c r="A424" s="144">
        <v>926</v>
      </c>
      <c r="B424" s="145" t="s">
        <v>2666</v>
      </c>
      <c r="C424" s="146" t="s">
        <v>2215</v>
      </c>
      <c r="D424" s="146" t="s">
        <v>2215</v>
      </c>
      <c r="E424" s="147" t="s">
        <v>2265</v>
      </c>
      <c r="F424" s="148">
        <v>2830</v>
      </c>
      <c r="G424" s="149">
        <f>200+4110+3085</f>
        <v>7395</v>
      </c>
      <c r="H424" s="149">
        <v>39</v>
      </c>
      <c r="I424" s="196"/>
      <c r="J424" s="149">
        <v>3141</v>
      </c>
      <c r="K424" s="149">
        <v>7395</v>
      </c>
      <c r="L424" s="149">
        <v>41</v>
      </c>
      <c r="M424" s="149">
        <v>2423</v>
      </c>
      <c r="N424" s="149">
        <v>5</v>
      </c>
      <c r="O424" s="149">
        <v>2129</v>
      </c>
      <c r="P424" s="224"/>
      <c r="Q424" s="224"/>
      <c r="R424" s="224"/>
      <c r="S424" s="224"/>
      <c r="T424" s="224"/>
      <c r="U424" s="224"/>
      <c r="V424" s="224"/>
      <c r="W424" s="224"/>
      <c r="X424" s="224"/>
      <c r="Y424" s="224"/>
      <c r="Z424" s="224"/>
      <c r="AA424" s="224"/>
      <c r="AB424" s="224"/>
      <c r="AC424" s="224"/>
      <c r="AD424" s="143" t="s">
        <v>2185</v>
      </c>
      <c r="AE424" s="143" t="s">
        <v>2254</v>
      </c>
    </row>
    <row r="425" spans="1:31" ht="24.95" customHeight="1" x14ac:dyDescent="0.2">
      <c r="A425" s="144">
        <v>945</v>
      </c>
      <c r="B425" s="145" t="s">
        <v>2667</v>
      </c>
      <c r="C425" s="146" t="s">
        <v>2309</v>
      </c>
      <c r="D425" s="146" t="s">
        <v>2309</v>
      </c>
      <c r="E425" s="147" t="s">
        <v>2310</v>
      </c>
      <c r="F425" s="148">
        <v>7950</v>
      </c>
      <c r="G425" s="149">
        <v>9810</v>
      </c>
      <c r="H425" s="149">
        <v>105</v>
      </c>
      <c r="I425" s="196"/>
      <c r="J425" s="149">
        <v>8462</v>
      </c>
      <c r="K425" s="149">
        <v>9843</v>
      </c>
      <c r="L425" s="149">
        <v>115</v>
      </c>
      <c r="M425" s="149">
        <v>8646</v>
      </c>
      <c r="N425" s="149">
        <v>6719</v>
      </c>
      <c r="O425" s="149">
        <v>0</v>
      </c>
      <c r="P425" s="224"/>
      <c r="Q425" s="224"/>
      <c r="R425" s="224"/>
      <c r="S425" s="224"/>
      <c r="T425" s="224"/>
      <c r="U425" s="224"/>
      <c r="V425" s="224"/>
      <c r="W425" s="224"/>
      <c r="X425" s="224"/>
      <c r="Y425" s="224"/>
      <c r="Z425" s="224"/>
      <c r="AA425" s="224"/>
      <c r="AB425" s="224"/>
      <c r="AC425" s="224"/>
      <c r="AD425" s="143" t="s">
        <v>2185</v>
      </c>
      <c r="AE425" s="143" t="s">
        <v>2254</v>
      </c>
    </row>
    <row r="426" spans="1:31" ht="24.95" customHeight="1" x14ac:dyDescent="0.2">
      <c r="A426" s="144">
        <v>947</v>
      </c>
      <c r="B426" s="150" t="s">
        <v>2668</v>
      </c>
      <c r="C426" s="146" t="s">
        <v>2256</v>
      </c>
      <c r="D426" s="146" t="s">
        <v>2256</v>
      </c>
      <c r="E426" s="147" t="s">
        <v>2184</v>
      </c>
      <c r="F426" s="148">
        <v>6920</v>
      </c>
      <c r="G426" s="149">
        <v>11300</v>
      </c>
      <c r="H426" s="149">
        <v>123</v>
      </c>
      <c r="I426" s="196"/>
      <c r="J426" s="149">
        <v>7764</v>
      </c>
      <c r="K426" s="149">
        <v>11794</v>
      </c>
      <c r="L426" s="149">
        <v>113</v>
      </c>
      <c r="M426" s="149">
        <v>7454</v>
      </c>
      <c r="N426" s="149">
        <v>3</v>
      </c>
      <c r="O426" s="149">
        <v>6867</v>
      </c>
      <c r="P426" s="224"/>
      <c r="Q426" s="224"/>
      <c r="R426" s="224"/>
      <c r="S426" s="224"/>
      <c r="T426" s="224"/>
      <c r="U426" s="224"/>
      <c r="V426" s="224"/>
      <c r="W426" s="224"/>
      <c r="X426" s="224"/>
      <c r="Y426" s="224"/>
      <c r="Z426" s="224"/>
      <c r="AA426" s="224"/>
      <c r="AB426" s="224"/>
      <c r="AC426" s="224"/>
      <c r="AD426" s="143" t="s">
        <v>2185</v>
      </c>
      <c r="AE426" s="143" t="s">
        <v>2254</v>
      </c>
    </row>
    <row r="427" spans="1:31" ht="24.95" customHeight="1" x14ac:dyDescent="0.2">
      <c r="A427" s="144">
        <v>954</v>
      </c>
      <c r="B427" s="145" t="s">
        <v>2669</v>
      </c>
      <c r="C427" s="146" t="s">
        <v>2229</v>
      </c>
      <c r="D427" s="146" t="s">
        <v>2365</v>
      </c>
      <c r="E427" s="147" t="s">
        <v>2310</v>
      </c>
      <c r="F427" s="148">
        <v>6835</v>
      </c>
      <c r="G427" s="149">
        <v>4326</v>
      </c>
      <c r="H427" s="149">
        <v>95</v>
      </c>
      <c r="I427" s="196"/>
      <c r="J427" s="149">
        <v>7467</v>
      </c>
      <c r="K427" s="149">
        <v>0</v>
      </c>
      <c r="L427" s="149">
        <v>87</v>
      </c>
      <c r="M427" s="149">
        <v>4218</v>
      </c>
      <c r="N427" s="149">
        <v>1</v>
      </c>
      <c r="O427" s="149">
        <v>5471</v>
      </c>
      <c r="P427" s="224"/>
      <c r="Q427" s="224"/>
      <c r="R427" s="224"/>
      <c r="S427" s="224"/>
      <c r="T427" s="224"/>
      <c r="U427" s="224"/>
      <c r="V427" s="224"/>
      <c r="W427" s="224"/>
      <c r="X427" s="224"/>
      <c r="Y427" s="224"/>
      <c r="Z427" s="224"/>
      <c r="AA427" s="224"/>
      <c r="AB427" s="224"/>
      <c r="AC427" s="224"/>
      <c r="AD427" s="143" t="s">
        <v>2185</v>
      </c>
      <c r="AE427" s="143" t="s">
        <v>2254</v>
      </c>
    </row>
    <row r="428" spans="1:31" ht="24.95" customHeight="1" x14ac:dyDescent="0.2">
      <c r="A428" s="144">
        <v>955</v>
      </c>
      <c r="B428" s="150" t="s">
        <v>2670</v>
      </c>
      <c r="C428" s="146" t="s">
        <v>2229</v>
      </c>
      <c r="D428" s="146" t="s">
        <v>2365</v>
      </c>
      <c r="E428" s="147" t="s">
        <v>2223</v>
      </c>
      <c r="F428" s="148">
        <v>3910</v>
      </c>
      <c r="G428" s="149">
        <v>4501</v>
      </c>
      <c r="H428" s="149">
        <v>83</v>
      </c>
      <c r="I428" s="196"/>
      <c r="J428" s="149">
        <v>4076</v>
      </c>
      <c r="K428" s="149">
        <v>1290</v>
      </c>
      <c r="L428" s="149">
        <v>64</v>
      </c>
      <c r="M428" s="149">
        <v>4729</v>
      </c>
      <c r="N428" s="149">
        <v>4</v>
      </c>
      <c r="O428" s="149">
        <v>2063</v>
      </c>
      <c r="P428" s="224"/>
      <c r="Q428" s="224"/>
      <c r="R428" s="224"/>
      <c r="S428" s="224"/>
      <c r="T428" s="224"/>
      <c r="U428" s="224"/>
      <c r="V428" s="224"/>
      <c r="W428" s="224"/>
      <c r="X428" s="224"/>
      <c r="Y428" s="224"/>
      <c r="Z428" s="224"/>
      <c r="AA428" s="224"/>
      <c r="AB428" s="224"/>
      <c r="AC428" s="224"/>
      <c r="AD428" s="143" t="s">
        <v>2185</v>
      </c>
      <c r="AE428" s="143" t="s">
        <v>2254</v>
      </c>
    </row>
    <row r="429" spans="1:31" ht="24.95" customHeight="1" x14ac:dyDescent="0.2">
      <c r="A429" s="144">
        <v>991</v>
      </c>
      <c r="B429" s="145" t="s">
        <v>2671</v>
      </c>
      <c r="C429" s="146" t="s">
        <v>2183</v>
      </c>
      <c r="D429" s="146" t="s">
        <v>2183</v>
      </c>
      <c r="E429" s="147" t="s">
        <v>2265</v>
      </c>
      <c r="F429" s="148">
        <v>3320</v>
      </c>
      <c r="G429" s="149">
        <f>2990+988</f>
        <v>3978</v>
      </c>
      <c r="H429" s="149">
        <v>42</v>
      </c>
      <c r="I429" s="196"/>
      <c r="J429" s="149">
        <v>3341</v>
      </c>
      <c r="K429" s="149">
        <v>3975</v>
      </c>
      <c r="L429" s="149">
        <v>40</v>
      </c>
      <c r="M429" s="149">
        <v>2368</v>
      </c>
      <c r="N429" s="149">
        <f>52-40</f>
        <v>12</v>
      </c>
      <c r="O429" s="149">
        <v>3006</v>
      </c>
      <c r="P429" s="224"/>
      <c r="Q429" s="224"/>
      <c r="R429" s="224"/>
      <c r="S429" s="224"/>
      <c r="T429" s="224"/>
      <c r="U429" s="224"/>
      <c r="V429" s="224"/>
      <c r="W429" s="224"/>
      <c r="X429" s="224"/>
      <c r="Y429" s="224"/>
      <c r="Z429" s="224"/>
      <c r="AA429" s="224"/>
      <c r="AB429" s="224"/>
      <c r="AC429" s="224"/>
      <c r="AD429" s="143" t="s">
        <v>2185</v>
      </c>
      <c r="AE429" s="143" t="s">
        <v>2254</v>
      </c>
    </row>
    <row r="430" spans="1:31" ht="24.95" customHeight="1" x14ac:dyDescent="0.2">
      <c r="A430" s="144">
        <v>993</v>
      </c>
      <c r="B430" s="145" t="s">
        <v>2672</v>
      </c>
      <c r="C430" s="146" t="s">
        <v>2183</v>
      </c>
      <c r="D430" s="146" t="s">
        <v>2183</v>
      </c>
      <c r="E430" s="147" t="s">
        <v>2265</v>
      </c>
      <c r="F430" s="148">
        <v>2595</v>
      </c>
      <c r="G430" s="149">
        <f>10+55+255+305+730+1285+2150+1</f>
        <v>4791</v>
      </c>
      <c r="H430" s="149">
        <v>39</v>
      </c>
      <c r="I430" s="196"/>
      <c r="J430" s="149">
        <v>0</v>
      </c>
      <c r="K430" s="149">
        <v>0</v>
      </c>
      <c r="L430" s="149">
        <v>0</v>
      </c>
      <c r="M430" s="149">
        <v>0</v>
      </c>
      <c r="N430" s="149">
        <v>0</v>
      </c>
      <c r="O430" s="149">
        <v>0</v>
      </c>
      <c r="P430" s="224"/>
      <c r="Q430" s="224"/>
      <c r="R430" s="224"/>
      <c r="S430" s="224"/>
      <c r="T430" s="224"/>
      <c r="U430" s="224"/>
      <c r="V430" s="224"/>
      <c r="W430" s="224"/>
      <c r="X430" s="224"/>
      <c r="Y430" s="224"/>
      <c r="Z430" s="224"/>
      <c r="AA430" s="224"/>
      <c r="AB430" s="224"/>
      <c r="AC430" s="224"/>
      <c r="AD430" s="143" t="s">
        <v>2598</v>
      </c>
      <c r="AE430" s="143" t="s">
        <v>2186</v>
      </c>
    </row>
    <row r="431" spans="1:31" ht="24.95" customHeight="1" x14ac:dyDescent="0.2">
      <c r="A431" s="144">
        <v>992</v>
      </c>
      <c r="B431" s="145" t="s">
        <v>2673</v>
      </c>
      <c r="C431" s="146" t="s">
        <v>2183</v>
      </c>
      <c r="D431" s="146" t="s">
        <v>2183</v>
      </c>
      <c r="E431" s="147" t="s">
        <v>2184</v>
      </c>
      <c r="F431" s="148">
        <v>3950</v>
      </c>
      <c r="G431" s="149">
        <v>3628</v>
      </c>
      <c r="H431" s="149">
        <v>31</v>
      </c>
      <c r="I431" s="196"/>
      <c r="J431" s="149">
        <v>3741</v>
      </c>
      <c r="K431" s="149">
        <v>5450</v>
      </c>
      <c r="L431" s="149">
        <v>28</v>
      </c>
      <c r="M431" s="149">
        <v>1548</v>
      </c>
      <c r="N431" s="149">
        <f>37-28</f>
        <v>9</v>
      </c>
      <c r="O431" s="149">
        <v>2737</v>
      </c>
      <c r="P431" s="224"/>
      <c r="Q431" s="224"/>
      <c r="R431" s="224"/>
      <c r="S431" s="224"/>
      <c r="T431" s="224"/>
      <c r="U431" s="224"/>
      <c r="V431" s="224"/>
      <c r="W431" s="224"/>
      <c r="X431" s="224"/>
      <c r="Y431" s="224"/>
      <c r="Z431" s="224"/>
      <c r="AA431" s="224"/>
      <c r="AB431" s="224"/>
      <c r="AC431" s="224"/>
      <c r="AD431" s="143" t="s">
        <v>2185</v>
      </c>
      <c r="AE431" s="143" t="s">
        <v>2254</v>
      </c>
    </row>
    <row r="432" spans="1:31" ht="24.95" customHeight="1" x14ac:dyDescent="0.2">
      <c r="A432" s="144">
        <v>994</v>
      </c>
      <c r="B432" s="145" t="s">
        <v>2674</v>
      </c>
      <c r="C432" s="146" t="s">
        <v>2183</v>
      </c>
      <c r="D432" s="146" t="s">
        <v>2183</v>
      </c>
      <c r="E432" s="147" t="s">
        <v>2310</v>
      </c>
      <c r="F432" s="148">
        <f>2395+365+1745+220</f>
        <v>4725</v>
      </c>
      <c r="G432" s="149">
        <f>20+70+330+345+835+1265+101+1+4001+2+3</f>
        <v>6973</v>
      </c>
      <c r="H432" s="149">
        <v>35</v>
      </c>
      <c r="I432" s="196"/>
      <c r="J432" s="149">
        <v>0</v>
      </c>
      <c r="K432" s="149">
        <v>0</v>
      </c>
      <c r="L432" s="149">
        <v>0</v>
      </c>
      <c r="M432" s="149">
        <v>0</v>
      </c>
      <c r="N432" s="149">
        <v>0</v>
      </c>
      <c r="O432" s="149">
        <v>0</v>
      </c>
      <c r="P432" s="224"/>
      <c r="Q432" s="224"/>
      <c r="R432" s="224"/>
      <c r="S432" s="224"/>
      <c r="T432" s="224"/>
      <c r="U432" s="224"/>
      <c r="V432" s="224"/>
      <c r="W432" s="224"/>
      <c r="X432" s="224"/>
      <c r="Y432" s="224"/>
      <c r="Z432" s="224"/>
      <c r="AA432" s="224"/>
      <c r="AB432" s="224"/>
      <c r="AC432" s="224"/>
      <c r="AD432" s="143" t="s">
        <v>2347</v>
      </c>
      <c r="AE432" s="143" t="s">
        <v>2254</v>
      </c>
    </row>
    <row r="433" spans="1:31" ht="24.95" customHeight="1" x14ac:dyDescent="0.2">
      <c r="A433" s="144">
        <v>995</v>
      </c>
      <c r="B433" s="145" t="s">
        <v>2675</v>
      </c>
      <c r="C433" s="146" t="s">
        <v>2183</v>
      </c>
      <c r="D433" s="146" t="s">
        <v>2183</v>
      </c>
      <c r="E433" s="147" t="s">
        <v>2265</v>
      </c>
      <c r="F433" s="148">
        <v>1950</v>
      </c>
      <c r="G433" s="149">
        <f>7841-21</f>
        <v>7820</v>
      </c>
      <c r="H433" s="149">
        <v>17</v>
      </c>
      <c r="I433" s="196"/>
      <c r="J433" s="149">
        <v>1708</v>
      </c>
      <c r="K433" s="149">
        <v>7820</v>
      </c>
      <c r="L433" s="149">
        <v>12</v>
      </c>
      <c r="M433" s="149">
        <v>807</v>
      </c>
      <c r="N433" s="149">
        <v>7</v>
      </c>
      <c r="O433" s="149">
        <v>1123</v>
      </c>
      <c r="P433" s="224"/>
      <c r="Q433" s="224"/>
      <c r="R433" s="224"/>
      <c r="S433" s="224"/>
      <c r="T433" s="224"/>
      <c r="U433" s="224"/>
      <c r="V433" s="224"/>
      <c r="W433" s="224"/>
      <c r="X433" s="224"/>
      <c r="Y433" s="224"/>
      <c r="Z433" s="224"/>
      <c r="AA433" s="224"/>
      <c r="AB433" s="224"/>
      <c r="AC433" s="224"/>
      <c r="AD433" s="143" t="s">
        <v>2185</v>
      </c>
      <c r="AE433" s="143" t="s">
        <v>2254</v>
      </c>
    </row>
    <row r="434" spans="1:31" ht="24.95" customHeight="1" x14ac:dyDescent="0.2">
      <c r="A434" s="144">
        <v>1000</v>
      </c>
      <c r="B434" s="150" t="s">
        <v>2676</v>
      </c>
      <c r="C434" s="146" t="s">
        <v>2258</v>
      </c>
      <c r="D434" s="146" t="s">
        <v>2258</v>
      </c>
      <c r="E434" s="147" t="s">
        <v>2223</v>
      </c>
      <c r="F434" s="148">
        <v>8395</v>
      </c>
      <c r="G434" s="149">
        <v>9395</v>
      </c>
      <c r="H434" s="149">
        <v>108</v>
      </c>
      <c r="I434" s="196"/>
      <c r="J434" s="149">
        <v>9577</v>
      </c>
      <c r="K434" s="149">
        <v>9919</v>
      </c>
      <c r="L434" s="149">
        <v>137</v>
      </c>
      <c r="M434" s="149">
        <v>6361</v>
      </c>
      <c r="N434" s="149">
        <v>20</v>
      </c>
      <c r="O434" s="149">
        <v>7017</v>
      </c>
      <c r="P434" s="224"/>
      <c r="Q434" s="224"/>
      <c r="R434" s="224"/>
      <c r="S434" s="224"/>
      <c r="T434" s="224"/>
      <c r="U434" s="224"/>
      <c r="V434" s="224"/>
      <c r="W434" s="224"/>
      <c r="X434" s="224"/>
      <c r="Y434" s="224"/>
      <c r="Z434" s="224"/>
      <c r="AA434" s="224"/>
      <c r="AB434" s="224"/>
      <c r="AC434" s="224"/>
      <c r="AD434" s="143" t="s">
        <v>2185</v>
      </c>
      <c r="AE434" s="143" t="s">
        <v>2186</v>
      </c>
    </row>
    <row r="435" spans="1:31" ht="24.95" customHeight="1" x14ac:dyDescent="0.2">
      <c r="A435" s="144">
        <v>1107</v>
      </c>
      <c r="B435" s="145" t="s">
        <v>2677</v>
      </c>
      <c r="C435" s="146" t="s">
        <v>2258</v>
      </c>
      <c r="D435" s="146" t="s">
        <v>2258</v>
      </c>
      <c r="E435" s="147" t="s">
        <v>2265</v>
      </c>
      <c r="F435" s="148">
        <v>5390</v>
      </c>
      <c r="G435" s="149">
        <f>25+440+775+1900+1542+1</f>
        <v>4683</v>
      </c>
      <c r="H435" s="149">
        <v>25</v>
      </c>
      <c r="I435" s="196"/>
      <c r="J435" s="149">
        <v>0</v>
      </c>
      <c r="K435" s="149">
        <v>0</v>
      </c>
      <c r="L435" s="149">
        <v>0</v>
      </c>
      <c r="M435" s="149">
        <v>0</v>
      </c>
      <c r="N435" s="149">
        <v>0</v>
      </c>
      <c r="O435" s="149">
        <v>0</v>
      </c>
      <c r="P435" s="224"/>
      <c r="Q435" s="224"/>
      <c r="R435" s="224"/>
      <c r="S435" s="224"/>
      <c r="T435" s="224"/>
      <c r="U435" s="224"/>
      <c r="V435" s="224"/>
      <c r="W435" s="224"/>
      <c r="X435" s="224"/>
      <c r="Y435" s="224"/>
      <c r="Z435" s="224"/>
      <c r="AA435" s="224"/>
      <c r="AB435" s="224"/>
      <c r="AC435" s="224"/>
      <c r="AD435" s="143" t="s">
        <v>2347</v>
      </c>
      <c r="AE435" s="143" t="s">
        <v>2254</v>
      </c>
    </row>
    <row r="436" spans="1:31" ht="24.95" customHeight="1" x14ac:dyDescent="0.2">
      <c r="A436" s="144">
        <v>1022</v>
      </c>
      <c r="B436" s="150" t="s">
        <v>2678</v>
      </c>
      <c r="C436" s="146" t="s">
        <v>2183</v>
      </c>
      <c r="D436" s="146" t="s">
        <v>2562</v>
      </c>
      <c r="E436" s="147" t="s">
        <v>2184</v>
      </c>
      <c r="F436" s="148">
        <v>6575</v>
      </c>
      <c r="G436" s="149">
        <v>8210</v>
      </c>
      <c r="H436" s="149">
        <v>109</v>
      </c>
      <c r="I436" s="196"/>
      <c r="J436" s="149">
        <v>6830</v>
      </c>
      <c r="K436" s="149">
        <v>9120</v>
      </c>
      <c r="L436" s="149">
        <v>90</v>
      </c>
      <c r="M436" s="149">
        <v>6662</v>
      </c>
      <c r="N436" s="149">
        <v>4</v>
      </c>
      <c r="O436" s="149">
        <v>5677</v>
      </c>
      <c r="P436" s="224"/>
      <c r="Q436" s="224"/>
      <c r="R436" s="224"/>
      <c r="S436" s="224"/>
      <c r="T436" s="224"/>
      <c r="U436" s="224"/>
      <c r="V436" s="224"/>
      <c r="W436" s="224"/>
      <c r="X436" s="224"/>
      <c r="Y436" s="224"/>
      <c r="Z436" s="224"/>
      <c r="AA436" s="224"/>
      <c r="AB436" s="224"/>
      <c r="AC436" s="224"/>
      <c r="AD436" s="143" t="s">
        <v>2185</v>
      </c>
      <c r="AE436" s="143" t="s">
        <v>2254</v>
      </c>
    </row>
    <row r="437" spans="1:31" ht="24.95" customHeight="1" x14ac:dyDescent="0.2">
      <c r="A437" s="144">
        <v>1035</v>
      </c>
      <c r="B437" s="145" t="s">
        <v>2679</v>
      </c>
      <c r="C437" s="146" t="s">
        <v>2256</v>
      </c>
      <c r="D437" s="146" t="s">
        <v>2256</v>
      </c>
      <c r="E437" s="147" t="s">
        <v>2184</v>
      </c>
      <c r="F437" s="148">
        <v>5525</v>
      </c>
      <c r="G437" s="149">
        <v>5180</v>
      </c>
      <c r="H437" s="149">
        <v>66</v>
      </c>
      <c r="I437" s="196"/>
      <c r="J437" s="149">
        <v>4928</v>
      </c>
      <c r="K437" s="149">
        <v>5402</v>
      </c>
      <c r="L437" s="149">
        <v>66</v>
      </c>
      <c r="M437" s="149">
        <v>5572</v>
      </c>
      <c r="N437" s="149">
        <v>4</v>
      </c>
      <c r="O437" s="149">
        <v>4259</v>
      </c>
      <c r="P437" s="224"/>
      <c r="Q437" s="224"/>
      <c r="R437" s="224"/>
      <c r="S437" s="224"/>
      <c r="T437" s="224"/>
      <c r="U437" s="224"/>
      <c r="V437" s="224"/>
      <c r="W437" s="224"/>
      <c r="X437" s="224"/>
      <c r="Y437" s="224"/>
      <c r="Z437" s="224"/>
      <c r="AA437" s="224"/>
      <c r="AB437" s="224"/>
      <c r="AC437" s="224"/>
      <c r="AD437" s="143" t="s">
        <v>2185</v>
      </c>
      <c r="AE437" s="143" t="s">
        <v>2254</v>
      </c>
    </row>
    <row r="438" spans="1:31" ht="24.95" customHeight="1" x14ac:dyDescent="0.2">
      <c r="A438" s="144">
        <v>1037</v>
      </c>
      <c r="B438" s="145" t="s">
        <v>2680</v>
      </c>
      <c r="C438" s="146" t="s">
        <v>2275</v>
      </c>
      <c r="D438" s="146" t="s">
        <v>2275</v>
      </c>
      <c r="E438" s="147" t="s">
        <v>2265</v>
      </c>
      <c r="F438" s="148">
        <f>26+3645+4124</f>
        <v>7795</v>
      </c>
      <c r="G438" s="149">
        <v>13</v>
      </c>
      <c r="H438" s="149">
        <v>74</v>
      </c>
      <c r="I438" s="196"/>
      <c r="J438" s="149">
        <v>0</v>
      </c>
      <c r="K438" s="149">
        <v>0</v>
      </c>
      <c r="L438" s="149">
        <v>0</v>
      </c>
      <c r="M438" s="149">
        <v>0</v>
      </c>
      <c r="N438" s="149">
        <v>0</v>
      </c>
      <c r="O438" s="149">
        <v>0</v>
      </c>
      <c r="P438" s="224"/>
      <c r="Q438" s="224"/>
      <c r="R438" s="224"/>
      <c r="S438" s="224"/>
      <c r="T438" s="224"/>
      <c r="U438" s="224"/>
      <c r="V438" s="224"/>
      <c r="W438" s="224"/>
      <c r="X438" s="224"/>
      <c r="Y438" s="224"/>
      <c r="Z438" s="224"/>
      <c r="AA438" s="224"/>
      <c r="AB438" s="224"/>
      <c r="AC438" s="224"/>
      <c r="AD438" s="143" t="s">
        <v>2517</v>
      </c>
      <c r="AE438" s="143" t="s">
        <v>2186</v>
      </c>
    </row>
    <row r="439" spans="1:31" ht="24.95" customHeight="1" x14ac:dyDescent="0.2">
      <c r="A439" s="144">
        <v>1038</v>
      </c>
      <c r="B439" s="150" t="s">
        <v>2681</v>
      </c>
      <c r="C439" s="146" t="s">
        <v>2225</v>
      </c>
      <c r="D439" s="146" t="s">
        <v>2226</v>
      </c>
      <c r="E439" s="147" t="s">
        <v>2184</v>
      </c>
      <c r="F439" s="148">
        <f>3335+1635+2540</f>
        <v>7510</v>
      </c>
      <c r="G439" s="149">
        <v>8980</v>
      </c>
      <c r="H439" s="149">
        <v>120</v>
      </c>
      <c r="I439" s="196"/>
      <c r="J439" s="149">
        <v>8117</v>
      </c>
      <c r="K439" s="149">
        <v>9825</v>
      </c>
      <c r="L439" s="149">
        <v>130</v>
      </c>
      <c r="M439" s="149">
        <v>8372</v>
      </c>
      <c r="N439" s="149">
        <v>1</v>
      </c>
      <c r="O439" s="149">
        <v>7159</v>
      </c>
      <c r="P439" s="224"/>
      <c r="Q439" s="224"/>
      <c r="R439" s="224"/>
      <c r="S439" s="224"/>
      <c r="T439" s="224"/>
      <c r="U439" s="224"/>
      <c r="V439" s="224"/>
      <c r="W439" s="224"/>
      <c r="X439" s="224"/>
      <c r="Y439" s="224"/>
      <c r="Z439" s="224"/>
      <c r="AA439" s="224"/>
      <c r="AB439" s="224"/>
      <c r="AC439" s="224"/>
      <c r="AD439" s="143" t="s">
        <v>2185</v>
      </c>
      <c r="AE439" s="143" t="s">
        <v>2254</v>
      </c>
    </row>
    <row r="440" spans="1:31" ht="24.95" customHeight="1" x14ac:dyDescent="0.2">
      <c r="A440" s="144">
        <v>1040</v>
      </c>
      <c r="B440" s="150" t="s">
        <v>2682</v>
      </c>
      <c r="C440" s="146" t="s">
        <v>2225</v>
      </c>
      <c r="D440" s="146" t="s">
        <v>2226</v>
      </c>
      <c r="E440" s="147" t="s">
        <v>2184</v>
      </c>
      <c r="F440" s="148">
        <v>6705</v>
      </c>
      <c r="G440" s="149">
        <v>9265</v>
      </c>
      <c r="H440" s="149">
        <v>148</v>
      </c>
      <c r="I440" s="196"/>
      <c r="J440" s="149">
        <v>8626</v>
      </c>
      <c r="K440" s="149">
        <v>10785</v>
      </c>
      <c r="L440" s="149">
        <v>139</v>
      </c>
      <c r="M440" s="149">
        <v>7202</v>
      </c>
      <c r="N440" s="149">
        <v>2</v>
      </c>
      <c r="O440" s="149">
        <v>6699</v>
      </c>
      <c r="P440" s="224"/>
      <c r="Q440" s="224"/>
      <c r="R440" s="224"/>
      <c r="S440" s="224"/>
      <c r="T440" s="224"/>
      <c r="U440" s="224"/>
      <c r="V440" s="224"/>
      <c r="W440" s="224"/>
      <c r="X440" s="224"/>
      <c r="Y440" s="224"/>
      <c r="Z440" s="224"/>
      <c r="AA440" s="224"/>
      <c r="AB440" s="224"/>
      <c r="AC440" s="224"/>
      <c r="AD440" s="143" t="s">
        <v>2185</v>
      </c>
      <c r="AE440" s="143" t="s">
        <v>2254</v>
      </c>
    </row>
    <row r="441" spans="1:31" ht="24.95" customHeight="1" x14ac:dyDescent="0.2">
      <c r="A441" s="144">
        <v>1041</v>
      </c>
      <c r="B441" s="145" t="s">
        <v>2683</v>
      </c>
      <c r="C441" s="146" t="s">
        <v>2312</v>
      </c>
      <c r="D441" s="146" t="s">
        <v>2225</v>
      </c>
      <c r="E441" s="147" t="s">
        <v>2265</v>
      </c>
      <c r="F441" s="148">
        <f>3300+745</f>
        <v>4045</v>
      </c>
      <c r="G441" s="149">
        <f>5+80+4355+65</f>
        <v>4505</v>
      </c>
      <c r="H441" s="149">
        <v>62</v>
      </c>
      <c r="I441" s="196"/>
      <c r="J441" s="149">
        <v>4421</v>
      </c>
      <c r="K441" s="149">
        <v>4505</v>
      </c>
      <c r="L441" s="149">
        <v>62</v>
      </c>
      <c r="M441" s="149">
        <v>4354</v>
      </c>
      <c r="N441" s="149">
        <v>1</v>
      </c>
      <c r="O441" s="149">
        <v>4680</v>
      </c>
      <c r="P441" s="224"/>
      <c r="Q441" s="224"/>
      <c r="R441" s="224"/>
      <c r="S441" s="224"/>
      <c r="T441" s="224"/>
      <c r="U441" s="224"/>
      <c r="V441" s="224"/>
      <c r="W441" s="224"/>
      <c r="X441" s="224"/>
      <c r="Y441" s="224"/>
      <c r="Z441" s="224"/>
      <c r="AA441" s="224"/>
      <c r="AB441" s="224"/>
      <c r="AC441" s="224"/>
      <c r="AD441" s="143" t="s">
        <v>2185</v>
      </c>
      <c r="AE441" s="143" t="s">
        <v>2254</v>
      </c>
    </row>
    <row r="442" spans="1:31" ht="24.95" customHeight="1" x14ac:dyDescent="0.2">
      <c r="A442" s="144">
        <v>1042</v>
      </c>
      <c r="B442" s="145" t="s">
        <v>2684</v>
      </c>
      <c r="C442" s="146" t="s">
        <v>2312</v>
      </c>
      <c r="D442" s="146" t="s">
        <v>2225</v>
      </c>
      <c r="E442" s="147" t="s">
        <v>2265</v>
      </c>
      <c r="F442" s="148">
        <f>955+8035</f>
        <v>8990</v>
      </c>
      <c r="G442" s="149">
        <v>8390</v>
      </c>
      <c r="H442" s="149">
        <v>123</v>
      </c>
      <c r="I442" s="196"/>
      <c r="J442" s="149">
        <v>8429</v>
      </c>
      <c r="K442" s="149">
        <v>8390</v>
      </c>
      <c r="L442" s="149">
        <v>123</v>
      </c>
      <c r="M442" s="149">
        <v>8525</v>
      </c>
      <c r="N442" s="149">
        <v>0</v>
      </c>
      <c r="O442" s="149">
        <v>8089</v>
      </c>
      <c r="P442" s="224"/>
      <c r="Q442" s="224"/>
      <c r="R442" s="224"/>
      <c r="S442" s="224"/>
      <c r="T442" s="224"/>
      <c r="U442" s="224"/>
      <c r="V442" s="224"/>
      <c r="W442" s="224"/>
      <c r="X442" s="224"/>
      <c r="Y442" s="224"/>
      <c r="Z442" s="224"/>
      <c r="AA442" s="224"/>
      <c r="AB442" s="224"/>
      <c r="AC442" s="224"/>
      <c r="AD442" s="143" t="s">
        <v>2185</v>
      </c>
      <c r="AE442" s="143" t="s">
        <v>2254</v>
      </c>
    </row>
    <row r="443" spans="1:31" ht="24.95" customHeight="1" x14ac:dyDescent="0.2">
      <c r="A443" s="144">
        <v>1043</v>
      </c>
      <c r="B443" s="145" t="s">
        <v>2685</v>
      </c>
      <c r="C443" s="146" t="s">
        <v>2225</v>
      </c>
      <c r="D443" s="146" t="s">
        <v>2225</v>
      </c>
      <c r="E443" s="147" t="s">
        <v>2265</v>
      </c>
      <c r="F443" s="148">
        <f>400+3040</f>
        <v>3440</v>
      </c>
      <c r="G443" s="149">
        <v>3280</v>
      </c>
      <c r="H443" s="149">
        <v>18</v>
      </c>
      <c r="I443" s="196"/>
      <c r="J443" s="149">
        <v>3154</v>
      </c>
      <c r="K443" s="149">
        <v>3280</v>
      </c>
      <c r="L443" s="149">
        <v>17</v>
      </c>
      <c r="M443" s="149">
        <v>938</v>
      </c>
      <c r="N443" s="149">
        <v>0</v>
      </c>
      <c r="O443" s="149">
        <v>945</v>
      </c>
      <c r="P443" s="224"/>
      <c r="Q443" s="224"/>
      <c r="R443" s="224"/>
      <c r="S443" s="224"/>
      <c r="T443" s="224"/>
      <c r="U443" s="224"/>
      <c r="V443" s="224"/>
      <c r="W443" s="224"/>
      <c r="X443" s="224"/>
      <c r="Y443" s="224"/>
      <c r="Z443" s="224"/>
      <c r="AA443" s="224"/>
      <c r="AB443" s="224"/>
      <c r="AC443" s="224"/>
      <c r="AD443" s="143" t="s">
        <v>2185</v>
      </c>
      <c r="AE443" s="143" t="s">
        <v>2254</v>
      </c>
    </row>
    <row r="444" spans="1:31" ht="24.95" customHeight="1" x14ac:dyDescent="0.2">
      <c r="A444" s="144">
        <v>1050</v>
      </c>
      <c r="B444" s="150" t="s">
        <v>2686</v>
      </c>
      <c r="C444" s="146" t="s">
        <v>2229</v>
      </c>
      <c r="D444" s="146" t="s">
        <v>2230</v>
      </c>
      <c r="E444" s="147" t="s">
        <v>2184</v>
      </c>
      <c r="F444" s="148">
        <v>2622</v>
      </c>
      <c r="G444" s="149">
        <v>2510</v>
      </c>
      <c r="H444" s="149">
        <v>27</v>
      </c>
      <c r="I444" s="196"/>
      <c r="J444" s="149">
        <v>2703</v>
      </c>
      <c r="K444" s="149">
        <v>2510</v>
      </c>
      <c r="L444" s="149">
        <v>23</v>
      </c>
      <c r="M444" s="149">
        <v>958</v>
      </c>
      <c r="N444" s="149">
        <v>4</v>
      </c>
      <c r="O444" s="149">
        <v>1186</v>
      </c>
      <c r="P444" s="224"/>
      <c r="Q444" s="224"/>
      <c r="R444" s="224"/>
      <c r="S444" s="224"/>
      <c r="T444" s="224"/>
      <c r="U444" s="224"/>
      <c r="V444" s="224"/>
      <c r="W444" s="224"/>
      <c r="X444" s="224"/>
      <c r="Y444" s="224"/>
      <c r="Z444" s="224"/>
      <c r="AA444" s="224"/>
      <c r="AB444" s="224"/>
      <c r="AC444" s="224"/>
      <c r="AD444" s="143" t="s">
        <v>2185</v>
      </c>
      <c r="AE444" s="143" t="s">
        <v>2254</v>
      </c>
    </row>
    <row r="445" spans="1:31" ht="24.95" customHeight="1" x14ac:dyDescent="0.2">
      <c r="A445" s="144">
        <v>1057</v>
      </c>
      <c r="B445" s="145" t="s">
        <v>2687</v>
      </c>
      <c r="C445" s="146" t="s">
        <v>2688</v>
      </c>
      <c r="D445" s="146" t="s">
        <v>2688</v>
      </c>
      <c r="E445" s="147" t="s">
        <v>2265</v>
      </c>
      <c r="F445" s="148">
        <v>4790</v>
      </c>
      <c r="G445" s="149">
        <f>970+1060+4660+1</f>
        <v>6691</v>
      </c>
      <c r="H445" s="149">
        <f>35+1842</f>
        <v>1877</v>
      </c>
      <c r="I445" s="196"/>
      <c r="J445" s="149">
        <v>0</v>
      </c>
      <c r="K445" s="149">
        <v>0</v>
      </c>
      <c r="L445" s="149">
        <v>0</v>
      </c>
      <c r="M445" s="149">
        <v>0</v>
      </c>
      <c r="N445" s="149">
        <v>0</v>
      </c>
      <c r="O445" s="149">
        <v>0</v>
      </c>
      <c r="P445" s="224"/>
      <c r="Q445" s="224"/>
      <c r="R445" s="224"/>
      <c r="S445" s="224"/>
      <c r="T445" s="224"/>
      <c r="U445" s="224"/>
      <c r="V445" s="224"/>
      <c r="W445" s="224"/>
      <c r="X445" s="224"/>
      <c r="Y445" s="224"/>
      <c r="Z445" s="224"/>
      <c r="AA445" s="224"/>
      <c r="AB445" s="224"/>
      <c r="AC445" s="224"/>
      <c r="AD445" s="143" t="s">
        <v>2347</v>
      </c>
      <c r="AE445" s="143" t="s">
        <v>2254</v>
      </c>
    </row>
    <row r="446" spans="1:31" ht="24.95" customHeight="1" x14ac:dyDescent="0.2">
      <c r="A446" s="144">
        <v>1058</v>
      </c>
      <c r="B446" s="150" t="s">
        <v>2689</v>
      </c>
      <c r="C446" s="146" t="s">
        <v>2215</v>
      </c>
      <c r="D446" s="146" t="s">
        <v>2258</v>
      </c>
      <c r="E446" s="147" t="s">
        <v>2184</v>
      </c>
      <c r="F446" s="148">
        <f>445+4295</f>
        <v>4740</v>
      </c>
      <c r="G446" s="149">
        <v>3795</v>
      </c>
      <c r="H446" s="149">
        <v>114</v>
      </c>
      <c r="I446" s="196"/>
      <c r="J446" s="149">
        <v>4905</v>
      </c>
      <c r="K446" s="149">
        <v>4151</v>
      </c>
      <c r="L446" s="149">
        <v>118</v>
      </c>
      <c r="M446" s="149">
        <v>7548</v>
      </c>
      <c r="N446" s="149">
        <v>3</v>
      </c>
      <c r="O446" s="149">
        <v>6890</v>
      </c>
      <c r="P446" s="224"/>
      <c r="Q446" s="224"/>
      <c r="R446" s="224"/>
      <c r="S446" s="224"/>
      <c r="T446" s="224"/>
      <c r="U446" s="224"/>
      <c r="V446" s="224"/>
      <c r="W446" s="224"/>
      <c r="X446" s="224"/>
      <c r="Y446" s="224"/>
      <c r="Z446" s="224"/>
      <c r="AA446" s="224"/>
      <c r="AB446" s="224"/>
      <c r="AC446" s="224"/>
      <c r="AD446" s="143" t="s">
        <v>2185</v>
      </c>
      <c r="AE446" s="143" t="s">
        <v>2254</v>
      </c>
    </row>
    <row r="447" spans="1:31" ht="24.95" customHeight="1" x14ac:dyDescent="0.2">
      <c r="A447" s="144">
        <v>1080</v>
      </c>
      <c r="B447" s="150" t="s">
        <v>2690</v>
      </c>
      <c r="C447" s="146" t="s">
        <v>2183</v>
      </c>
      <c r="D447" s="146" t="s">
        <v>2562</v>
      </c>
      <c r="E447" s="147" t="s">
        <v>2265</v>
      </c>
      <c r="F447" s="148">
        <f>1435+5185</f>
        <v>6620</v>
      </c>
      <c r="G447" s="149">
        <v>8090</v>
      </c>
      <c r="H447" s="149">
        <v>106</v>
      </c>
      <c r="I447" s="196"/>
      <c r="J447" s="149">
        <v>6948</v>
      </c>
      <c r="K447" s="149">
        <v>8090</v>
      </c>
      <c r="L447" s="149">
        <v>102</v>
      </c>
      <c r="M447" s="149">
        <v>6015</v>
      </c>
      <c r="N447" s="149">
        <v>13</v>
      </c>
      <c r="O447" s="149">
        <v>5817</v>
      </c>
      <c r="P447" s="224"/>
      <c r="Q447" s="224"/>
      <c r="R447" s="224"/>
      <c r="S447" s="224"/>
      <c r="T447" s="224"/>
      <c r="U447" s="224"/>
      <c r="V447" s="224"/>
      <c r="W447" s="224"/>
      <c r="X447" s="224"/>
      <c r="Y447" s="224"/>
      <c r="Z447" s="224"/>
      <c r="AA447" s="224"/>
      <c r="AB447" s="224"/>
      <c r="AC447" s="224"/>
      <c r="AD447" s="143" t="s">
        <v>2185</v>
      </c>
      <c r="AE447" s="143" t="s">
        <v>2254</v>
      </c>
    </row>
    <row r="448" spans="1:31" ht="24.95" customHeight="1" x14ac:dyDescent="0.2">
      <c r="A448" s="144">
        <v>1081</v>
      </c>
      <c r="B448" s="145" t="s">
        <v>2691</v>
      </c>
      <c r="C448" s="146" t="s">
        <v>2237</v>
      </c>
      <c r="D448" s="146" t="s">
        <v>2562</v>
      </c>
      <c r="E448" s="147" t="s">
        <v>2310</v>
      </c>
      <c r="F448" s="148">
        <v>6875</v>
      </c>
      <c r="G448" s="149">
        <f>6752-29-47-106-5</f>
        <v>6565</v>
      </c>
      <c r="H448" s="149">
        <v>106</v>
      </c>
      <c r="I448" s="196"/>
      <c r="J448" s="149">
        <v>7044</v>
      </c>
      <c r="K448" s="149">
        <v>7035</v>
      </c>
      <c r="L448" s="149">
        <v>106</v>
      </c>
      <c r="M448" s="149">
        <v>6722</v>
      </c>
      <c r="N448" s="149">
        <v>0</v>
      </c>
      <c r="O448" s="149">
        <v>5724</v>
      </c>
      <c r="P448" s="224"/>
      <c r="Q448" s="224"/>
      <c r="R448" s="224"/>
      <c r="S448" s="224"/>
      <c r="T448" s="224"/>
      <c r="U448" s="224"/>
      <c r="V448" s="224"/>
      <c r="W448" s="224"/>
      <c r="X448" s="224"/>
      <c r="Y448" s="224"/>
      <c r="Z448" s="224"/>
      <c r="AA448" s="224"/>
      <c r="AB448" s="224"/>
      <c r="AC448" s="224"/>
      <c r="AD448" s="143" t="s">
        <v>2185</v>
      </c>
      <c r="AE448" s="143" t="s">
        <v>2254</v>
      </c>
    </row>
    <row r="449" spans="1:31" ht="24.95" customHeight="1" x14ac:dyDescent="0.2">
      <c r="A449" s="144">
        <v>1082</v>
      </c>
      <c r="B449" s="145" t="s">
        <v>2692</v>
      </c>
      <c r="C449" s="146" t="s">
        <v>2183</v>
      </c>
      <c r="D449" s="146" t="s">
        <v>2562</v>
      </c>
      <c r="E449" s="147" t="s">
        <v>2564</v>
      </c>
      <c r="F449" s="148">
        <f>4670+2085</f>
        <v>6755</v>
      </c>
      <c r="G449" s="149">
        <f>340+6285+1+237+2+2</f>
        <v>6867</v>
      </c>
      <c r="H449" s="149">
        <v>69</v>
      </c>
      <c r="I449" s="196"/>
      <c r="J449" s="149">
        <v>0</v>
      </c>
      <c r="K449" s="149">
        <v>0</v>
      </c>
      <c r="L449" s="149">
        <v>0</v>
      </c>
      <c r="M449" s="149">
        <v>0</v>
      </c>
      <c r="N449" s="149">
        <v>0</v>
      </c>
      <c r="O449" s="149">
        <v>0</v>
      </c>
      <c r="P449" s="224"/>
      <c r="Q449" s="224"/>
      <c r="R449" s="224"/>
      <c r="S449" s="224"/>
      <c r="T449" s="224"/>
      <c r="U449" s="224"/>
      <c r="V449" s="224"/>
      <c r="W449" s="224"/>
      <c r="X449" s="224"/>
      <c r="Y449" s="224"/>
      <c r="Z449" s="224"/>
      <c r="AA449" s="224"/>
      <c r="AB449" s="224"/>
      <c r="AC449" s="224"/>
      <c r="AD449" s="143" t="s">
        <v>2598</v>
      </c>
      <c r="AE449" s="143" t="s">
        <v>2254</v>
      </c>
    </row>
    <row r="450" spans="1:31" ht="24.95" customHeight="1" x14ac:dyDescent="0.2">
      <c r="A450" s="144">
        <v>1083</v>
      </c>
      <c r="B450" s="145" t="s">
        <v>2693</v>
      </c>
      <c r="C450" s="146" t="s">
        <v>2183</v>
      </c>
      <c r="D450" s="146" t="s">
        <v>2562</v>
      </c>
      <c r="E450" s="147" t="s">
        <v>2310</v>
      </c>
      <c r="F450" s="148">
        <v>5580</v>
      </c>
      <c r="G450" s="149">
        <v>6110</v>
      </c>
      <c r="H450" s="149">
        <v>77</v>
      </c>
      <c r="I450" s="196"/>
      <c r="J450" s="149">
        <v>5450</v>
      </c>
      <c r="K450" s="149">
        <v>6110</v>
      </c>
      <c r="L450" s="149">
        <v>75</v>
      </c>
      <c r="M450" s="149">
        <v>4803</v>
      </c>
      <c r="N450" s="149">
        <f>78-75</f>
        <v>3</v>
      </c>
      <c r="O450" s="149">
        <v>7275</v>
      </c>
      <c r="P450" s="224"/>
      <c r="Q450" s="224"/>
      <c r="R450" s="224"/>
      <c r="S450" s="224"/>
      <c r="T450" s="224"/>
      <c r="U450" s="224"/>
      <c r="V450" s="224"/>
      <c r="W450" s="224"/>
      <c r="X450" s="224"/>
      <c r="Y450" s="224"/>
      <c r="Z450" s="224"/>
      <c r="AA450" s="224"/>
      <c r="AB450" s="224"/>
      <c r="AC450" s="224"/>
      <c r="AD450" s="143" t="s">
        <v>2185</v>
      </c>
      <c r="AE450" s="143" t="s">
        <v>2254</v>
      </c>
    </row>
    <row r="451" spans="1:31" ht="24.95" customHeight="1" x14ac:dyDescent="0.2">
      <c r="A451" s="144">
        <v>1084</v>
      </c>
      <c r="B451" s="145" t="s">
        <v>2694</v>
      </c>
      <c r="C451" s="146" t="s">
        <v>2183</v>
      </c>
      <c r="D451" s="146" t="s">
        <v>2562</v>
      </c>
      <c r="E451" s="147" t="s">
        <v>2564</v>
      </c>
      <c r="F451" s="148">
        <v>4945</v>
      </c>
      <c r="G451" s="149">
        <f>205+515+5995+3</f>
        <v>6718</v>
      </c>
      <c r="H451" s="149">
        <v>62</v>
      </c>
      <c r="I451" s="196"/>
      <c r="J451" s="149">
        <v>0</v>
      </c>
      <c r="K451" s="149">
        <v>0</v>
      </c>
      <c r="L451" s="149">
        <v>0</v>
      </c>
      <c r="M451" s="149">
        <v>0</v>
      </c>
      <c r="N451" s="149">
        <v>0</v>
      </c>
      <c r="O451" s="149">
        <v>0</v>
      </c>
      <c r="P451" s="224"/>
      <c r="Q451" s="224"/>
      <c r="R451" s="224"/>
      <c r="S451" s="224"/>
      <c r="T451" s="224"/>
      <c r="U451" s="224"/>
      <c r="V451" s="224"/>
      <c r="W451" s="224"/>
      <c r="X451" s="224"/>
      <c r="Y451" s="224"/>
      <c r="Z451" s="224"/>
      <c r="AA451" s="224"/>
      <c r="AB451" s="224"/>
      <c r="AC451" s="224"/>
      <c r="AD451" s="143" t="s">
        <v>2347</v>
      </c>
      <c r="AE451" s="143" t="s">
        <v>2254</v>
      </c>
    </row>
    <row r="452" spans="1:31" ht="24.95" customHeight="1" x14ac:dyDescent="0.2">
      <c r="A452" s="144">
        <v>1085</v>
      </c>
      <c r="B452" s="145" t="s">
        <v>2695</v>
      </c>
      <c r="C452" s="146" t="s">
        <v>2215</v>
      </c>
      <c r="D452" s="146" t="s">
        <v>2253</v>
      </c>
      <c r="E452" s="147" t="s">
        <v>2184</v>
      </c>
      <c r="F452" s="148">
        <v>6075</v>
      </c>
      <c r="G452" s="149">
        <v>7570</v>
      </c>
      <c r="H452" s="149">
        <v>90</v>
      </c>
      <c r="I452" s="196"/>
      <c r="J452" s="149">
        <v>6049</v>
      </c>
      <c r="K452" s="149">
        <v>7570</v>
      </c>
      <c r="L452" s="149">
        <v>84</v>
      </c>
      <c r="M452" s="149">
        <v>4672</v>
      </c>
      <c r="N452" s="149">
        <v>2</v>
      </c>
      <c r="O452" s="149">
        <v>5134</v>
      </c>
      <c r="P452" s="224"/>
      <c r="Q452" s="224"/>
      <c r="R452" s="224"/>
      <c r="S452" s="224"/>
      <c r="T452" s="224"/>
      <c r="U452" s="224"/>
      <c r="V452" s="224"/>
      <c r="W452" s="224"/>
      <c r="X452" s="224"/>
      <c r="Y452" s="224"/>
      <c r="Z452" s="224"/>
      <c r="AA452" s="224"/>
      <c r="AB452" s="224"/>
      <c r="AC452" s="224"/>
      <c r="AD452" s="143" t="s">
        <v>2185</v>
      </c>
      <c r="AE452" s="143" t="s">
        <v>2254</v>
      </c>
    </row>
    <row r="453" spans="1:31" ht="24.95" customHeight="1" x14ac:dyDescent="0.2">
      <c r="A453" s="144">
        <v>1086</v>
      </c>
      <c r="B453" s="145" t="s">
        <v>2696</v>
      </c>
      <c r="C453" s="146" t="s">
        <v>2215</v>
      </c>
      <c r="D453" s="146" t="s">
        <v>2253</v>
      </c>
      <c r="E453" s="147" t="s">
        <v>2564</v>
      </c>
      <c r="F453" s="148">
        <v>4215</v>
      </c>
      <c r="G453" s="149">
        <f>60+995+1130+1525+3315+1</f>
        <v>7026</v>
      </c>
      <c r="H453" s="149">
        <v>50</v>
      </c>
      <c r="I453" s="196"/>
      <c r="J453" s="149">
        <v>4221</v>
      </c>
      <c r="K453" s="149">
        <v>7025</v>
      </c>
      <c r="L453" s="149">
        <v>0</v>
      </c>
      <c r="M453" s="149">
        <v>3678</v>
      </c>
      <c r="N453" s="149">
        <v>0</v>
      </c>
      <c r="O453" s="149">
        <v>2961</v>
      </c>
      <c r="P453" s="224"/>
      <c r="Q453" s="224"/>
      <c r="R453" s="224"/>
      <c r="S453" s="224"/>
      <c r="T453" s="224"/>
      <c r="U453" s="224"/>
      <c r="V453" s="224"/>
      <c r="W453" s="224"/>
      <c r="X453" s="224"/>
      <c r="Y453" s="224"/>
      <c r="Z453" s="224"/>
      <c r="AA453" s="224"/>
      <c r="AB453" s="224"/>
      <c r="AC453" s="224"/>
      <c r="AD453" s="143" t="s">
        <v>2185</v>
      </c>
      <c r="AE453" s="143" t="s">
        <v>2254</v>
      </c>
    </row>
    <row r="454" spans="1:31" ht="24.95" customHeight="1" x14ac:dyDescent="0.2">
      <c r="A454" s="144">
        <v>1087</v>
      </c>
      <c r="B454" s="145" t="s">
        <v>2697</v>
      </c>
      <c r="C454" s="146" t="s">
        <v>2194</v>
      </c>
      <c r="D454" s="146" t="s">
        <v>2288</v>
      </c>
      <c r="E454" s="147" t="s">
        <v>2265</v>
      </c>
      <c r="F454" s="148">
        <v>4010</v>
      </c>
      <c r="G454" s="149">
        <v>4240</v>
      </c>
      <c r="H454" s="149">
        <v>66</v>
      </c>
      <c r="I454" s="196"/>
      <c r="J454" s="149">
        <v>4010</v>
      </c>
      <c r="K454" s="149">
        <v>4240</v>
      </c>
      <c r="L454" s="149">
        <v>62</v>
      </c>
      <c r="M454" s="149">
        <v>3927</v>
      </c>
      <c r="N454" s="149">
        <v>1</v>
      </c>
      <c r="O454" s="149">
        <v>3664</v>
      </c>
      <c r="P454" s="224"/>
      <c r="Q454" s="224"/>
      <c r="R454" s="224"/>
      <c r="S454" s="224"/>
      <c r="T454" s="224"/>
      <c r="U454" s="224"/>
      <c r="V454" s="224"/>
      <c r="W454" s="224"/>
      <c r="X454" s="224"/>
      <c r="Y454" s="224"/>
      <c r="Z454" s="224"/>
      <c r="AA454" s="224"/>
      <c r="AB454" s="224"/>
      <c r="AC454" s="224"/>
      <c r="AD454" s="143" t="s">
        <v>2185</v>
      </c>
      <c r="AE454" s="143" t="s">
        <v>2254</v>
      </c>
    </row>
    <row r="455" spans="1:31" ht="24.95" customHeight="1" x14ac:dyDescent="0.2">
      <c r="A455" s="144">
        <v>1088</v>
      </c>
      <c r="B455" s="145" t="s">
        <v>2698</v>
      </c>
      <c r="C455" s="146" t="s">
        <v>2699</v>
      </c>
      <c r="D455" s="146" t="s">
        <v>2288</v>
      </c>
      <c r="E455" s="147" t="s">
        <v>2564</v>
      </c>
      <c r="F455" s="148">
        <f>960+3125+1600</f>
        <v>5685</v>
      </c>
      <c r="G455" s="149">
        <f>240+5845+11+26+1+456+171+2</f>
        <v>6752</v>
      </c>
      <c r="H455" s="149">
        <v>68</v>
      </c>
      <c r="I455" s="196"/>
      <c r="J455" s="149">
        <v>0</v>
      </c>
      <c r="K455" s="149">
        <v>0</v>
      </c>
      <c r="L455" s="149">
        <v>0</v>
      </c>
      <c r="M455" s="149">
        <v>0</v>
      </c>
      <c r="N455" s="149">
        <v>0</v>
      </c>
      <c r="O455" s="149">
        <v>0</v>
      </c>
      <c r="P455" s="224"/>
      <c r="Q455" s="224"/>
      <c r="R455" s="224"/>
      <c r="S455" s="224"/>
      <c r="T455" s="224"/>
      <c r="U455" s="224"/>
      <c r="V455" s="224"/>
      <c r="W455" s="224"/>
      <c r="X455" s="224"/>
      <c r="Y455" s="224"/>
      <c r="Z455" s="224"/>
      <c r="AA455" s="224"/>
      <c r="AB455" s="224"/>
      <c r="AC455" s="224"/>
      <c r="AD455" s="143" t="s">
        <v>2185</v>
      </c>
      <c r="AE455" s="143" t="s">
        <v>2254</v>
      </c>
    </row>
    <row r="456" spans="1:31" ht="24.95" customHeight="1" x14ac:dyDescent="0.2">
      <c r="A456" s="144">
        <v>1089</v>
      </c>
      <c r="B456" s="145" t="s">
        <v>2700</v>
      </c>
      <c r="C456" s="146" t="s">
        <v>2194</v>
      </c>
      <c r="D456" s="146" t="s">
        <v>2288</v>
      </c>
      <c r="E456" s="147" t="s">
        <v>2265</v>
      </c>
      <c r="F456" s="148">
        <f>505+2935+2060</f>
        <v>5500</v>
      </c>
      <c r="G456" s="149">
        <v>5615</v>
      </c>
      <c r="H456" s="149">
        <v>88</v>
      </c>
      <c r="I456" s="196"/>
      <c r="J456" s="149">
        <v>5953</v>
      </c>
      <c r="K456" s="149">
        <v>5615</v>
      </c>
      <c r="L456" s="149">
        <v>101</v>
      </c>
      <c r="M456" s="149">
        <v>3685</v>
      </c>
      <c r="N456" s="149">
        <v>17</v>
      </c>
      <c r="O456" s="149">
        <v>3337</v>
      </c>
      <c r="P456" s="224"/>
      <c r="Q456" s="224"/>
      <c r="R456" s="224"/>
      <c r="S456" s="224"/>
      <c r="T456" s="224"/>
      <c r="U456" s="224"/>
      <c r="V456" s="224"/>
      <c r="W456" s="224"/>
      <c r="X456" s="224"/>
      <c r="Y456" s="224"/>
      <c r="Z456" s="224"/>
      <c r="AA456" s="224"/>
      <c r="AB456" s="224"/>
      <c r="AC456" s="224"/>
      <c r="AD456" s="143" t="s">
        <v>2185</v>
      </c>
      <c r="AE456" s="143" t="s">
        <v>2254</v>
      </c>
    </row>
    <row r="457" spans="1:31" ht="24.95" customHeight="1" x14ac:dyDescent="0.2">
      <c r="A457" s="144">
        <v>1090</v>
      </c>
      <c r="B457" s="145" t="s">
        <v>2701</v>
      </c>
      <c r="C457" s="146" t="s">
        <v>2250</v>
      </c>
      <c r="D457" s="146" t="s">
        <v>2285</v>
      </c>
      <c r="E457" s="147" t="s">
        <v>2310</v>
      </c>
      <c r="F457" s="148">
        <f>2795+1475</f>
        <v>4270</v>
      </c>
      <c r="G457" s="149">
        <v>6145</v>
      </c>
      <c r="H457" s="149">
        <v>82</v>
      </c>
      <c r="I457" s="196"/>
      <c r="J457" s="149">
        <v>4364</v>
      </c>
      <c r="K457" s="149">
        <v>6145</v>
      </c>
      <c r="L457" s="149">
        <v>83</v>
      </c>
      <c r="M457" s="149">
        <v>4299</v>
      </c>
      <c r="N457" s="149">
        <v>1</v>
      </c>
      <c r="O457" s="149">
        <v>4026</v>
      </c>
      <c r="P457" s="224"/>
      <c r="Q457" s="224"/>
      <c r="R457" s="224"/>
      <c r="S457" s="224"/>
      <c r="T457" s="224"/>
      <c r="U457" s="224"/>
      <c r="V457" s="224"/>
      <c r="W457" s="224"/>
      <c r="X457" s="224"/>
      <c r="Y457" s="224"/>
      <c r="Z457" s="224"/>
      <c r="AA457" s="224"/>
      <c r="AB457" s="224"/>
      <c r="AC457" s="224"/>
      <c r="AD457" s="143" t="s">
        <v>2185</v>
      </c>
      <c r="AE457" s="143" t="s">
        <v>2254</v>
      </c>
    </row>
    <row r="458" spans="1:31" ht="24.95" customHeight="1" x14ac:dyDescent="0.2">
      <c r="A458" s="144">
        <v>1091</v>
      </c>
      <c r="B458" s="145" t="s">
        <v>2702</v>
      </c>
      <c r="C458" s="146" t="s">
        <v>2285</v>
      </c>
      <c r="D458" s="146" t="s">
        <v>2285</v>
      </c>
      <c r="E458" s="147" t="s">
        <v>2310</v>
      </c>
      <c r="F458" s="148">
        <v>4625</v>
      </c>
      <c r="G458" s="149">
        <v>4735</v>
      </c>
      <c r="H458" s="149">
        <v>75</v>
      </c>
      <c r="I458" s="196"/>
      <c r="J458" s="149">
        <v>4587</v>
      </c>
      <c r="K458" s="149">
        <v>4735</v>
      </c>
      <c r="L458" s="149">
        <v>77</v>
      </c>
      <c r="M458" s="149">
        <v>4517</v>
      </c>
      <c r="N458" s="149">
        <v>1</v>
      </c>
      <c r="O458" s="149">
        <v>5634</v>
      </c>
      <c r="P458" s="224"/>
      <c r="Q458" s="224"/>
      <c r="R458" s="224"/>
      <c r="S458" s="224"/>
      <c r="T458" s="224"/>
      <c r="U458" s="224"/>
      <c r="V458" s="224"/>
      <c r="W458" s="224"/>
      <c r="X458" s="224"/>
      <c r="Y458" s="224"/>
      <c r="Z458" s="224"/>
      <c r="AA458" s="224"/>
      <c r="AB458" s="224"/>
      <c r="AC458" s="224"/>
      <c r="AD458" s="143" t="s">
        <v>2185</v>
      </c>
      <c r="AE458" s="143" t="s">
        <v>2254</v>
      </c>
    </row>
    <row r="459" spans="1:31" ht="24.95" customHeight="1" x14ac:dyDescent="0.2">
      <c r="A459" s="144">
        <v>1092</v>
      </c>
      <c r="B459" s="145" t="s">
        <v>2703</v>
      </c>
      <c r="C459" s="146" t="s">
        <v>2250</v>
      </c>
      <c r="D459" s="146" t="s">
        <v>2285</v>
      </c>
      <c r="E459" s="147" t="s">
        <v>2310</v>
      </c>
      <c r="F459" s="148">
        <v>4535</v>
      </c>
      <c r="G459" s="149">
        <v>2770</v>
      </c>
      <c r="H459" s="149">
        <v>46</v>
      </c>
      <c r="I459" s="196"/>
      <c r="J459" s="149">
        <v>4483</v>
      </c>
      <c r="K459" s="149">
        <v>2770</v>
      </c>
      <c r="L459" s="149">
        <v>43</v>
      </c>
      <c r="M459" s="149">
        <v>1851</v>
      </c>
      <c r="N459" s="149">
        <v>2</v>
      </c>
      <c r="O459" s="149">
        <v>2479</v>
      </c>
      <c r="P459" s="224"/>
      <c r="Q459" s="224"/>
      <c r="R459" s="224"/>
      <c r="S459" s="224"/>
      <c r="T459" s="224"/>
      <c r="U459" s="224"/>
      <c r="V459" s="224"/>
      <c r="W459" s="224"/>
      <c r="X459" s="224"/>
      <c r="Y459" s="224"/>
      <c r="Z459" s="224"/>
      <c r="AA459" s="224"/>
      <c r="AB459" s="224"/>
      <c r="AC459" s="224"/>
      <c r="AD459" s="143" t="s">
        <v>2185</v>
      </c>
      <c r="AE459" s="143" t="s">
        <v>2254</v>
      </c>
    </row>
    <row r="460" spans="1:31" ht="24.95" customHeight="1" x14ac:dyDescent="0.2">
      <c r="A460" s="144">
        <v>1093</v>
      </c>
      <c r="B460" s="145" t="s">
        <v>2704</v>
      </c>
      <c r="C460" s="146" t="s">
        <v>2250</v>
      </c>
      <c r="D460" s="146" t="s">
        <v>2285</v>
      </c>
      <c r="E460" s="147" t="s">
        <v>2265</v>
      </c>
      <c r="F460" s="148">
        <f>6000+4090</f>
        <v>10090</v>
      </c>
      <c r="G460" s="149">
        <v>9080</v>
      </c>
      <c r="H460" s="149">
        <v>91</v>
      </c>
      <c r="I460" s="196"/>
      <c r="J460" s="149">
        <v>9350</v>
      </c>
      <c r="K460" s="149">
        <v>9080</v>
      </c>
      <c r="L460" s="149">
        <v>87</v>
      </c>
      <c r="M460" s="149">
        <v>3940</v>
      </c>
      <c r="N460" s="149">
        <v>1</v>
      </c>
      <c r="O460" s="149">
        <v>3843</v>
      </c>
      <c r="P460" s="224"/>
      <c r="Q460" s="224"/>
      <c r="R460" s="224"/>
      <c r="S460" s="224"/>
      <c r="T460" s="224"/>
      <c r="U460" s="224"/>
      <c r="V460" s="224"/>
      <c r="W460" s="224"/>
      <c r="X460" s="224"/>
      <c r="Y460" s="224"/>
      <c r="Z460" s="224"/>
      <c r="AA460" s="224"/>
      <c r="AB460" s="224"/>
      <c r="AC460" s="224"/>
      <c r="AD460" s="143" t="s">
        <v>2185</v>
      </c>
      <c r="AE460" s="143" t="s">
        <v>2254</v>
      </c>
    </row>
    <row r="461" spans="1:31" ht="24.95" customHeight="1" x14ac:dyDescent="0.2">
      <c r="A461" s="144">
        <v>1094</v>
      </c>
      <c r="B461" s="145" t="s">
        <v>2705</v>
      </c>
      <c r="C461" s="146" t="s">
        <v>2250</v>
      </c>
      <c r="D461" s="146" t="s">
        <v>2285</v>
      </c>
      <c r="E461" s="147" t="s">
        <v>2310</v>
      </c>
      <c r="F461" s="148">
        <f>145+1720+9580</f>
        <v>11445</v>
      </c>
      <c r="G461" s="149">
        <v>10975</v>
      </c>
      <c r="H461" s="149">
        <v>166</v>
      </c>
      <c r="I461" s="196"/>
      <c r="J461" s="149">
        <v>11590</v>
      </c>
      <c r="K461" s="149">
        <v>11134</v>
      </c>
      <c r="L461" s="149">
        <v>168</v>
      </c>
      <c r="M461" s="149">
        <v>9070</v>
      </c>
      <c r="N461" s="149">
        <v>1</v>
      </c>
      <c r="O461" s="149">
        <v>9556</v>
      </c>
      <c r="P461" s="224"/>
      <c r="Q461" s="224"/>
      <c r="R461" s="224"/>
      <c r="S461" s="224"/>
      <c r="T461" s="224"/>
      <c r="U461" s="224"/>
      <c r="V461" s="224"/>
      <c r="W461" s="224"/>
      <c r="X461" s="224"/>
      <c r="Y461" s="224"/>
      <c r="Z461" s="224"/>
      <c r="AA461" s="224"/>
      <c r="AB461" s="224"/>
      <c r="AC461" s="224"/>
      <c r="AD461" s="143" t="s">
        <v>2185</v>
      </c>
      <c r="AE461" s="143" t="s">
        <v>2254</v>
      </c>
    </row>
    <row r="462" spans="1:31" ht="24.95" customHeight="1" x14ac:dyDescent="0.2">
      <c r="A462" s="144">
        <v>1095</v>
      </c>
      <c r="B462" s="145" t="s">
        <v>2706</v>
      </c>
      <c r="C462" s="146" t="s">
        <v>2285</v>
      </c>
      <c r="D462" s="146" t="s">
        <v>2285</v>
      </c>
      <c r="E462" s="147" t="s">
        <v>2310</v>
      </c>
      <c r="F462" s="148">
        <f>740+4205</f>
        <v>4945</v>
      </c>
      <c r="G462" s="149">
        <v>5855</v>
      </c>
      <c r="H462" s="149">
        <v>135</v>
      </c>
      <c r="I462" s="196"/>
      <c r="J462" s="149">
        <v>4886</v>
      </c>
      <c r="K462" s="149">
        <v>7105</v>
      </c>
      <c r="L462" s="149">
        <v>130</v>
      </c>
      <c r="M462" s="149">
        <v>9891</v>
      </c>
      <c r="N462" s="149">
        <v>2</v>
      </c>
      <c r="O462" s="149">
        <v>10021</v>
      </c>
      <c r="P462" s="224"/>
      <c r="Q462" s="224"/>
      <c r="R462" s="224"/>
      <c r="S462" s="224"/>
      <c r="T462" s="224"/>
      <c r="U462" s="224"/>
      <c r="V462" s="224"/>
      <c r="W462" s="224"/>
      <c r="X462" s="224"/>
      <c r="Y462" s="224"/>
      <c r="Z462" s="224"/>
      <c r="AA462" s="224"/>
      <c r="AB462" s="224"/>
      <c r="AC462" s="224"/>
      <c r="AD462" s="143" t="s">
        <v>2185</v>
      </c>
      <c r="AE462" s="143" t="s">
        <v>2254</v>
      </c>
    </row>
    <row r="463" spans="1:31" ht="24.95" customHeight="1" x14ac:dyDescent="0.2">
      <c r="A463" s="144">
        <v>1096</v>
      </c>
      <c r="B463" s="145" t="s">
        <v>2707</v>
      </c>
      <c r="C463" s="146" t="s">
        <v>2250</v>
      </c>
      <c r="D463" s="146" t="s">
        <v>2285</v>
      </c>
      <c r="E463" s="147" t="s">
        <v>2310</v>
      </c>
      <c r="F463" s="148">
        <v>13715</v>
      </c>
      <c r="G463" s="149">
        <v>8970</v>
      </c>
      <c r="H463" s="149">
        <v>173</v>
      </c>
      <c r="I463" s="196"/>
      <c r="J463" s="149">
        <v>13254</v>
      </c>
      <c r="K463" s="149">
        <v>8970</v>
      </c>
      <c r="L463" s="149">
        <v>173</v>
      </c>
      <c r="M463" s="149">
        <v>7900</v>
      </c>
      <c r="N463" s="149">
        <v>0</v>
      </c>
      <c r="O463" s="149">
        <v>11170</v>
      </c>
      <c r="P463" s="224"/>
      <c r="Q463" s="224"/>
      <c r="R463" s="224"/>
      <c r="S463" s="224"/>
      <c r="T463" s="224"/>
      <c r="U463" s="224"/>
      <c r="V463" s="224"/>
      <c r="W463" s="224"/>
      <c r="X463" s="224"/>
      <c r="Y463" s="224"/>
      <c r="Z463" s="224"/>
      <c r="AA463" s="224"/>
      <c r="AB463" s="224"/>
      <c r="AC463" s="224"/>
      <c r="AD463" s="143" t="s">
        <v>2185</v>
      </c>
      <c r="AE463" s="143" t="s">
        <v>2254</v>
      </c>
    </row>
    <row r="464" spans="1:31" ht="24.95" customHeight="1" x14ac:dyDescent="0.2">
      <c r="A464" s="144">
        <v>1097</v>
      </c>
      <c r="B464" s="145" t="s">
        <v>2708</v>
      </c>
      <c r="C464" s="146" t="s">
        <v>2250</v>
      </c>
      <c r="D464" s="146" t="s">
        <v>2285</v>
      </c>
      <c r="E464" s="147" t="s">
        <v>2564</v>
      </c>
      <c r="F464" s="148">
        <f>465+3330</f>
        <v>3795</v>
      </c>
      <c r="G464" s="149">
        <f>20+25+145+945+1170+3560+71+1+4</f>
        <v>5941</v>
      </c>
      <c r="H464" s="149">
        <v>59</v>
      </c>
      <c r="I464" s="196"/>
      <c r="J464" s="149">
        <v>0</v>
      </c>
      <c r="K464" s="149">
        <v>0</v>
      </c>
      <c r="L464" s="149">
        <v>0</v>
      </c>
      <c r="M464" s="149">
        <v>0</v>
      </c>
      <c r="N464" s="149">
        <v>0</v>
      </c>
      <c r="O464" s="149">
        <v>0</v>
      </c>
      <c r="P464" s="224"/>
      <c r="Q464" s="224"/>
      <c r="R464" s="224"/>
      <c r="S464" s="224"/>
      <c r="T464" s="224"/>
      <c r="U464" s="224"/>
      <c r="V464" s="224"/>
      <c r="W464" s="224"/>
      <c r="X464" s="224"/>
      <c r="Y464" s="224"/>
      <c r="Z464" s="224"/>
      <c r="AA464" s="224"/>
      <c r="AB464" s="224"/>
      <c r="AC464" s="224"/>
      <c r="AD464" s="143" t="s">
        <v>2185</v>
      </c>
      <c r="AE464" s="143" t="s">
        <v>2254</v>
      </c>
    </row>
    <row r="465" spans="1:31" ht="24.95" customHeight="1" x14ac:dyDescent="0.2">
      <c r="A465" s="144">
        <v>1098</v>
      </c>
      <c r="B465" s="145" t="s">
        <v>2709</v>
      </c>
      <c r="C465" s="146" t="s">
        <v>2183</v>
      </c>
      <c r="D465" s="146" t="s">
        <v>2183</v>
      </c>
      <c r="E465" s="147" t="s">
        <v>2265</v>
      </c>
      <c r="F465" s="148">
        <f>2125+2340</f>
        <v>4465</v>
      </c>
      <c r="G465" s="149">
        <f>115+2535+1+3839</f>
        <v>6490</v>
      </c>
      <c r="H465" s="149">
        <v>42</v>
      </c>
      <c r="I465" s="196"/>
      <c r="J465" s="149">
        <v>0</v>
      </c>
      <c r="K465" s="149">
        <v>0</v>
      </c>
      <c r="L465" s="149">
        <v>0</v>
      </c>
      <c r="M465" s="149">
        <v>0</v>
      </c>
      <c r="N465" s="149">
        <v>0</v>
      </c>
      <c r="O465" s="149">
        <v>0</v>
      </c>
      <c r="P465" s="224"/>
      <c r="Q465" s="224"/>
      <c r="R465" s="224"/>
      <c r="S465" s="224"/>
      <c r="T465" s="224"/>
      <c r="U465" s="224"/>
      <c r="V465" s="224"/>
      <c r="W465" s="224"/>
      <c r="X465" s="224"/>
      <c r="Y465" s="224"/>
      <c r="Z465" s="224"/>
      <c r="AA465" s="224"/>
      <c r="AB465" s="224"/>
      <c r="AC465" s="224"/>
      <c r="AD465" s="143" t="s">
        <v>2347</v>
      </c>
      <c r="AE465" s="143" t="s">
        <v>2254</v>
      </c>
    </row>
    <row r="466" spans="1:31" ht="24.95" customHeight="1" x14ac:dyDescent="0.2">
      <c r="A466" s="144">
        <v>1099</v>
      </c>
      <c r="B466" s="145" t="s">
        <v>2710</v>
      </c>
      <c r="C466" s="146" t="s">
        <v>2183</v>
      </c>
      <c r="D466" s="146" t="s">
        <v>2183</v>
      </c>
      <c r="E466" s="147" t="s">
        <v>2265</v>
      </c>
      <c r="F466" s="148">
        <v>5460</v>
      </c>
      <c r="G466" s="149">
        <f>2630+4053+4</f>
        <v>6687</v>
      </c>
      <c r="H466" s="149">
        <f>58+6</f>
        <v>64</v>
      </c>
      <c r="I466" s="196"/>
      <c r="J466" s="149">
        <v>0</v>
      </c>
      <c r="K466" s="149">
        <v>0</v>
      </c>
      <c r="L466" s="149">
        <v>0</v>
      </c>
      <c r="M466" s="149">
        <v>0</v>
      </c>
      <c r="N466" s="149">
        <v>0</v>
      </c>
      <c r="O466" s="149">
        <v>0</v>
      </c>
      <c r="P466" s="224"/>
      <c r="Q466" s="224"/>
      <c r="R466" s="224"/>
      <c r="S466" s="224"/>
      <c r="T466" s="224"/>
      <c r="U466" s="224"/>
      <c r="V466" s="224"/>
      <c r="W466" s="224"/>
      <c r="X466" s="224"/>
      <c r="Y466" s="224"/>
      <c r="Z466" s="224"/>
      <c r="AA466" s="224"/>
      <c r="AB466" s="224"/>
      <c r="AC466" s="224"/>
      <c r="AD466" s="143" t="s">
        <v>2347</v>
      </c>
      <c r="AE466" s="143" t="s">
        <v>2254</v>
      </c>
    </row>
    <row r="467" spans="1:31" ht="24.95" customHeight="1" x14ac:dyDescent="0.2">
      <c r="A467" s="144">
        <v>1100</v>
      </c>
      <c r="B467" s="145" t="s">
        <v>2711</v>
      </c>
      <c r="C467" s="146" t="s">
        <v>2258</v>
      </c>
      <c r="D467" s="146" t="s">
        <v>2258</v>
      </c>
      <c r="E467" s="147" t="s">
        <v>2265</v>
      </c>
      <c r="F467" s="148">
        <v>2095</v>
      </c>
      <c r="G467" s="149">
        <f>60+175+320+364+1770+2</f>
        <v>2691</v>
      </c>
      <c r="H467" s="149">
        <v>2262</v>
      </c>
      <c r="I467" s="196"/>
      <c r="J467" s="149">
        <v>0</v>
      </c>
      <c r="K467" s="149">
        <v>0</v>
      </c>
      <c r="L467" s="149">
        <v>0</v>
      </c>
      <c r="M467" s="149">
        <v>0</v>
      </c>
      <c r="N467" s="149">
        <v>0</v>
      </c>
      <c r="O467" s="149">
        <v>0</v>
      </c>
      <c r="P467" s="224"/>
      <c r="Q467" s="224"/>
      <c r="R467" s="224"/>
      <c r="S467" s="224"/>
      <c r="T467" s="224"/>
      <c r="U467" s="224"/>
      <c r="V467" s="224"/>
      <c r="W467" s="224"/>
      <c r="X467" s="224"/>
      <c r="Y467" s="224"/>
      <c r="Z467" s="224"/>
      <c r="AA467" s="224"/>
      <c r="AB467" s="224"/>
      <c r="AC467" s="224"/>
      <c r="AD467" s="143" t="s">
        <v>2598</v>
      </c>
      <c r="AE467" s="143" t="s">
        <v>2186</v>
      </c>
    </row>
    <row r="468" spans="1:31" ht="24.95" customHeight="1" x14ac:dyDescent="0.2">
      <c r="A468" s="144">
        <v>1101</v>
      </c>
      <c r="B468" s="145" t="s">
        <v>2712</v>
      </c>
      <c r="C468" s="146" t="s">
        <v>2183</v>
      </c>
      <c r="D468" s="146" t="s">
        <v>2183</v>
      </c>
      <c r="E468" s="147" t="s">
        <v>2265</v>
      </c>
      <c r="F468" s="148">
        <v>2490</v>
      </c>
      <c r="G468" s="149">
        <f>90+185+225+301+1+2846</f>
        <v>3648</v>
      </c>
      <c r="H468" s="149">
        <v>27</v>
      </c>
      <c r="I468" s="196"/>
      <c r="J468" s="149">
        <v>0</v>
      </c>
      <c r="K468" s="149">
        <v>0</v>
      </c>
      <c r="L468" s="149">
        <v>0</v>
      </c>
      <c r="M468" s="149">
        <v>0</v>
      </c>
      <c r="N468" s="149">
        <v>0</v>
      </c>
      <c r="O468" s="149">
        <v>0</v>
      </c>
      <c r="P468" s="224"/>
      <c r="Q468" s="224"/>
      <c r="R468" s="224"/>
      <c r="S468" s="224"/>
      <c r="T468" s="224"/>
      <c r="U468" s="224"/>
      <c r="V468" s="224"/>
      <c r="W468" s="224"/>
      <c r="X468" s="224"/>
      <c r="Y468" s="224"/>
      <c r="Z468" s="224"/>
      <c r="AA468" s="224"/>
      <c r="AB468" s="224"/>
      <c r="AC468" s="224"/>
      <c r="AD468" s="143" t="s">
        <v>2347</v>
      </c>
      <c r="AE468" s="143" t="s">
        <v>2254</v>
      </c>
    </row>
    <row r="469" spans="1:31" ht="24.95" customHeight="1" x14ac:dyDescent="0.2">
      <c r="A469" s="144">
        <v>1102</v>
      </c>
      <c r="B469" s="145" t="s">
        <v>2713</v>
      </c>
      <c r="C469" s="146" t="s">
        <v>2183</v>
      </c>
      <c r="D469" s="146" t="s">
        <v>2183</v>
      </c>
      <c r="E469" s="147" t="s">
        <v>2265</v>
      </c>
      <c r="F469" s="148">
        <f>590+735+5170</f>
        <v>6495</v>
      </c>
      <c r="G469" s="149">
        <f>8687-13-30-4-85</f>
        <v>8555</v>
      </c>
      <c r="H469" s="149">
        <v>85</v>
      </c>
      <c r="I469" s="196"/>
      <c r="J469" s="149">
        <v>0</v>
      </c>
      <c r="K469" s="149">
        <v>0</v>
      </c>
      <c r="L469" s="149">
        <v>0</v>
      </c>
      <c r="M469" s="149">
        <v>0</v>
      </c>
      <c r="N469" s="149">
        <v>0</v>
      </c>
      <c r="O469" s="149">
        <v>0</v>
      </c>
      <c r="P469" s="224"/>
      <c r="Q469" s="224"/>
      <c r="R469" s="224"/>
      <c r="S469" s="224"/>
      <c r="T469" s="224"/>
      <c r="U469" s="224"/>
      <c r="V469" s="224"/>
      <c r="W469" s="224"/>
      <c r="X469" s="224"/>
      <c r="Y469" s="224"/>
      <c r="Z469" s="224"/>
      <c r="AA469" s="224"/>
      <c r="AB469" s="224"/>
      <c r="AC469" s="224"/>
      <c r="AD469" s="143" t="s">
        <v>2185</v>
      </c>
      <c r="AE469" s="143" t="s">
        <v>2254</v>
      </c>
    </row>
    <row r="470" spans="1:31" ht="24.95" customHeight="1" x14ac:dyDescent="0.2">
      <c r="A470" s="144">
        <v>1104</v>
      </c>
      <c r="B470" s="145" t="s">
        <v>2714</v>
      </c>
      <c r="C470" s="146" t="s">
        <v>2258</v>
      </c>
      <c r="D470" s="146" t="s">
        <v>2258</v>
      </c>
      <c r="E470" s="147" t="s">
        <v>2310</v>
      </c>
      <c r="F470" s="148">
        <v>2100</v>
      </c>
      <c r="G470" s="149">
        <f>200+540+585+715+795+1015+1</f>
        <v>3851</v>
      </c>
      <c r="H470" s="149">
        <v>1093</v>
      </c>
      <c r="I470" s="196"/>
      <c r="J470" s="149">
        <v>0</v>
      </c>
      <c r="K470" s="149">
        <v>0</v>
      </c>
      <c r="L470" s="149">
        <v>0</v>
      </c>
      <c r="M470" s="149">
        <v>0</v>
      </c>
      <c r="N470" s="149">
        <v>0</v>
      </c>
      <c r="O470" s="149">
        <v>0</v>
      </c>
      <c r="P470" s="224"/>
      <c r="Q470" s="224"/>
      <c r="R470" s="224"/>
      <c r="S470" s="224"/>
      <c r="T470" s="224"/>
      <c r="U470" s="224"/>
      <c r="V470" s="224"/>
      <c r="W470" s="224"/>
      <c r="X470" s="224"/>
      <c r="Y470" s="224"/>
      <c r="Z470" s="224"/>
      <c r="AA470" s="224"/>
      <c r="AB470" s="224"/>
      <c r="AC470" s="224"/>
      <c r="AD470" s="143" t="s">
        <v>2598</v>
      </c>
      <c r="AE470" s="143" t="s">
        <v>2186</v>
      </c>
    </row>
    <row r="471" spans="1:31" ht="24.95" customHeight="1" x14ac:dyDescent="0.2">
      <c r="A471" s="144">
        <v>1106</v>
      </c>
      <c r="B471" s="145" t="s">
        <v>2715</v>
      </c>
      <c r="C471" s="146" t="s">
        <v>2258</v>
      </c>
      <c r="D471" s="146" t="s">
        <v>2258</v>
      </c>
      <c r="E471" s="147" t="s">
        <v>2265</v>
      </c>
      <c r="F471" s="148">
        <v>4165</v>
      </c>
      <c r="G471" s="149">
        <v>4270</v>
      </c>
      <c r="H471" s="149">
        <v>50</v>
      </c>
      <c r="I471" s="196"/>
      <c r="J471" s="149">
        <v>4303</v>
      </c>
      <c r="K471" s="149">
        <v>4097</v>
      </c>
      <c r="L471" s="149">
        <v>53</v>
      </c>
      <c r="M471" s="149">
        <v>1851</v>
      </c>
      <c r="N471" s="149">
        <f>66-53</f>
        <v>13</v>
      </c>
      <c r="O471" s="149">
        <v>1882</v>
      </c>
      <c r="P471" s="224"/>
      <c r="Q471" s="224"/>
      <c r="R471" s="224"/>
      <c r="S471" s="224"/>
      <c r="T471" s="224"/>
      <c r="U471" s="224"/>
      <c r="V471" s="224"/>
      <c r="W471" s="224"/>
      <c r="X471" s="224"/>
      <c r="Y471" s="224"/>
      <c r="Z471" s="224"/>
      <c r="AA471" s="224"/>
      <c r="AB471" s="224"/>
      <c r="AC471" s="224"/>
      <c r="AD471" s="143" t="s">
        <v>2185</v>
      </c>
      <c r="AE471" s="143" t="s">
        <v>2254</v>
      </c>
    </row>
    <row r="472" spans="1:31" ht="24.95" customHeight="1" x14ac:dyDescent="0.2">
      <c r="A472" s="144">
        <v>1112</v>
      </c>
      <c r="B472" s="145" t="s">
        <v>2716</v>
      </c>
      <c r="C472" s="146" t="s">
        <v>2215</v>
      </c>
      <c r="D472" s="146" t="s">
        <v>2258</v>
      </c>
      <c r="E472" s="147" t="s">
        <v>2310</v>
      </c>
      <c r="F472" s="148">
        <v>26110</v>
      </c>
      <c r="G472" s="149">
        <v>31585</v>
      </c>
      <c r="H472" s="149">
        <v>0</v>
      </c>
      <c r="I472" s="196"/>
      <c r="J472" s="149">
        <v>31962</v>
      </c>
      <c r="K472" s="149">
        <v>31715</v>
      </c>
      <c r="L472" s="149">
        <v>444</v>
      </c>
      <c r="M472" s="149">
        <v>35782</v>
      </c>
      <c r="N472" s="149">
        <f>522-444</f>
        <v>78</v>
      </c>
      <c r="O472" s="149">
        <v>26913</v>
      </c>
      <c r="P472" s="224"/>
      <c r="Q472" s="224"/>
      <c r="R472" s="224"/>
      <c r="S472" s="224"/>
      <c r="T472" s="224"/>
      <c r="U472" s="224"/>
      <c r="V472" s="224"/>
      <c r="W472" s="224"/>
      <c r="X472" s="224"/>
      <c r="Y472" s="224"/>
      <c r="Z472" s="224"/>
      <c r="AA472" s="224"/>
      <c r="AB472" s="224"/>
      <c r="AC472" s="224"/>
      <c r="AD472" s="143" t="s">
        <v>2185</v>
      </c>
      <c r="AE472" s="143" t="s">
        <v>2254</v>
      </c>
    </row>
    <row r="473" spans="1:31" ht="24.95" customHeight="1" x14ac:dyDescent="0.2">
      <c r="A473" s="144">
        <v>1114</v>
      </c>
      <c r="B473" s="145" t="s">
        <v>2717</v>
      </c>
      <c r="C473" s="146" t="s">
        <v>2258</v>
      </c>
      <c r="D473" s="146" t="s">
        <v>2258</v>
      </c>
      <c r="E473" s="147" t="s">
        <v>2265</v>
      </c>
      <c r="F473" s="148">
        <f>4355+2845</f>
        <v>7200</v>
      </c>
      <c r="G473" s="149">
        <f>4565-19-66</f>
        <v>4480</v>
      </c>
      <c r="H473" s="149">
        <v>123</v>
      </c>
      <c r="I473" s="196"/>
      <c r="J473" s="149">
        <v>6935</v>
      </c>
      <c r="K473" s="149">
        <v>4470</v>
      </c>
      <c r="L473" s="149">
        <v>87</v>
      </c>
      <c r="M473" s="149">
        <v>1841</v>
      </c>
      <c r="N473" s="149">
        <f>109-87</f>
        <v>22</v>
      </c>
      <c r="O473" s="149">
        <v>1140</v>
      </c>
      <c r="P473" s="224"/>
      <c r="Q473" s="224"/>
      <c r="R473" s="224"/>
      <c r="S473" s="224"/>
      <c r="T473" s="224"/>
      <c r="U473" s="224"/>
      <c r="V473" s="224"/>
      <c r="W473" s="224"/>
      <c r="X473" s="224"/>
      <c r="Y473" s="224"/>
      <c r="Z473" s="224"/>
      <c r="AA473" s="224"/>
      <c r="AB473" s="224"/>
      <c r="AC473" s="224"/>
      <c r="AD473" s="143" t="s">
        <v>2185</v>
      </c>
      <c r="AE473" s="143" t="s">
        <v>2254</v>
      </c>
    </row>
    <row r="474" spans="1:31" ht="24.95" customHeight="1" x14ac:dyDescent="0.2">
      <c r="A474" s="144">
        <v>1115</v>
      </c>
      <c r="B474" s="145" t="s">
        <v>2718</v>
      </c>
      <c r="C474" s="146" t="s">
        <v>2258</v>
      </c>
      <c r="D474" s="146" t="s">
        <v>2258</v>
      </c>
      <c r="E474" s="147" t="s">
        <v>2564</v>
      </c>
      <c r="F474" s="148">
        <f>250+940+4060+1920</f>
        <v>7170</v>
      </c>
      <c r="G474" s="149">
        <f>415+715+835+2475+2870+2627+1037+1+183+3</f>
        <v>11161</v>
      </c>
      <c r="H474" s="149">
        <v>134</v>
      </c>
      <c r="I474" s="196"/>
      <c r="J474" s="149">
        <v>0</v>
      </c>
      <c r="K474" s="149">
        <v>0</v>
      </c>
      <c r="L474" s="149">
        <v>0</v>
      </c>
      <c r="M474" s="149">
        <v>0</v>
      </c>
      <c r="N474" s="149">
        <v>0</v>
      </c>
      <c r="O474" s="149">
        <v>0</v>
      </c>
      <c r="P474" s="224"/>
      <c r="Q474" s="224"/>
      <c r="R474" s="224"/>
      <c r="S474" s="224"/>
      <c r="T474" s="224"/>
      <c r="U474" s="224"/>
      <c r="V474" s="224"/>
      <c r="W474" s="224"/>
      <c r="X474" s="224"/>
      <c r="Y474" s="224"/>
      <c r="Z474" s="224"/>
      <c r="AA474" s="224"/>
      <c r="AB474" s="224"/>
      <c r="AC474" s="224"/>
      <c r="AD474" s="143" t="s">
        <v>2347</v>
      </c>
      <c r="AE474" s="143" t="s">
        <v>2254</v>
      </c>
    </row>
    <row r="475" spans="1:31" ht="24.95" customHeight="1" x14ac:dyDescent="0.2">
      <c r="A475" s="144">
        <v>1116</v>
      </c>
      <c r="B475" s="145" t="s">
        <v>2719</v>
      </c>
      <c r="C475" s="146" t="s">
        <v>2412</v>
      </c>
      <c r="D475" s="146" t="s">
        <v>2250</v>
      </c>
      <c r="E475" s="147" t="s">
        <v>2184</v>
      </c>
      <c r="F475" s="148">
        <f>3685-585</f>
        <v>3100</v>
      </c>
      <c r="G475" s="149">
        <v>3235</v>
      </c>
      <c r="H475" s="149">
        <v>9</v>
      </c>
      <c r="I475" s="196"/>
      <c r="J475" s="149">
        <v>3220</v>
      </c>
      <c r="K475" s="149">
        <v>3235</v>
      </c>
      <c r="L475" s="149">
        <v>9</v>
      </c>
      <c r="M475" s="149">
        <v>813</v>
      </c>
      <c r="N475" s="149">
        <v>0</v>
      </c>
      <c r="O475" s="149">
        <v>1087</v>
      </c>
      <c r="P475" s="224"/>
      <c r="Q475" s="224"/>
      <c r="R475" s="224"/>
      <c r="S475" s="224"/>
      <c r="T475" s="224"/>
      <c r="U475" s="224"/>
      <c r="V475" s="224"/>
      <c r="W475" s="224"/>
      <c r="X475" s="224"/>
      <c r="Y475" s="224"/>
      <c r="Z475" s="224"/>
      <c r="AA475" s="224"/>
      <c r="AB475" s="224"/>
      <c r="AC475" s="224"/>
      <c r="AD475" s="143" t="s">
        <v>2185</v>
      </c>
      <c r="AE475" s="143" t="s">
        <v>2254</v>
      </c>
    </row>
    <row r="476" spans="1:31" ht="24.95" customHeight="1" x14ac:dyDescent="0.2">
      <c r="A476" s="144">
        <v>1125</v>
      </c>
      <c r="B476" s="145" t="s">
        <v>2720</v>
      </c>
      <c r="C476" s="146" t="s">
        <v>2225</v>
      </c>
      <c r="D476" s="146" t="s">
        <v>2226</v>
      </c>
      <c r="E476" s="147" t="s">
        <v>2265</v>
      </c>
      <c r="F476" s="148">
        <v>5770</v>
      </c>
      <c r="G476" s="149">
        <v>3765</v>
      </c>
      <c r="H476" s="149">
        <v>81</v>
      </c>
      <c r="I476" s="196"/>
      <c r="J476" s="149">
        <v>6460</v>
      </c>
      <c r="K476" s="149">
        <v>4042</v>
      </c>
      <c r="L476" s="149">
        <v>87</v>
      </c>
      <c r="M476" s="149">
        <v>3702</v>
      </c>
      <c r="N476" s="149">
        <v>0</v>
      </c>
      <c r="O476" s="149">
        <v>3582</v>
      </c>
      <c r="P476" s="224"/>
      <c r="Q476" s="224"/>
      <c r="R476" s="224"/>
      <c r="S476" s="224"/>
      <c r="T476" s="224"/>
      <c r="U476" s="224"/>
      <c r="V476" s="224"/>
      <c r="W476" s="224"/>
      <c r="X476" s="224"/>
      <c r="Y476" s="224"/>
      <c r="Z476" s="224"/>
      <c r="AA476" s="224"/>
      <c r="AB476" s="224"/>
      <c r="AC476" s="224"/>
      <c r="AD476" s="143" t="s">
        <v>2185</v>
      </c>
      <c r="AE476" s="143" t="s">
        <v>2254</v>
      </c>
    </row>
    <row r="477" spans="1:31" ht="24.95" customHeight="1" x14ac:dyDescent="0.2">
      <c r="A477" s="144">
        <v>1148</v>
      </c>
      <c r="B477" s="145" t="s">
        <v>2721</v>
      </c>
      <c r="C477" s="146" t="s">
        <v>2215</v>
      </c>
      <c r="D477" s="146" t="s">
        <v>2215</v>
      </c>
      <c r="E477" s="147" t="s">
        <v>2265</v>
      </c>
      <c r="F477" s="148">
        <v>5275</v>
      </c>
      <c r="G477" s="149">
        <f>9646-21</f>
        <v>9625</v>
      </c>
      <c r="H477" s="149">
        <v>47</v>
      </c>
      <c r="I477" s="196"/>
      <c r="J477" s="149">
        <v>5382</v>
      </c>
      <c r="K477" s="149">
        <v>9625</v>
      </c>
      <c r="L477" s="149">
        <v>46</v>
      </c>
      <c r="M477" s="149">
        <v>1811</v>
      </c>
      <c r="N477" s="149">
        <f>54-46</f>
        <v>8</v>
      </c>
      <c r="O477" s="149">
        <v>1769</v>
      </c>
      <c r="P477" s="224"/>
      <c r="Q477" s="224"/>
      <c r="R477" s="224"/>
      <c r="S477" s="224"/>
      <c r="T477" s="224"/>
      <c r="U477" s="224"/>
      <c r="V477" s="224"/>
      <c r="W477" s="224"/>
      <c r="X477" s="224"/>
      <c r="Y477" s="224"/>
      <c r="Z477" s="224"/>
      <c r="AA477" s="224"/>
      <c r="AB477" s="224"/>
      <c r="AC477" s="224"/>
      <c r="AD477" s="143" t="s">
        <v>2185</v>
      </c>
      <c r="AE477" s="143" t="s">
        <v>2254</v>
      </c>
    </row>
    <row r="478" spans="1:31" ht="24.95" customHeight="1" x14ac:dyDescent="0.2">
      <c r="A478" s="144">
        <v>1154</v>
      </c>
      <c r="B478" s="145" t="s">
        <v>2722</v>
      </c>
      <c r="C478" s="146" t="s">
        <v>2723</v>
      </c>
      <c r="D478" s="146" t="s">
        <v>2368</v>
      </c>
      <c r="E478" s="147" t="s">
        <v>2265</v>
      </c>
      <c r="F478" s="148">
        <f>65+4675</f>
        <v>4740</v>
      </c>
      <c r="G478" s="149">
        <f>2335+26</f>
        <v>2361</v>
      </c>
      <c r="H478" s="149">
        <v>47</v>
      </c>
      <c r="I478" s="196"/>
      <c r="J478" s="149">
        <v>0</v>
      </c>
      <c r="K478" s="149">
        <v>0</v>
      </c>
      <c r="L478" s="149">
        <v>0</v>
      </c>
      <c r="M478" s="149">
        <v>0</v>
      </c>
      <c r="N478" s="149">
        <v>0</v>
      </c>
      <c r="O478" s="149">
        <v>0</v>
      </c>
      <c r="P478" s="224"/>
      <c r="Q478" s="224"/>
      <c r="R478" s="224"/>
      <c r="S478" s="224"/>
      <c r="T478" s="224"/>
      <c r="U478" s="224"/>
      <c r="V478" s="224"/>
      <c r="W478" s="224"/>
      <c r="X478" s="224"/>
      <c r="Y478" s="224"/>
      <c r="Z478" s="224"/>
      <c r="AA478" s="224"/>
      <c r="AB478" s="224"/>
      <c r="AC478" s="224"/>
      <c r="AD478" s="143" t="s">
        <v>2347</v>
      </c>
      <c r="AE478" s="143" t="s">
        <v>2254</v>
      </c>
    </row>
    <row r="479" spans="1:31" ht="24.95" customHeight="1" x14ac:dyDescent="0.2">
      <c r="A479" s="144">
        <v>1156</v>
      </c>
      <c r="B479" s="145" t="s">
        <v>2724</v>
      </c>
      <c r="C479" s="146" t="s">
        <v>2309</v>
      </c>
      <c r="D479" s="146" t="s">
        <v>2368</v>
      </c>
      <c r="E479" s="147" t="s">
        <v>2184</v>
      </c>
      <c r="F479" s="148">
        <v>2820</v>
      </c>
      <c r="G479" s="149">
        <f>3660+1</f>
        <v>3661</v>
      </c>
      <c r="H479" s="149">
        <v>42</v>
      </c>
      <c r="I479" s="196"/>
      <c r="J479" s="149">
        <v>0</v>
      </c>
      <c r="K479" s="149">
        <v>0</v>
      </c>
      <c r="L479" s="149">
        <v>0</v>
      </c>
      <c r="M479" s="149">
        <v>0</v>
      </c>
      <c r="N479" s="149">
        <v>0</v>
      </c>
      <c r="O479" s="149">
        <v>0</v>
      </c>
      <c r="P479" s="224"/>
      <c r="Q479" s="224"/>
      <c r="R479" s="224"/>
      <c r="S479" s="224"/>
      <c r="T479" s="224"/>
      <c r="U479" s="224"/>
      <c r="V479" s="224"/>
      <c r="W479" s="224"/>
      <c r="X479" s="224"/>
      <c r="Y479" s="224"/>
      <c r="Z479" s="224"/>
      <c r="AA479" s="224"/>
      <c r="AB479" s="224"/>
      <c r="AC479" s="224"/>
      <c r="AD479" s="143" t="s">
        <v>2347</v>
      </c>
      <c r="AE479" s="143" t="s">
        <v>2254</v>
      </c>
    </row>
    <row r="480" spans="1:31" ht="24.95" customHeight="1" x14ac:dyDescent="0.2">
      <c r="A480" s="144">
        <v>1157</v>
      </c>
      <c r="B480" s="145" t="s">
        <v>2725</v>
      </c>
      <c r="C480" s="146" t="s">
        <v>2309</v>
      </c>
      <c r="D480" s="146" t="s">
        <v>2368</v>
      </c>
      <c r="E480" s="147" t="s">
        <v>2184</v>
      </c>
      <c r="F480" s="148">
        <v>7270</v>
      </c>
      <c r="G480" s="149">
        <v>7655</v>
      </c>
      <c r="H480" s="149">
        <v>0</v>
      </c>
      <c r="I480" s="196"/>
      <c r="J480" s="149">
        <v>7347</v>
      </c>
      <c r="K480" s="149">
        <v>7415</v>
      </c>
      <c r="L480" s="149">
        <v>102</v>
      </c>
      <c r="M480" s="149">
        <v>6798</v>
      </c>
      <c r="N480" s="149">
        <v>2</v>
      </c>
      <c r="O480" s="149">
        <v>7380</v>
      </c>
      <c r="P480" s="224"/>
      <c r="Q480" s="224"/>
      <c r="R480" s="224"/>
      <c r="S480" s="224"/>
      <c r="T480" s="224"/>
      <c r="U480" s="224"/>
      <c r="V480" s="224"/>
      <c r="W480" s="224"/>
      <c r="X480" s="224"/>
      <c r="Y480" s="224"/>
      <c r="Z480" s="224"/>
      <c r="AA480" s="224"/>
      <c r="AB480" s="224"/>
      <c r="AC480" s="224"/>
      <c r="AD480" s="143" t="s">
        <v>2185</v>
      </c>
      <c r="AE480" s="143" t="s">
        <v>2254</v>
      </c>
    </row>
    <row r="481" spans="1:31" ht="24.95" customHeight="1" x14ac:dyDescent="0.2">
      <c r="A481" s="144">
        <v>1158</v>
      </c>
      <c r="B481" s="145" t="s">
        <v>2726</v>
      </c>
      <c r="C481" s="146" t="s">
        <v>2309</v>
      </c>
      <c r="D481" s="146" t="s">
        <v>2368</v>
      </c>
      <c r="E481" s="147" t="s">
        <v>2265</v>
      </c>
      <c r="F481" s="148">
        <f>5300+1100</f>
        <v>6400</v>
      </c>
      <c r="G481" s="149">
        <f>50+930+1325+1+70+2+1+4176</f>
        <v>6555</v>
      </c>
      <c r="H481" s="149">
        <v>82</v>
      </c>
      <c r="I481" s="196"/>
      <c r="J481" s="149">
        <v>0</v>
      </c>
      <c r="K481" s="149">
        <v>0</v>
      </c>
      <c r="L481" s="149">
        <v>0</v>
      </c>
      <c r="M481" s="149">
        <v>0</v>
      </c>
      <c r="N481" s="149">
        <v>0</v>
      </c>
      <c r="O481" s="149">
        <v>0</v>
      </c>
      <c r="P481" s="224"/>
      <c r="Q481" s="224"/>
      <c r="R481" s="224"/>
      <c r="S481" s="224"/>
      <c r="T481" s="224"/>
      <c r="U481" s="224"/>
      <c r="V481" s="224"/>
      <c r="W481" s="224"/>
      <c r="X481" s="224"/>
      <c r="Y481" s="224"/>
      <c r="Z481" s="224"/>
      <c r="AA481" s="224"/>
      <c r="AB481" s="224"/>
      <c r="AC481" s="224"/>
      <c r="AD481" s="143" t="s">
        <v>2598</v>
      </c>
      <c r="AE481" s="143" t="s">
        <v>2186</v>
      </c>
    </row>
    <row r="482" spans="1:31" ht="24.95" customHeight="1" x14ac:dyDescent="0.2">
      <c r="A482" s="144">
        <v>1159</v>
      </c>
      <c r="B482" s="145" t="s">
        <v>2727</v>
      </c>
      <c r="C482" s="146" t="s">
        <v>2309</v>
      </c>
      <c r="D482" s="146" t="s">
        <v>2368</v>
      </c>
      <c r="E482" s="147" t="s">
        <v>2265</v>
      </c>
      <c r="F482" s="148">
        <f>90+5730</f>
        <v>5820</v>
      </c>
      <c r="G482" s="149">
        <v>6110</v>
      </c>
      <c r="H482" s="149">
        <v>76</v>
      </c>
      <c r="I482" s="196"/>
      <c r="J482" s="149">
        <v>6308</v>
      </c>
      <c r="K482" s="149">
        <v>6495</v>
      </c>
      <c r="L482" s="149">
        <v>77</v>
      </c>
      <c r="M482" s="149">
        <v>4774</v>
      </c>
      <c r="N482" s="149">
        <f>87-77</f>
        <v>10</v>
      </c>
      <c r="O482" s="149">
        <v>5232</v>
      </c>
      <c r="P482" s="224"/>
      <c r="Q482" s="224"/>
      <c r="R482" s="224"/>
      <c r="S482" s="224"/>
      <c r="T482" s="224"/>
      <c r="U482" s="224"/>
      <c r="V482" s="224"/>
      <c r="W482" s="224"/>
      <c r="X482" s="224"/>
      <c r="Y482" s="224"/>
      <c r="Z482" s="224"/>
      <c r="AA482" s="224"/>
      <c r="AB482" s="224"/>
      <c r="AC482" s="224"/>
      <c r="AD482" s="143" t="s">
        <v>2185</v>
      </c>
      <c r="AE482" s="143" t="s">
        <v>2254</v>
      </c>
    </row>
    <row r="483" spans="1:31" ht="24.95" customHeight="1" x14ac:dyDescent="0.2">
      <c r="A483" s="144">
        <v>1160</v>
      </c>
      <c r="B483" s="145" t="s">
        <v>2728</v>
      </c>
      <c r="C483" s="146" t="s">
        <v>2256</v>
      </c>
      <c r="D483" s="146" t="s">
        <v>2256</v>
      </c>
      <c r="E483" s="147" t="s">
        <v>2265</v>
      </c>
      <c r="F483" s="148">
        <v>8725</v>
      </c>
      <c r="G483" s="149">
        <v>10085</v>
      </c>
      <c r="H483" s="149">
        <v>0</v>
      </c>
      <c r="I483" s="196"/>
      <c r="J483" s="149">
        <v>9415</v>
      </c>
      <c r="K483" s="149">
        <v>9892</v>
      </c>
      <c r="L483" s="149">
        <v>181</v>
      </c>
      <c r="M483" s="149">
        <v>9770</v>
      </c>
      <c r="N483" s="149">
        <v>7</v>
      </c>
      <c r="O483" s="149">
        <v>9797</v>
      </c>
      <c r="P483" s="224"/>
      <c r="Q483" s="224"/>
      <c r="R483" s="224"/>
      <c r="S483" s="224"/>
      <c r="T483" s="224"/>
      <c r="U483" s="224"/>
      <c r="V483" s="224"/>
      <c r="W483" s="224"/>
      <c r="X483" s="224"/>
      <c r="Y483" s="224"/>
      <c r="Z483" s="224"/>
      <c r="AA483" s="224"/>
      <c r="AB483" s="224"/>
      <c r="AC483" s="224"/>
      <c r="AD483" s="143" t="s">
        <v>2185</v>
      </c>
      <c r="AE483" s="143" t="s">
        <v>2254</v>
      </c>
    </row>
    <row r="484" spans="1:31" ht="24.95" customHeight="1" x14ac:dyDescent="0.2">
      <c r="A484" s="144">
        <v>1161</v>
      </c>
      <c r="B484" s="145" t="s">
        <v>2729</v>
      </c>
      <c r="C484" s="146" t="s">
        <v>2256</v>
      </c>
      <c r="D484" s="146" t="s">
        <v>2256</v>
      </c>
      <c r="E484" s="147" t="s">
        <v>2184</v>
      </c>
      <c r="F484" s="148">
        <v>5065</v>
      </c>
      <c r="G484" s="149">
        <v>5680</v>
      </c>
      <c r="H484" s="149">
        <v>74</v>
      </c>
      <c r="I484" s="196"/>
      <c r="J484" s="149">
        <v>5037</v>
      </c>
      <c r="K484" s="149">
        <v>6628</v>
      </c>
      <c r="L484" s="149">
        <v>64</v>
      </c>
      <c r="M484" s="149">
        <v>2958</v>
      </c>
      <c r="N484" s="149">
        <v>5</v>
      </c>
      <c r="O484" s="149">
        <v>3221</v>
      </c>
      <c r="P484" s="224"/>
      <c r="Q484" s="224"/>
      <c r="R484" s="224"/>
      <c r="S484" s="224"/>
      <c r="T484" s="224"/>
      <c r="U484" s="224"/>
      <c r="V484" s="224"/>
      <c r="W484" s="224"/>
      <c r="X484" s="224"/>
      <c r="Y484" s="224"/>
      <c r="Z484" s="224"/>
      <c r="AA484" s="224"/>
      <c r="AB484" s="224"/>
      <c r="AC484" s="224"/>
      <c r="AD484" s="143" t="s">
        <v>2185</v>
      </c>
      <c r="AE484" s="143" t="s">
        <v>2254</v>
      </c>
    </row>
    <row r="485" spans="1:31" ht="24.95" customHeight="1" x14ac:dyDescent="0.2">
      <c r="A485" s="144">
        <v>1162</v>
      </c>
      <c r="B485" s="145" t="s">
        <v>2730</v>
      </c>
      <c r="C485" s="146" t="s">
        <v>2280</v>
      </c>
      <c r="D485" s="146" t="s">
        <v>2280</v>
      </c>
      <c r="E485" s="147" t="s">
        <v>2310</v>
      </c>
      <c r="F485" s="148">
        <v>4700</v>
      </c>
      <c r="G485" s="149">
        <v>7157</v>
      </c>
      <c r="H485" s="149">
        <v>101</v>
      </c>
      <c r="I485" s="196"/>
      <c r="J485" s="149">
        <v>5532</v>
      </c>
      <c r="K485" s="149">
        <v>7157</v>
      </c>
      <c r="L485" s="149">
        <v>105</v>
      </c>
      <c r="M485" s="149">
        <v>9250</v>
      </c>
      <c r="N485" s="149">
        <v>0</v>
      </c>
      <c r="O485" s="149">
        <v>6975</v>
      </c>
      <c r="P485" s="224"/>
      <c r="Q485" s="224"/>
      <c r="R485" s="224"/>
      <c r="S485" s="224"/>
      <c r="T485" s="224"/>
      <c r="U485" s="224"/>
      <c r="V485" s="224"/>
      <c r="W485" s="224"/>
      <c r="X485" s="224"/>
      <c r="Y485" s="224"/>
      <c r="Z485" s="224"/>
      <c r="AA485" s="224"/>
      <c r="AB485" s="224"/>
      <c r="AC485" s="224"/>
      <c r="AD485" s="143" t="s">
        <v>2185</v>
      </c>
      <c r="AE485" s="143" t="s">
        <v>2254</v>
      </c>
    </row>
    <row r="486" spans="1:31" ht="24.95" customHeight="1" x14ac:dyDescent="0.2">
      <c r="A486" s="144">
        <v>1163</v>
      </c>
      <c r="B486" s="145" t="s">
        <v>2731</v>
      </c>
      <c r="C486" s="146" t="s">
        <v>2280</v>
      </c>
      <c r="D486" s="146" t="s">
        <v>2280</v>
      </c>
      <c r="E486" s="147" t="s">
        <v>2265</v>
      </c>
      <c r="F486" s="148">
        <v>3030</v>
      </c>
      <c r="G486" s="149">
        <v>2990</v>
      </c>
      <c r="H486" s="149">
        <v>44</v>
      </c>
      <c r="I486" s="196"/>
      <c r="J486" s="149">
        <v>3624</v>
      </c>
      <c r="K486" s="149">
        <v>3447</v>
      </c>
      <c r="L486" s="149">
        <v>0</v>
      </c>
      <c r="M486" s="149">
        <v>0</v>
      </c>
      <c r="N486" s="149">
        <v>0</v>
      </c>
      <c r="O486" s="149">
        <v>0</v>
      </c>
      <c r="P486" s="224"/>
      <c r="Q486" s="224"/>
      <c r="R486" s="224"/>
      <c r="S486" s="224"/>
      <c r="T486" s="224"/>
      <c r="U486" s="224"/>
      <c r="V486" s="224"/>
      <c r="W486" s="224"/>
      <c r="X486" s="224"/>
      <c r="Y486" s="224"/>
      <c r="Z486" s="224"/>
      <c r="AA486" s="224"/>
      <c r="AB486" s="224"/>
      <c r="AC486" s="224"/>
      <c r="AD486" s="143" t="s">
        <v>2185</v>
      </c>
      <c r="AE486" s="143" t="s">
        <v>2254</v>
      </c>
    </row>
    <row r="487" spans="1:31" ht="24.95" customHeight="1" x14ac:dyDescent="0.2">
      <c r="A487" s="144">
        <v>1164</v>
      </c>
      <c r="B487" s="145" t="s">
        <v>2732</v>
      </c>
      <c r="C487" s="146" t="s">
        <v>2256</v>
      </c>
      <c r="D487" s="146" t="s">
        <v>2733</v>
      </c>
      <c r="E487" s="147" t="s">
        <v>2184</v>
      </c>
      <c r="F487" s="148">
        <v>1890</v>
      </c>
      <c r="G487" s="149">
        <v>1900</v>
      </c>
      <c r="H487" s="149">
        <v>34</v>
      </c>
      <c r="I487" s="196"/>
      <c r="J487" s="149">
        <v>1903</v>
      </c>
      <c r="K487" s="149">
        <v>1900</v>
      </c>
      <c r="L487" s="149">
        <v>34</v>
      </c>
      <c r="M487" s="149">
        <v>2207</v>
      </c>
      <c r="N487" s="149">
        <v>0</v>
      </c>
      <c r="O487" s="149">
        <v>2127</v>
      </c>
      <c r="P487" s="224"/>
      <c r="Q487" s="224"/>
      <c r="R487" s="224"/>
      <c r="S487" s="224"/>
      <c r="T487" s="224"/>
      <c r="U487" s="224"/>
      <c r="V487" s="224"/>
      <c r="W487" s="224"/>
      <c r="X487" s="224"/>
      <c r="Y487" s="224"/>
      <c r="Z487" s="224"/>
      <c r="AA487" s="224"/>
      <c r="AB487" s="224"/>
      <c r="AC487" s="224"/>
      <c r="AD487" s="143" t="s">
        <v>2185</v>
      </c>
      <c r="AE487" s="143" t="s">
        <v>2254</v>
      </c>
    </row>
    <row r="488" spans="1:31" ht="24.95" customHeight="1" x14ac:dyDescent="0.2">
      <c r="A488" s="144">
        <v>1165</v>
      </c>
      <c r="B488" s="145" t="s">
        <v>2734</v>
      </c>
      <c r="C488" s="146" t="s">
        <v>2256</v>
      </c>
      <c r="D488" s="146" t="s">
        <v>2733</v>
      </c>
      <c r="E488" s="147" t="s">
        <v>2564</v>
      </c>
      <c r="F488" s="148">
        <f>825+5650</f>
        <v>6475</v>
      </c>
      <c r="G488" s="149">
        <f>1410+2+5364</f>
        <v>6776</v>
      </c>
      <c r="H488" s="149">
        <v>106</v>
      </c>
      <c r="I488" s="196"/>
      <c r="J488" s="149">
        <v>0</v>
      </c>
      <c r="K488" s="149">
        <v>0</v>
      </c>
      <c r="L488" s="149">
        <v>0</v>
      </c>
      <c r="M488" s="149">
        <v>0</v>
      </c>
      <c r="N488" s="149">
        <v>0</v>
      </c>
      <c r="O488" s="149">
        <v>0</v>
      </c>
      <c r="P488" s="224"/>
      <c r="Q488" s="224"/>
      <c r="R488" s="224"/>
      <c r="S488" s="224"/>
      <c r="T488" s="224"/>
      <c r="U488" s="224"/>
      <c r="V488" s="224"/>
      <c r="W488" s="224"/>
      <c r="X488" s="224"/>
      <c r="Y488" s="224"/>
      <c r="Z488" s="224"/>
      <c r="AA488" s="224"/>
      <c r="AB488" s="224"/>
      <c r="AC488" s="224"/>
      <c r="AD488" s="143" t="s">
        <v>2185</v>
      </c>
      <c r="AE488" s="143" t="s">
        <v>2254</v>
      </c>
    </row>
    <row r="489" spans="1:31" ht="24.95" customHeight="1" x14ac:dyDescent="0.2">
      <c r="A489" s="144">
        <v>1167</v>
      </c>
      <c r="B489" s="145" t="s">
        <v>2735</v>
      </c>
      <c r="C489" s="146" t="s">
        <v>2256</v>
      </c>
      <c r="D489" s="146" t="s">
        <v>2733</v>
      </c>
      <c r="E489" s="147" t="s">
        <v>2265</v>
      </c>
      <c r="F489" s="148">
        <f>4035+1750</f>
        <v>5785</v>
      </c>
      <c r="G489" s="149">
        <v>6075</v>
      </c>
      <c r="H489" s="149">
        <v>85</v>
      </c>
      <c r="I489" s="196"/>
      <c r="J489" s="149">
        <v>6401</v>
      </c>
      <c r="K489" s="149">
        <v>6817</v>
      </c>
      <c r="L489" s="149">
        <v>88</v>
      </c>
      <c r="M489" s="149">
        <v>4744</v>
      </c>
      <c r="N489" s="149">
        <v>2</v>
      </c>
      <c r="O489" s="149">
        <v>4733</v>
      </c>
      <c r="P489" s="224"/>
      <c r="Q489" s="224"/>
      <c r="R489" s="224"/>
      <c r="S489" s="224"/>
      <c r="T489" s="224"/>
      <c r="U489" s="224"/>
      <c r="V489" s="224"/>
      <c r="W489" s="224"/>
      <c r="X489" s="224"/>
      <c r="Y489" s="224"/>
      <c r="Z489" s="224"/>
      <c r="AA489" s="224"/>
      <c r="AB489" s="224"/>
      <c r="AC489" s="224"/>
      <c r="AD489" s="143" t="s">
        <v>2185</v>
      </c>
      <c r="AE489" s="143" t="s">
        <v>2254</v>
      </c>
    </row>
    <row r="490" spans="1:31" ht="24.95" customHeight="1" x14ac:dyDescent="0.2">
      <c r="A490" s="144">
        <v>1168</v>
      </c>
      <c r="B490" s="145" t="s">
        <v>2736</v>
      </c>
      <c r="C490" s="146" t="s">
        <v>2256</v>
      </c>
      <c r="D490" s="146" t="s">
        <v>2733</v>
      </c>
      <c r="E490" s="147" t="s">
        <v>2265</v>
      </c>
      <c r="F490" s="148">
        <v>5095</v>
      </c>
      <c r="G490" s="149">
        <v>6075</v>
      </c>
      <c r="H490" s="149">
        <v>165</v>
      </c>
      <c r="I490" s="196"/>
      <c r="J490" s="149">
        <v>4783</v>
      </c>
      <c r="K490" s="149">
        <v>5585</v>
      </c>
      <c r="L490" s="149">
        <v>80</v>
      </c>
      <c r="M490" s="149">
        <v>4668</v>
      </c>
      <c r="N490" s="149">
        <v>0</v>
      </c>
      <c r="O490" s="149">
        <v>4835</v>
      </c>
      <c r="P490" s="224"/>
      <c r="Q490" s="224"/>
      <c r="R490" s="224"/>
      <c r="S490" s="224"/>
      <c r="T490" s="224"/>
      <c r="U490" s="224"/>
      <c r="V490" s="224"/>
      <c r="W490" s="224"/>
      <c r="X490" s="224"/>
      <c r="Y490" s="224"/>
      <c r="Z490" s="224"/>
      <c r="AA490" s="224"/>
      <c r="AB490" s="224"/>
      <c r="AC490" s="224"/>
      <c r="AD490" s="143" t="s">
        <v>2185</v>
      </c>
      <c r="AE490" s="143" t="s">
        <v>2254</v>
      </c>
    </row>
    <row r="491" spans="1:31" ht="24.95" customHeight="1" x14ac:dyDescent="0.2">
      <c r="A491" s="144">
        <v>1169</v>
      </c>
      <c r="B491" s="145" t="s">
        <v>2737</v>
      </c>
      <c r="C491" s="146" t="s">
        <v>2256</v>
      </c>
      <c r="D491" s="146" t="s">
        <v>2733</v>
      </c>
      <c r="E491" s="147" t="s">
        <v>2265</v>
      </c>
      <c r="F491" s="148">
        <v>2390</v>
      </c>
      <c r="G491" s="149">
        <f>8222-47-130-2860</f>
        <v>5185</v>
      </c>
      <c r="H491" s="149">
        <v>47</v>
      </c>
      <c r="I491" s="196"/>
      <c r="J491" s="149">
        <v>2221</v>
      </c>
      <c r="K491" s="149">
        <v>5970</v>
      </c>
      <c r="L491" s="149">
        <v>47</v>
      </c>
      <c r="M491" s="149">
        <v>2385</v>
      </c>
      <c r="N491" s="149">
        <v>0</v>
      </c>
      <c r="O491" s="149">
        <v>2631</v>
      </c>
      <c r="P491" s="224"/>
      <c r="Q491" s="224"/>
      <c r="R491" s="224"/>
      <c r="S491" s="224"/>
      <c r="T491" s="224"/>
      <c r="U491" s="224"/>
      <c r="V491" s="224"/>
      <c r="W491" s="224"/>
      <c r="X491" s="224"/>
      <c r="Y491" s="224"/>
      <c r="Z491" s="224"/>
      <c r="AA491" s="224"/>
      <c r="AB491" s="224"/>
      <c r="AC491" s="224"/>
      <c r="AD491" s="143" t="s">
        <v>2185</v>
      </c>
      <c r="AE491" s="143" t="s">
        <v>2254</v>
      </c>
    </row>
    <row r="492" spans="1:31" ht="24.95" customHeight="1" x14ac:dyDescent="0.2">
      <c r="A492" s="144">
        <v>1170</v>
      </c>
      <c r="B492" s="145" t="s">
        <v>2738</v>
      </c>
      <c r="C492" s="146" t="s">
        <v>2256</v>
      </c>
      <c r="D492" s="146" t="s">
        <v>2733</v>
      </c>
      <c r="E492" s="147" t="s">
        <v>2564</v>
      </c>
      <c r="F492" s="148">
        <f>605+4560</f>
        <v>5165</v>
      </c>
      <c r="G492" s="149">
        <f>370+915+5485</f>
        <v>6770</v>
      </c>
      <c r="H492" s="149">
        <v>64</v>
      </c>
      <c r="I492" s="196"/>
      <c r="J492" s="149">
        <v>0</v>
      </c>
      <c r="K492" s="149">
        <v>0</v>
      </c>
      <c r="L492" s="149">
        <v>0</v>
      </c>
      <c r="M492" s="149">
        <v>0</v>
      </c>
      <c r="N492" s="149">
        <v>0</v>
      </c>
      <c r="O492" s="149">
        <v>0</v>
      </c>
      <c r="P492" s="224"/>
      <c r="Q492" s="224"/>
      <c r="R492" s="224"/>
      <c r="S492" s="224"/>
      <c r="T492" s="224"/>
      <c r="U492" s="224"/>
      <c r="V492" s="224"/>
      <c r="W492" s="224"/>
      <c r="X492" s="224"/>
      <c r="Y492" s="224"/>
      <c r="Z492" s="224"/>
      <c r="AA492" s="224"/>
      <c r="AB492" s="224"/>
      <c r="AC492" s="224"/>
      <c r="AD492" s="143" t="s">
        <v>2185</v>
      </c>
      <c r="AE492" s="143" t="s">
        <v>2254</v>
      </c>
    </row>
    <row r="493" spans="1:31" ht="24.95" customHeight="1" x14ac:dyDescent="0.2">
      <c r="A493" s="144">
        <v>1172</v>
      </c>
      <c r="B493" s="145" t="s">
        <v>2739</v>
      </c>
      <c r="C493" s="146" t="s">
        <v>2256</v>
      </c>
      <c r="D493" s="146" t="s">
        <v>2740</v>
      </c>
      <c r="E493" s="147" t="s">
        <v>2184</v>
      </c>
      <c r="F493" s="148">
        <v>6300</v>
      </c>
      <c r="G493" s="149">
        <v>6800</v>
      </c>
      <c r="H493" s="149">
        <v>66</v>
      </c>
      <c r="I493" s="196"/>
      <c r="J493" s="149">
        <v>6723</v>
      </c>
      <c r="K493" s="149">
        <v>6144</v>
      </c>
      <c r="L493" s="149">
        <v>68</v>
      </c>
      <c r="M493" s="149">
        <v>3844</v>
      </c>
      <c r="N493" s="149">
        <v>2</v>
      </c>
      <c r="O493" s="149">
        <v>3836</v>
      </c>
      <c r="P493" s="224"/>
      <c r="Q493" s="224"/>
      <c r="R493" s="224"/>
      <c r="S493" s="224"/>
      <c r="T493" s="224"/>
      <c r="U493" s="224"/>
      <c r="V493" s="224"/>
      <c r="W493" s="224"/>
      <c r="X493" s="224"/>
      <c r="Y493" s="224"/>
      <c r="Z493" s="224"/>
      <c r="AA493" s="224"/>
      <c r="AB493" s="224"/>
      <c r="AC493" s="224"/>
      <c r="AD493" s="143" t="s">
        <v>2185</v>
      </c>
      <c r="AE493" s="143" t="s">
        <v>2254</v>
      </c>
    </row>
    <row r="494" spans="1:31" ht="24.95" customHeight="1" x14ac:dyDescent="0.2">
      <c r="A494" s="144">
        <v>1337</v>
      </c>
      <c r="B494" s="150" t="s">
        <v>2741</v>
      </c>
      <c r="C494" s="146" t="s">
        <v>2183</v>
      </c>
      <c r="D494" s="146" t="s">
        <v>2183</v>
      </c>
      <c r="E494" s="147" t="s">
        <v>2223</v>
      </c>
      <c r="F494" s="148">
        <v>470</v>
      </c>
      <c r="G494" s="149">
        <v>1695</v>
      </c>
      <c r="H494" s="149">
        <v>6</v>
      </c>
      <c r="I494" s="196"/>
      <c r="J494" s="149">
        <v>598</v>
      </c>
      <c r="K494" s="149">
        <v>1695</v>
      </c>
      <c r="L494" s="149">
        <v>4</v>
      </c>
      <c r="M494" s="149">
        <v>202</v>
      </c>
      <c r="N494" s="149">
        <v>0</v>
      </c>
      <c r="O494" s="149">
        <v>145</v>
      </c>
      <c r="P494" s="224"/>
      <c r="Q494" s="224"/>
      <c r="R494" s="224"/>
      <c r="S494" s="224"/>
      <c r="T494" s="224"/>
      <c r="U494" s="224"/>
      <c r="V494" s="224"/>
      <c r="W494" s="224"/>
      <c r="X494" s="224"/>
      <c r="Y494" s="224"/>
      <c r="Z494" s="224"/>
      <c r="AA494" s="224"/>
      <c r="AB494" s="224"/>
      <c r="AC494" s="224"/>
      <c r="AD494" s="143" t="s">
        <v>2185</v>
      </c>
      <c r="AE494" s="143" t="s">
        <v>2254</v>
      </c>
    </row>
    <row r="495" spans="1:31" ht="24.95" customHeight="1" x14ac:dyDescent="0.2">
      <c r="A495" s="144">
        <v>1392</v>
      </c>
      <c r="B495" s="145" t="s">
        <v>2742</v>
      </c>
      <c r="C495" s="146" t="s">
        <v>2215</v>
      </c>
      <c r="D495" s="146" t="s">
        <v>2230</v>
      </c>
      <c r="E495" s="147" t="s">
        <v>2265</v>
      </c>
      <c r="F495" s="148">
        <v>7110</v>
      </c>
      <c r="G495" s="149">
        <v>7510</v>
      </c>
      <c r="H495" s="149">
        <v>73</v>
      </c>
      <c r="I495" s="196"/>
      <c r="J495" s="149">
        <v>0</v>
      </c>
      <c r="K495" s="149">
        <v>0</v>
      </c>
      <c r="L495" s="149">
        <v>0</v>
      </c>
      <c r="M495" s="149">
        <v>0</v>
      </c>
      <c r="N495" s="149">
        <v>0</v>
      </c>
      <c r="O495" s="149">
        <v>0</v>
      </c>
      <c r="P495" s="224"/>
      <c r="Q495" s="224"/>
      <c r="R495" s="224"/>
      <c r="S495" s="224"/>
      <c r="T495" s="224"/>
      <c r="U495" s="224"/>
      <c r="V495" s="224"/>
      <c r="W495" s="224"/>
      <c r="X495" s="224"/>
      <c r="Y495" s="224"/>
      <c r="Z495" s="224"/>
      <c r="AA495" s="224"/>
      <c r="AB495" s="224"/>
      <c r="AC495" s="224"/>
      <c r="AD495" s="143" t="s">
        <v>2347</v>
      </c>
      <c r="AE495" s="143" t="s">
        <v>2254</v>
      </c>
    </row>
    <row r="496" spans="1:31" ht="24.95" customHeight="1" x14ac:dyDescent="0.2">
      <c r="A496" s="144">
        <v>1395</v>
      </c>
      <c r="B496" s="145" t="s">
        <v>2743</v>
      </c>
      <c r="C496" s="146" t="s">
        <v>2280</v>
      </c>
      <c r="D496" s="146" t="s">
        <v>2280</v>
      </c>
      <c r="E496" s="147" t="s">
        <v>2265</v>
      </c>
      <c r="F496" s="148">
        <v>6575</v>
      </c>
      <c r="G496" s="149">
        <f>295+7375+1</f>
        <v>7671</v>
      </c>
      <c r="H496" s="149">
        <v>6165</v>
      </c>
      <c r="I496" s="196"/>
      <c r="J496" s="149">
        <v>0</v>
      </c>
      <c r="K496" s="149">
        <v>0</v>
      </c>
      <c r="L496" s="149">
        <v>0</v>
      </c>
      <c r="M496" s="149">
        <v>0</v>
      </c>
      <c r="N496" s="149">
        <v>0</v>
      </c>
      <c r="O496" s="149">
        <v>0</v>
      </c>
      <c r="P496" s="224"/>
      <c r="Q496" s="224"/>
      <c r="R496" s="224"/>
      <c r="S496" s="224"/>
      <c r="T496" s="224"/>
      <c r="U496" s="224"/>
      <c r="V496" s="224"/>
      <c r="W496" s="224"/>
      <c r="X496" s="224"/>
      <c r="Y496" s="224"/>
      <c r="Z496" s="224"/>
      <c r="AA496" s="224"/>
      <c r="AB496" s="224"/>
      <c r="AC496" s="224"/>
      <c r="AD496" s="143" t="s">
        <v>2598</v>
      </c>
      <c r="AE496" s="143" t="s">
        <v>2186</v>
      </c>
    </row>
    <row r="497" spans="1:31" ht="24.95" customHeight="1" x14ac:dyDescent="0.2">
      <c r="A497" s="144">
        <v>1402</v>
      </c>
      <c r="B497" s="145" t="s">
        <v>2744</v>
      </c>
      <c r="C497" s="146" t="s">
        <v>2215</v>
      </c>
      <c r="D497" s="146" t="s">
        <v>2215</v>
      </c>
      <c r="E497" s="147" t="s">
        <v>2265</v>
      </c>
      <c r="F497" s="148">
        <f>5245+2665</f>
        <v>7910</v>
      </c>
      <c r="G497" s="149">
        <f>1600+6150+22+3+16</f>
        <v>7791</v>
      </c>
      <c r="H497" s="149">
        <v>115</v>
      </c>
      <c r="I497" s="196"/>
      <c r="J497" s="149">
        <v>0</v>
      </c>
      <c r="K497" s="149">
        <v>0</v>
      </c>
      <c r="L497" s="149">
        <v>0</v>
      </c>
      <c r="M497" s="149">
        <v>0</v>
      </c>
      <c r="N497" s="149">
        <v>0</v>
      </c>
      <c r="O497" s="149">
        <v>0</v>
      </c>
      <c r="P497" s="224"/>
      <c r="Q497" s="224"/>
      <c r="R497" s="224"/>
      <c r="S497" s="224"/>
      <c r="T497" s="224"/>
      <c r="U497" s="224"/>
      <c r="V497" s="224"/>
      <c r="W497" s="224"/>
      <c r="X497" s="224"/>
      <c r="Y497" s="224"/>
      <c r="Z497" s="224"/>
      <c r="AA497" s="224"/>
      <c r="AB497" s="224"/>
      <c r="AC497" s="224"/>
      <c r="AD497" s="143" t="s">
        <v>2598</v>
      </c>
      <c r="AE497" s="143" t="s">
        <v>2254</v>
      </c>
    </row>
    <row r="498" spans="1:31" ht="24.95" customHeight="1" x14ac:dyDescent="0.2">
      <c r="A498" s="144">
        <v>1403</v>
      </c>
      <c r="B498" s="145" t="s">
        <v>2745</v>
      </c>
      <c r="C498" s="146" t="s">
        <v>2215</v>
      </c>
      <c r="D498" s="146" t="s">
        <v>2215</v>
      </c>
      <c r="E498" s="147" t="s">
        <v>2564</v>
      </c>
      <c r="F498" s="148">
        <v>7560</v>
      </c>
      <c r="G498" s="149">
        <f>7830+102+1+8</f>
        <v>7941</v>
      </c>
      <c r="H498" s="149">
        <v>119</v>
      </c>
      <c r="I498" s="196"/>
      <c r="J498" s="149">
        <v>0</v>
      </c>
      <c r="K498" s="149">
        <v>0</v>
      </c>
      <c r="L498" s="149">
        <v>0</v>
      </c>
      <c r="M498" s="149">
        <v>0</v>
      </c>
      <c r="N498" s="149">
        <v>0</v>
      </c>
      <c r="O498" s="149">
        <v>0</v>
      </c>
      <c r="P498" s="224"/>
      <c r="Q498" s="224"/>
      <c r="R498" s="224"/>
      <c r="S498" s="224"/>
      <c r="T498" s="224"/>
      <c r="U498" s="224"/>
      <c r="V498" s="224"/>
      <c r="W498" s="224"/>
      <c r="X498" s="224"/>
      <c r="Y498" s="224"/>
      <c r="Z498" s="224"/>
      <c r="AA498" s="224"/>
      <c r="AB498" s="224"/>
      <c r="AC498" s="224"/>
      <c r="AD498" s="143" t="s">
        <v>2598</v>
      </c>
      <c r="AE498" s="143" t="s">
        <v>2254</v>
      </c>
    </row>
    <row r="499" spans="1:31" ht="24.95" customHeight="1" x14ac:dyDescent="0.2">
      <c r="A499" s="144">
        <v>1404</v>
      </c>
      <c r="B499" s="145" t="s">
        <v>2746</v>
      </c>
      <c r="C499" s="146" t="s">
        <v>2215</v>
      </c>
      <c r="D499" s="146" t="s">
        <v>2215</v>
      </c>
      <c r="E499" s="147" t="s">
        <v>2265</v>
      </c>
      <c r="F499" s="148">
        <v>6655</v>
      </c>
      <c r="G499" s="149">
        <v>8025</v>
      </c>
      <c r="H499" s="149">
        <v>108</v>
      </c>
      <c r="I499" s="196"/>
      <c r="J499" s="149">
        <v>6945</v>
      </c>
      <c r="K499" s="149">
        <v>8001</v>
      </c>
      <c r="L499" s="149">
        <v>110</v>
      </c>
      <c r="M499" s="149">
        <v>7994</v>
      </c>
      <c r="N499" s="149">
        <v>15</v>
      </c>
      <c r="O499" s="149">
        <v>5747</v>
      </c>
      <c r="P499" s="224"/>
      <c r="Q499" s="224"/>
      <c r="R499" s="224"/>
      <c r="S499" s="224"/>
      <c r="T499" s="224"/>
      <c r="U499" s="224"/>
      <c r="V499" s="224"/>
      <c r="W499" s="224"/>
      <c r="X499" s="224"/>
      <c r="Y499" s="224"/>
      <c r="Z499" s="224"/>
      <c r="AA499" s="224"/>
      <c r="AB499" s="224"/>
      <c r="AC499" s="224"/>
      <c r="AD499" s="143" t="s">
        <v>2185</v>
      </c>
      <c r="AE499" s="143" t="s">
        <v>2254</v>
      </c>
    </row>
    <row r="500" spans="1:31" ht="24.95" customHeight="1" x14ac:dyDescent="0.2">
      <c r="A500" s="144">
        <v>1405</v>
      </c>
      <c r="B500" s="145" t="s">
        <v>2747</v>
      </c>
      <c r="C500" s="146" t="s">
        <v>2215</v>
      </c>
      <c r="D500" s="146" t="s">
        <v>2215</v>
      </c>
      <c r="E500" s="147" t="s">
        <v>2265</v>
      </c>
      <c r="F500" s="148">
        <f>140+4910+3510</f>
        <v>8560</v>
      </c>
      <c r="G500" s="149">
        <f>95+980+3550+7190+16+2+178+2+5</f>
        <v>12018</v>
      </c>
      <c r="H500" s="149">
        <f>16+35</f>
        <v>51</v>
      </c>
      <c r="I500" s="196"/>
      <c r="J500" s="149">
        <v>8881</v>
      </c>
      <c r="K500" s="149">
        <v>13005</v>
      </c>
      <c r="L500" s="149">
        <v>0</v>
      </c>
      <c r="M500" s="149">
        <v>70</v>
      </c>
      <c r="N500" s="149">
        <v>84</v>
      </c>
      <c r="O500" s="149">
        <v>5394</v>
      </c>
      <c r="P500" s="224"/>
      <c r="Q500" s="224"/>
      <c r="R500" s="224"/>
      <c r="S500" s="224"/>
      <c r="T500" s="224"/>
      <c r="U500" s="224"/>
      <c r="V500" s="224"/>
      <c r="W500" s="224"/>
      <c r="X500" s="224"/>
      <c r="Y500" s="224"/>
      <c r="Z500" s="224"/>
      <c r="AA500" s="224"/>
      <c r="AB500" s="224"/>
      <c r="AC500" s="224"/>
      <c r="AD500" s="143" t="s">
        <v>2347</v>
      </c>
      <c r="AE500" s="143" t="s">
        <v>2254</v>
      </c>
    </row>
    <row r="501" spans="1:31" ht="24.95" customHeight="1" x14ac:dyDescent="0.2">
      <c r="A501" s="144">
        <v>1422</v>
      </c>
      <c r="B501" s="145" t="s">
        <v>2748</v>
      </c>
      <c r="C501" s="146" t="s">
        <v>2215</v>
      </c>
      <c r="D501" s="146" t="s">
        <v>2749</v>
      </c>
      <c r="E501" s="147" t="s">
        <v>2265</v>
      </c>
      <c r="F501" s="148">
        <f>55+840+3990+1080</f>
        <v>5965</v>
      </c>
      <c r="G501" s="149">
        <f>75+995+2625+2870+1+1+3+4</f>
        <v>6574</v>
      </c>
      <c r="H501" s="149">
        <v>4238</v>
      </c>
      <c r="I501" s="196"/>
      <c r="J501" s="149">
        <v>0</v>
      </c>
      <c r="K501" s="149">
        <v>0</v>
      </c>
      <c r="L501" s="149">
        <v>0</v>
      </c>
      <c r="M501" s="149">
        <v>0</v>
      </c>
      <c r="N501" s="149">
        <v>0</v>
      </c>
      <c r="O501" s="149">
        <v>0</v>
      </c>
      <c r="P501" s="224"/>
      <c r="Q501" s="224"/>
      <c r="R501" s="224"/>
      <c r="S501" s="224"/>
      <c r="T501" s="224"/>
      <c r="U501" s="224"/>
      <c r="V501" s="224"/>
      <c r="W501" s="224"/>
      <c r="X501" s="224"/>
      <c r="Y501" s="224"/>
      <c r="Z501" s="224"/>
      <c r="AA501" s="224"/>
      <c r="AB501" s="224"/>
      <c r="AC501" s="224"/>
      <c r="AD501" s="143" t="s">
        <v>2517</v>
      </c>
      <c r="AE501" s="143" t="s">
        <v>2186</v>
      </c>
    </row>
    <row r="502" spans="1:31" ht="24.95" customHeight="1" x14ac:dyDescent="0.2">
      <c r="A502" s="144">
        <v>1426</v>
      </c>
      <c r="B502" s="145" t="s">
        <v>2750</v>
      </c>
      <c r="C502" s="146" t="s">
        <v>2194</v>
      </c>
      <c r="D502" s="146" t="s">
        <v>2194</v>
      </c>
      <c r="E502" s="147" t="s">
        <v>2265</v>
      </c>
      <c r="F502" s="148">
        <v>3170</v>
      </c>
      <c r="G502" s="149">
        <v>3525</v>
      </c>
      <c r="H502" s="149">
        <v>32</v>
      </c>
      <c r="I502" s="196"/>
      <c r="J502" s="149">
        <v>2831</v>
      </c>
      <c r="K502" s="149">
        <v>3560</v>
      </c>
      <c r="L502" s="149">
        <v>31</v>
      </c>
      <c r="M502" s="149">
        <v>1788</v>
      </c>
      <c r="N502" s="149">
        <v>4</v>
      </c>
      <c r="O502" s="149">
        <v>1975</v>
      </c>
      <c r="P502" s="224"/>
      <c r="Q502" s="224"/>
      <c r="R502" s="224"/>
      <c r="S502" s="224"/>
      <c r="T502" s="224"/>
      <c r="U502" s="224"/>
      <c r="V502" s="224"/>
      <c r="W502" s="224"/>
      <c r="X502" s="224"/>
      <c r="Y502" s="224"/>
      <c r="Z502" s="224"/>
      <c r="AA502" s="224"/>
      <c r="AB502" s="224"/>
      <c r="AC502" s="224"/>
      <c r="AD502" s="143" t="s">
        <v>2185</v>
      </c>
      <c r="AE502" s="143" t="s">
        <v>2254</v>
      </c>
    </row>
    <row r="503" spans="1:31" ht="24.95" customHeight="1" x14ac:dyDescent="0.2">
      <c r="A503" s="144">
        <v>1430</v>
      </c>
      <c r="B503" s="145" t="s">
        <v>2751</v>
      </c>
      <c r="C503" s="146" t="s">
        <v>2194</v>
      </c>
      <c r="D503" s="146" t="s">
        <v>2752</v>
      </c>
      <c r="E503" s="147" t="s">
        <v>2265</v>
      </c>
      <c r="F503" s="148">
        <f>1145+5255</f>
        <v>6400</v>
      </c>
      <c r="G503" s="149">
        <f>1130+4635+2+4+187</f>
        <v>5958</v>
      </c>
      <c r="H503" s="149">
        <v>90</v>
      </c>
      <c r="I503" s="196"/>
      <c r="J503" s="149">
        <v>0</v>
      </c>
      <c r="K503" s="149">
        <v>0</v>
      </c>
      <c r="L503" s="149">
        <v>0</v>
      </c>
      <c r="M503" s="149">
        <v>0</v>
      </c>
      <c r="N503" s="149">
        <v>0</v>
      </c>
      <c r="O503" s="149">
        <v>0</v>
      </c>
      <c r="P503" s="224"/>
      <c r="Q503" s="224"/>
      <c r="R503" s="224"/>
      <c r="S503" s="224"/>
      <c r="T503" s="224"/>
      <c r="U503" s="224"/>
      <c r="V503" s="224"/>
      <c r="W503" s="224"/>
      <c r="X503" s="224"/>
      <c r="Y503" s="224"/>
      <c r="Z503" s="224"/>
      <c r="AA503" s="224"/>
      <c r="AB503" s="224"/>
      <c r="AC503" s="224"/>
      <c r="AD503" s="143" t="s">
        <v>2517</v>
      </c>
      <c r="AE503" s="143" t="s">
        <v>2186</v>
      </c>
    </row>
    <row r="504" spans="1:31" ht="24.95" customHeight="1" x14ac:dyDescent="0.2">
      <c r="A504" s="144">
        <v>1431</v>
      </c>
      <c r="B504" s="145" t="s">
        <v>2753</v>
      </c>
      <c r="C504" s="146" t="s">
        <v>2194</v>
      </c>
      <c r="D504" s="146" t="s">
        <v>2194</v>
      </c>
      <c r="E504" s="147" t="s">
        <v>2265</v>
      </c>
      <c r="F504" s="148">
        <v>5515</v>
      </c>
      <c r="G504" s="149">
        <f>5370+2+4</f>
        <v>5376</v>
      </c>
      <c r="H504" s="149">
        <f>46+2</f>
        <v>48</v>
      </c>
      <c r="I504" s="196"/>
      <c r="J504" s="149">
        <v>0</v>
      </c>
      <c r="K504" s="149">
        <v>0</v>
      </c>
      <c r="L504" s="149">
        <v>0</v>
      </c>
      <c r="M504" s="149">
        <v>0</v>
      </c>
      <c r="N504" s="149">
        <v>0</v>
      </c>
      <c r="O504" s="149">
        <v>0</v>
      </c>
      <c r="P504" s="224"/>
      <c r="Q504" s="224"/>
      <c r="R504" s="224"/>
      <c r="S504" s="224"/>
      <c r="T504" s="224"/>
      <c r="U504" s="224"/>
      <c r="V504" s="224"/>
      <c r="W504" s="224"/>
      <c r="X504" s="224"/>
      <c r="Y504" s="224"/>
      <c r="Z504" s="224"/>
      <c r="AA504" s="224"/>
      <c r="AB504" s="224"/>
      <c r="AC504" s="224"/>
      <c r="AD504" s="143" t="s">
        <v>2347</v>
      </c>
      <c r="AE504" s="143" t="s">
        <v>2254</v>
      </c>
    </row>
    <row r="505" spans="1:31" ht="24.95" customHeight="1" x14ac:dyDescent="0.2">
      <c r="A505" s="144">
        <v>1442</v>
      </c>
      <c r="B505" s="145" t="s">
        <v>2754</v>
      </c>
      <c r="C505" s="146" t="s">
        <v>2215</v>
      </c>
      <c r="D505" s="146" t="s">
        <v>2749</v>
      </c>
      <c r="E505" s="147" t="s">
        <v>2265</v>
      </c>
      <c r="F505" s="148">
        <v>3770</v>
      </c>
      <c r="G505" s="149">
        <f>4695+86+5</f>
        <v>4786</v>
      </c>
      <c r="H505" s="149">
        <f>22+3090</f>
        <v>3112</v>
      </c>
      <c r="I505" s="196"/>
      <c r="J505" s="149">
        <v>0</v>
      </c>
      <c r="K505" s="149">
        <v>0</v>
      </c>
      <c r="L505" s="149">
        <v>0</v>
      </c>
      <c r="M505" s="149">
        <v>0</v>
      </c>
      <c r="N505" s="149">
        <v>0</v>
      </c>
      <c r="O505" s="149">
        <v>0</v>
      </c>
      <c r="P505" s="224"/>
      <c r="Q505" s="224"/>
      <c r="R505" s="224"/>
      <c r="S505" s="224"/>
      <c r="T505" s="224"/>
      <c r="U505" s="224"/>
      <c r="V505" s="224"/>
      <c r="W505" s="224"/>
      <c r="X505" s="224"/>
      <c r="Y505" s="224"/>
      <c r="Z505" s="224"/>
      <c r="AA505" s="224"/>
      <c r="AB505" s="224"/>
      <c r="AC505" s="224"/>
      <c r="AD505" s="143" t="s">
        <v>2517</v>
      </c>
      <c r="AE505" s="143" t="s">
        <v>2186</v>
      </c>
    </row>
    <row r="506" spans="1:31" ht="24.95" customHeight="1" x14ac:dyDescent="0.2">
      <c r="A506" s="144">
        <v>1443</v>
      </c>
      <c r="B506" s="145" t="s">
        <v>2755</v>
      </c>
      <c r="C506" s="146" t="s">
        <v>2215</v>
      </c>
      <c r="D506" s="146" t="s">
        <v>2749</v>
      </c>
      <c r="E506" s="147" t="s">
        <v>2265</v>
      </c>
      <c r="F506" s="148">
        <f>130+7440</f>
        <v>7570</v>
      </c>
      <c r="G506" s="149">
        <f>560+1310+6810+2</f>
        <v>8682</v>
      </c>
      <c r="H506" s="149">
        <v>5197</v>
      </c>
      <c r="I506" s="196"/>
      <c r="J506" s="149">
        <v>0</v>
      </c>
      <c r="K506" s="149">
        <v>0</v>
      </c>
      <c r="L506" s="149">
        <v>0</v>
      </c>
      <c r="M506" s="149">
        <v>0</v>
      </c>
      <c r="N506" s="149">
        <v>0</v>
      </c>
      <c r="O506" s="149">
        <v>0</v>
      </c>
      <c r="P506" s="224"/>
      <c r="Q506" s="224"/>
      <c r="R506" s="224"/>
      <c r="S506" s="224"/>
      <c r="T506" s="224"/>
      <c r="U506" s="224"/>
      <c r="V506" s="224"/>
      <c r="W506" s="224"/>
      <c r="X506" s="224"/>
      <c r="Y506" s="224"/>
      <c r="Z506" s="224"/>
      <c r="AA506" s="224"/>
      <c r="AB506" s="224"/>
      <c r="AC506" s="224"/>
      <c r="AD506" s="143" t="s">
        <v>2517</v>
      </c>
      <c r="AE506" s="143" t="s">
        <v>2186</v>
      </c>
    </row>
    <row r="507" spans="1:31" ht="24.95" customHeight="1" x14ac:dyDescent="0.2">
      <c r="A507" s="144">
        <v>1448</v>
      </c>
      <c r="B507" s="145" t="s">
        <v>2756</v>
      </c>
      <c r="C507" s="146" t="s">
        <v>2258</v>
      </c>
      <c r="D507" s="146" t="s">
        <v>2258</v>
      </c>
      <c r="E507" s="147" t="s">
        <v>2265</v>
      </c>
      <c r="F507" s="148">
        <v>5395</v>
      </c>
      <c r="G507" s="149">
        <f>35+280+2155+2515+5050+57+1+2</f>
        <v>10095</v>
      </c>
      <c r="H507" s="149">
        <f>22+95</f>
        <v>117</v>
      </c>
      <c r="I507" s="196"/>
      <c r="J507" s="149">
        <v>0</v>
      </c>
      <c r="K507" s="149">
        <v>0</v>
      </c>
      <c r="L507" s="149">
        <v>0</v>
      </c>
      <c r="M507" s="149">
        <v>0</v>
      </c>
      <c r="N507" s="149">
        <v>0</v>
      </c>
      <c r="O507" s="149">
        <v>0</v>
      </c>
      <c r="P507" s="224"/>
      <c r="Q507" s="224"/>
      <c r="R507" s="224"/>
      <c r="S507" s="224"/>
      <c r="T507" s="224"/>
      <c r="U507" s="224"/>
      <c r="V507" s="224"/>
      <c r="W507" s="224"/>
      <c r="X507" s="224"/>
      <c r="Y507" s="224"/>
      <c r="Z507" s="224"/>
      <c r="AA507" s="224"/>
      <c r="AB507" s="224"/>
      <c r="AC507" s="224"/>
      <c r="AD507" s="143" t="s">
        <v>2517</v>
      </c>
      <c r="AE507" s="143" t="s">
        <v>2186</v>
      </c>
    </row>
    <row r="508" spans="1:31" ht="24.95" customHeight="1" x14ac:dyDescent="0.2">
      <c r="A508" s="144">
        <v>1450</v>
      </c>
      <c r="B508" s="145" t="s">
        <v>2757</v>
      </c>
      <c r="C508" s="146" t="s">
        <v>2215</v>
      </c>
      <c r="D508" s="146" t="s">
        <v>2215</v>
      </c>
      <c r="E508" s="147" t="s">
        <v>2564</v>
      </c>
      <c r="F508" s="148">
        <v>3330</v>
      </c>
      <c r="G508" s="149">
        <f>2300+938</f>
        <v>3238</v>
      </c>
      <c r="H508" s="149">
        <v>37</v>
      </c>
      <c r="I508" s="196"/>
      <c r="J508" s="149">
        <v>0</v>
      </c>
      <c r="K508" s="149">
        <v>0</v>
      </c>
      <c r="L508" s="149">
        <v>0</v>
      </c>
      <c r="M508" s="149">
        <v>0</v>
      </c>
      <c r="N508" s="149">
        <v>0</v>
      </c>
      <c r="O508" s="149">
        <v>0</v>
      </c>
      <c r="P508" s="224"/>
      <c r="Q508" s="224"/>
      <c r="R508" s="224"/>
      <c r="S508" s="224"/>
      <c r="T508" s="224"/>
      <c r="U508" s="224"/>
      <c r="V508" s="224"/>
      <c r="W508" s="224"/>
      <c r="X508" s="224"/>
      <c r="Y508" s="224"/>
      <c r="Z508" s="224"/>
      <c r="AA508" s="224"/>
      <c r="AB508" s="224"/>
      <c r="AC508" s="224"/>
      <c r="AD508" s="143" t="s">
        <v>2185</v>
      </c>
      <c r="AE508" s="143" t="s">
        <v>2254</v>
      </c>
    </row>
    <row r="509" spans="1:31" ht="24.95" customHeight="1" x14ac:dyDescent="0.2">
      <c r="A509" s="144">
        <v>1454</v>
      </c>
      <c r="B509" s="145" t="s">
        <v>2758</v>
      </c>
      <c r="C509" s="146" t="s">
        <v>2215</v>
      </c>
      <c r="D509" s="146" t="s">
        <v>2215</v>
      </c>
      <c r="E509" s="147" t="s">
        <v>2265</v>
      </c>
      <c r="F509" s="148">
        <f>5270+1910</f>
        <v>7180</v>
      </c>
      <c r="G509" s="149">
        <f>2740+4165+1+1+167+3</f>
        <v>7077</v>
      </c>
      <c r="H509" s="149">
        <v>73</v>
      </c>
      <c r="I509" s="196"/>
      <c r="J509" s="149">
        <v>0</v>
      </c>
      <c r="K509" s="149">
        <v>0</v>
      </c>
      <c r="L509" s="149">
        <v>0</v>
      </c>
      <c r="M509" s="149">
        <v>0</v>
      </c>
      <c r="N509" s="149">
        <v>0</v>
      </c>
      <c r="O509" s="149">
        <v>0</v>
      </c>
      <c r="P509" s="224"/>
      <c r="Q509" s="224"/>
      <c r="R509" s="224"/>
      <c r="S509" s="224"/>
      <c r="T509" s="224"/>
      <c r="U509" s="224"/>
      <c r="V509" s="224"/>
      <c r="W509" s="224"/>
      <c r="X509" s="224"/>
      <c r="Y509" s="224"/>
      <c r="Z509" s="224"/>
      <c r="AA509" s="224"/>
      <c r="AB509" s="224"/>
      <c r="AC509" s="224"/>
      <c r="AD509" s="143" t="s">
        <v>2598</v>
      </c>
      <c r="AE509" s="143" t="s">
        <v>2186</v>
      </c>
    </row>
    <row r="510" spans="1:31" ht="24.95" customHeight="1" x14ac:dyDescent="0.2">
      <c r="A510" s="144">
        <v>1458</v>
      </c>
      <c r="B510" s="145" t="s">
        <v>2759</v>
      </c>
      <c r="C510" s="146" t="s">
        <v>2215</v>
      </c>
      <c r="D510" s="146" t="s">
        <v>2760</v>
      </c>
      <c r="E510" s="147" t="s">
        <v>2564</v>
      </c>
      <c r="F510" s="148">
        <f>115+2195</f>
        <v>2310</v>
      </c>
      <c r="G510" s="149">
        <f>135+2345+4</f>
        <v>2484</v>
      </c>
      <c r="H510" s="149">
        <v>16</v>
      </c>
      <c r="I510" s="196"/>
      <c r="J510" s="149">
        <v>0</v>
      </c>
      <c r="K510" s="149">
        <v>0</v>
      </c>
      <c r="L510" s="149">
        <v>0</v>
      </c>
      <c r="M510" s="149">
        <v>0</v>
      </c>
      <c r="N510" s="149">
        <v>0</v>
      </c>
      <c r="O510" s="149">
        <v>0</v>
      </c>
      <c r="P510" s="224"/>
      <c r="Q510" s="224"/>
      <c r="R510" s="224"/>
      <c r="S510" s="224"/>
      <c r="T510" s="224"/>
      <c r="U510" s="224"/>
      <c r="V510" s="224"/>
      <c r="W510" s="224"/>
      <c r="X510" s="224"/>
      <c r="Y510" s="224"/>
      <c r="Z510" s="224"/>
      <c r="AA510" s="224"/>
      <c r="AB510" s="224"/>
      <c r="AC510" s="224"/>
      <c r="AD510" s="143" t="s">
        <v>2347</v>
      </c>
      <c r="AE510" s="143" t="s">
        <v>2254</v>
      </c>
    </row>
    <row r="511" spans="1:31" ht="24.95" customHeight="1" x14ac:dyDescent="0.2">
      <c r="A511" s="144">
        <v>1467</v>
      </c>
      <c r="B511" s="145" t="s">
        <v>2761</v>
      </c>
      <c r="C511" s="146" t="s">
        <v>2215</v>
      </c>
      <c r="D511" s="146" t="s">
        <v>2215</v>
      </c>
      <c r="E511" s="147" t="s">
        <v>2265</v>
      </c>
      <c r="F511" s="148">
        <f>4570+1500</f>
        <v>6070</v>
      </c>
      <c r="G511" s="149">
        <f>1445+4185+376+2+1+5</f>
        <v>6014</v>
      </c>
      <c r="H511" s="149">
        <f>3+47</f>
        <v>50</v>
      </c>
      <c r="I511" s="196"/>
      <c r="J511" s="149">
        <v>0</v>
      </c>
      <c r="K511" s="149">
        <v>0</v>
      </c>
      <c r="L511" s="149">
        <v>0</v>
      </c>
      <c r="M511" s="149">
        <v>0</v>
      </c>
      <c r="N511" s="149">
        <v>0</v>
      </c>
      <c r="O511" s="149">
        <v>0</v>
      </c>
      <c r="P511" s="224"/>
      <c r="Q511" s="224"/>
      <c r="R511" s="224"/>
      <c r="S511" s="224"/>
      <c r="T511" s="224"/>
      <c r="U511" s="224"/>
      <c r="V511" s="224"/>
      <c r="W511" s="224"/>
      <c r="X511" s="224"/>
      <c r="Y511" s="224"/>
      <c r="Z511" s="224"/>
      <c r="AA511" s="224"/>
      <c r="AB511" s="224"/>
      <c r="AC511" s="224"/>
      <c r="AD511" s="143" t="s">
        <v>2347</v>
      </c>
      <c r="AE511" s="143" t="s">
        <v>2254</v>
      </c>
    </row>
    <row r="512" spans="1:31" ht="24.95" customHeight="1" x14ac:dyDescent="0.2">
      <c r="A512" s="144">
        <v>1471</v>
      </c>
      <c r="B512" s="145" t="s">
        <v>2762</v>
      </c>
      <c r="C512" s="146" t="s">
        <v>2215</v>
      </c>
      <c r="D512" s="146" t="s">
        <v>2215</v>
      </c>
      <c r="E512" s="147" t="s">
        <v>2265</v>
      </c>
      <c r="F512" s="148">
        <v>3915</v>
      </c>
      <c r="G512" s="149">
        <v>3945</v>
      </c>
      <c r="H512" s="149">
        <v>35</v>
      </c>
      <c r="I512" s="196"/>
      <c r="J512" s="149">
        <v>3850</v>
      </c>
      <c r="K512" s="149">
        <v>3945</v>
      </c>
      <c r="L512" s="149">
        <v>28</v>
      </c>
      <c r="M512" s="149">
        <v>2086</v>
      </c>
      <c r="N512" s="149" t="s">
        <v>2763</v>
      </c>
      <c r="O512" s="149">
        <v>2678</v>
      </c>
      <c r="P512" s="224"/>
      <c r="Q512" s="224"/>
      <c r="R512" s="224"/>
      <c r="S512" s="224"/>
      <c r="T512" s="224"/>
      <c r="U512" s="224"/>
      <c r="V512" s="224"/>
      <c r="W512" s="224"/>
      <c r="X512" s="224"/>
      <c r="Y512" s="224"/>
      <c r="Z512" s="224"/>
      <c r="AA512" s="224"/>
      <c r="AB512" s="224"/>
      <c r="AC512" s="224"/>
      <c r="AD512" s="143" t="s">
        <v>2185</v>
      </c>
      <c r="AE512" s="143" t="s">
        <v>2254</v>
      </c>
    </row>
    <row r="513" spans="1:31" ht="24.95" customHeight="1" x14ac:dyDescent="0.2">
      <c r="A513" s="144">
        <v>1472</v>
      </c>
      <c r="B513" s="145" t="s">
        <v>2764</v>
      </c>
      <c r="C513" s="146" t="s">
        <v>2215</v>
      </c>
      <c r="D513" s="146" t="s">
        <v>2215</v>
      </c>
      <c r="E513" s="147" t="s">
        <v>2265</v>
      </c>
      <c r="F513" s="148">
        <v>5460</v>
      </c>
      <c r="G513" s="149">
        <f>550+4930+11+1+1</f>
        <v>5493</v>
      </c>
      <c r="H513" s="149">
        <v>4964</v>
      </c>
      <c r="I513" s="196"/>
      <c r="J513" s="149">
        <v>0</v>
      </c>
      <c r="K513" s="149">
        <v>0</v>
      </c>
      <c r="L513" s="149">
        <v>0</v>
      </c>
      <c r="M513" s="149">
        <v>0</v>
      </c>
      <c r="N513" s="149">
        <v>0</v>
      </c>
      <c r="O513" s="149">
        <v>0</v>
      </c>
      <c r="P513" s="224"/>
      <c r="Q513" s="224"/>
      <c r="R513" s="224"/>
      <c r="S513" s="224"/>
      <c r="T513" s="224"/>
      <c r="U513" s="224"/>
      <c r="V513" s="224"/>
      <c r="W513" s="224"/>
      <c r="X513" s="224"/>
      <c r="Y513" s="224"/>
      <c r="Z513" s="224"/>
      <c r="AA513" s="224"/>
      <c r="AB513" s="224"/>
      <c r="AC513" s="224"/>
      <c r="AD513" s="143" t="s">
        <v>2598</v>
      </c>
      <c r="AE513" s="143" t="s">
        <v>2186</v>
      </c>
    </row>
    <row r="514" spans="1:31" ht="24.95" customHeight="1" x14ac:dyDescent="0.2">
      <c r="A514" s="144">
        <v>1485</v>
      </c>
      <c r="B514" s="145" t="s">
        <v>2765</v>
      </c>
      <c r="C514" s="146" t="s">
        <v>2215</v>
      </c>
      <c r="D514" s="146" t="s">
        <v>2760</v>
      </c>
      <c r="E514" s="147" t="s">
        <v>2564</v>
      </c>
      <c r="F514" s="148">
        <f>125+4900</f>
        <v>5025</v>
      </c>
      <c r="G514" s="149">
        <f>5285+7</f>
        <v>5292</v>
      </c>
      <c r="H514" s="149">
        <v>54</v>
      </c>
      <c r="I514" s="196"/>
      <c r="J514" s="149">
        <v>0</v>
      </c>
      <c r="K514" s="149">
        <v>0</v>
      </c>
      <c r="L514" s="149">
        <v>0</v>
      </c>
      <c r="M514" s="149">
        <v>0</v>
      </c>
      <c r="N514" s="149">
        <v>0</v>
      </c>
      <c r="O514" s="149">
        <v>0</v>
      </c>
      <c r="P514" s="224"/>
      <c r="Q514" s="224"/>
      <c r="R514" s="224"/>
      <c r="S514" s="224"/>
      <c r="T514" s="224"/>
      <c r="U514" s="224"/>
      <c r="V514" s="224"/>
      <c r="W514" s="224"/>
      <c r="X514" s="224"/>
      <c r="Y514" s="224"/>
      <c r="Z514" s="224"/>
      <c r="AA514" s="224"/>
      <c r="AB514" s="224"/>
      <c r="AC514" s="224"/>
      <c r="AD514" s="143" t="s">
        <v>2601</v>
      </c>
      <c r="AE514" s="143" t="s">
        <v>2254</v>
      </c>
    </row>
    <row r="515" spans="1:31" ht="24.95" customHeight="1" x14ac:dyDescent="0.2">
      <c r="A515" s="144">
        <v>1501</v>
      </c>
      <c r="B515" s="150" t="s">
        <v>2766</v>
      </c>
      <c r="C515" s="146" t="s">
        <v>2183</v>
      </c>
      <c r="D515" s="146" t="s">
        <v>2183</v>
      </c>
      <c r="E515" s="147" t="s">
        <v>2184</v>
      </c>
      <c r="F515" s="148">
        <v>62</v>
      </c>
      <c r="G515" s="149">
        <v>160</v>
      </c>
      <c r="H515" s="149">
        <v>2</v>
      </c>
      <c r="I515" s="196"/>
      <c r="J515" s="149">
        <v>62</v>
      </c>
      <c r="K515" s="149">
        <v>160</v>
      </c>
      <c r="L515" s="149">
        <v>2</v>
      </c>
      <c r="M515" s="149">
        <v>188</v>
      </c>
      <c r="N515" s="149">
        <v>1</v>
      </c>
      <c r="O515" s="149">
        <v>67</v>
      </c>
      <c r="P515" s="224"/>
      <c r="Q515" s="224"/>
      <c r="R515" s="224"/>
      <c r="S515" s="224"/>
      <c r="T515" s="224"/>
      <c r="U515" s="224"/>
      <c r="V515" s="224"/>
      <c r="W515" s="224"/>
      <c r="X515" s="224"/>
      <c r="Y515" s="224"/>
      <c r="Z515" s="224"/>
      <c r="AA515" s="224"/>
      <c r="AB515" s="224"/>
      <c r="AC515" s="224"/>
      <c r="AD515" s="143" t="s">
        <v>2185</v>
      </c>
      <c r="AE515" s="143" t="s">
        <v>2186</v>
      </c>
    </row>
    <row r="516" spans="1:31" ht="24.95" customHeight="1" x14ac:dyDescent="0.2">
      <c r="A516" s="144">
        <v>1509</v>
      </c>
      <c r="B516" s="145" t="s">
        <v>2767</v>
      </c>
      <c r="C516" s="146" t="s">
        <v>2215</v>
      </c>
      <c r="D516" s="146" t="s">
        <v>2258</v>
      </c>
      <c r="E516" s="147" t="s">
        <v>2265</v>
      </c>
      <c r="F516" s="148">
        <v>2375</v>
      </c>
      <c r="G516" s="149">
        <v>2025</v>
      </c>
      <c r="H516" s="149">
        <v>62</v>
      </c>
      <c r="I516" s="196"/>
      <c r="J516" s="149">
        <v>2929</v>
      </c>
      <c r="K516" s="149">
        <v>2430</v>
      </c>
      <c r="L516" s="149">
        <v>71</v>
      </c>
      <c r="M516" s="149">
        <v>4703</v>
      </c>
      <c r="N516" s="149">
        <v>10</v>
      </c>
      <c r="O516" s="149">
        <v>5600</v>
      </c>
      <c r="P516" s="224"/>
      <c r="Q516" s="224"/>
      <c r="R516" s="224"/>
      <c r="S516" s="224"/>
      <c r="T516" s="224"/>
      <c r="U516" s="224"/>
      <c r="V516" s="224"/>
      <c r="W516" s="224"/>
      <c r="X516" s="224"/>
      <c r="Y516" s="224"/>
      <c r="Z516" s="224"/>
      <c r="AA516" s="224"/>
      <c r="AB516" s="224"/>
      <c r="AC516" s="224"/>
      <c r="AD516" s="143" t="s">
        <v>2185</v>
      </c>
      <c r="AE516" s="143" t="s">
        <v>2254</v>
      </c>
    </row>
    <row r="517" spans="1:31" ht="24.95" customHeight="1" x14ac:dyDescent="0.2">
      <c r="A517" s="144">
        <v>1512</v>
      </c>
      <c r="B517" s="145" t="s">
        <v>2768</v>
      </c>
      <c r="C517" s="146" t="s">
        <v>2309</v>
      </c>
      <c r="D517" s="146" t="s">
        <v>2483</v>
      </c>
      <c r="E517" s="147" t="s">
        <v>2265</v>
      </c>
      <c r="F517" s="148">
        <f>1120+75+7420</f>
        <v>8615</v>
      </c>
      <c r="G517" s="149">
        <v>7245</v>
      </c>
      <c r="H517" s="149">
        <v>56</v>
      </c>
      <c r="I517" s="196"/>
      <c r="J517" s="149">
        <v>7558</v>
      </c>
      <c r="K517" s="149">
        <v>6510</v>
      </c>
      <c r="L517" s="149">
        <v>42</v>
      </c>
      <c r="M517" s="149">
        <v>2890</v>
      </c>
      <c r="N517" s="149">
        <v>0</v>
      </c>
      <c r="O517" s="149">
        <v>2802</v>
      </c>
      <c r="P517" s="224"/>
      <c r="Q517" s="224"/>
      <c r="R517" s="224"/>
      <c r="S517" s="224"/>
      <c r="T517" s="224"/>
      <c r="U517" s="224"/>
      <c r="V517" s="224"/>
      <c r="W517" s="224"/>
      <c r="X517" s="224"/>
      <c r="Y517" s="224"/>
      <c r="Z517" s="224"/>
      <c r="AA517" s="224"/>
      <c r="AB517" s="224"/>
      <c r="AC517" s="224"/>
      <c r="AD517" s="143" t="s">
        <v>2185</v>
      </c>
      <c r="AE517" s="143" t="s">
        <v>2254</v>
      </c>
    </row>
    <row r="518" spans="1:31" ht="24.95" customHeight="1" x14ac:dyDescent="0.2">
      <c r="A518" s="144">
        <v>1513</v>
      </c>
      <c r="B518" s="145" t="s">
        <v>2769</v>
      </c>
      <c r="C518" s="146" t="s">
        <v>2194</v>
      </c>
      <c r="D518" s="146" t="s">
        <v>2194</v>
      </c>
      <c r="E518" s="147" t="s">
        <v>2265</v>
      </c>
      <c r="F518" s="148">
        <f>1311-131</f>
        <v>1180</v>
      </c>
      <c r="G518" s="149">
        <v>1190</v>
      </c>
      <c r="H518" s="149">
        <v>2</v>
      </c>
      <c r="I518" s="196"/>
      <c r="J518" s="149">
        <v>1244</v>
      </c>
      <c r="K518" s="149">
        <v>1290</v>
      </c>
      <c r="L518" s="149">
        <v>2</v>
      </c>
      <c r="M518" s="149">
        <v>12</v>
      </c>
      <c r="N518" s="149">
        <v>2</v>
      </c>
      <c r="O518" s="149">
        <v>6</v>
      </c>
      <c r="P518" s="224"/>
      <c r="Q518" s="224"/>
      <c r="R518" s="224"/>
      <c r="S518" s="224"/>
      <c r="T518" s="224"/>
      <c r="U518" s="224"/>
      <c r="V518" s="224"/>
      <c r="W518" s="224"/>
      <c r="X518" s="224"/>
      <c r="Y518" s="224"/>
      <c r="Z518" s="224"/>
      <c r="AA518" s="224"/>
      <c r="AB518" s="224"/>
      <c r="AC518" s="224"/>
      <c r="AD518" s="143" t="s">
        <v>2185</v>
      </c>
      <c r="AE518" s="143" t="s">
        <v>2254</v>
      </c>
    </row>
    <row r="519" spans="1:31" ht="24.95" customHeight="1" x14ac:dyDescent="0.2">
      <c r="A519" s="144">
        <v>1518</v>
      </c>
      <c r="B519" s="150" t="s">
        <v>2770</v>
      </c>
      <c r="C519" s="146" t="s">
        <v>2194</v>
      </c>
      <c r="D519" s="146" t="s">
        <v>2194</v>
      </c>
      <c r="E519" s="147" t="s">
        <v>2184</v>
      </c>
      <c r="F519" s="148">
        <v>30</v>
      </c>
      <c r="G519" s="149">
        <v>15</v>
      </c>
      <c r="H519" s="149">
        <v>0</v>
      </c>
      <c r="I519" s="196"/>
      <c r="J519" s="149">
        <v>29</v>
      </c>
      <c r="K519" s="149">
        <v>29</v>
      </c>
      <c r="L519" s="149">
        <v>0</v>
      </c>
      <c r="M519" s="149">
        <v>0</v>
      </c>
      <c r="N519" s="149">
        <v>0</v>
      </c>
      <c r="O519" s="149">
        <v>0</v>
      </c>
      <c r="P519" s="224"/>
      <c r="Q519" s="224"/>
      <c r="R519" s="224"/>
      <c r="S519" s="224"/>
      <c r="T519" s="224"/>
      <c r="U519" s="224"/>
      <c r="V519" s="224"/>
      <c r="W519" s="224"/>
      <c r="X519" s="224"/>
      <c r="Y519" s="224"/>
      <c r="Z519" s="224"/>
      <c r="AA519" s="224"/>
      <c r="AB519" s="224"/>
      <c r="AC519" s="224"/>
      <c r="AD519" s="143" t="s">
        <v>2185</v>
      </c>
      <c r="AE519" s="143" t="s">
        <v>2186</v>
      </c>
    </row>
    <row r="520" spans="1:31" ht="24.95" customHeight="1" x14ac:dyDescent="0.2">
      <c r="A520" s="144">
        <v>1519</v>
      </c>
      <c r="B520" s="145" t="s">
        <v>2771</v>
      </c>
      <c r="C520" s="146" t="s">
        <v>2471</v>
      </c>
      <c r="D520" s="146" t="s">
        <v>2471</v>
      </c>
      <c r="E520" s="147" t="s">
        <v>2265</v>
      </c>
      <c r="F520" s="148">
        <f>290+1025</f>
        <v>1315</v>
      </c>
      <c r="G520" s="149">
        <v>1445</v>
      </c>
      <c r="H520" s="149">
        <v>20</v>
      </c>
      <c r="I520" s="196"/>
      <c r="J520" s="149">
        <v>1348</v>
      </c>
      <c r="K520" s="149">
        <v>1445</v>
      </c>
      <c r="L520" s="149">
        <v>16</v>
      </c>
      <c r="M520" s="149">
        <v>888</v>
      </c>
      <c r="N520" s="149">
        <v>0</v>
      </c>
      <c r="O520" s="149">
        <v>885</v>
      </c>
      <c r="P520" s="224"/>
      <c r="Q520" s="224"/>
      <c r="R520" s="224"/>
      <c r="S520" s="224"/>
      <c r="T520" s="224"/>
      <c r="U520" s="224"/>
      <c r="V520" s="224"/>
      <c r="W520" s="224"/>
      <c r="X520" s="224"/>
      <c r="Y520" s="224"/>
      <c r="Z520" s="224"/>
      <c r="AA520" s="224"/>
      <c r="AB520" s="224"/>
      <c r="AC520" s="224"/>
      <c r="AD520" s="143" t="s">
        <v>2185</v>
      </c>
      <c r="AE520" s="143" t="s">
        <v>2254</v>
      </c>
    </row>
    <row r="521" spans="1:31" ht="24.95" customHeight="1" x14ac:dyDescent="0.2">
      <c r="A521" s="144">
        <v>1522</v>
      </c>
      <c r="B521" s="145" t="s">
        <v>2772</v>
      </c>
      <c r="C521" s="146" t="s">
        <v>2309</v>
      </c>
      <c r="D521" s="146" t="s">
        <v>2483</v>
      </c>
      <c r="E521" s="147" t="s">
        <v>2265</v>
      </c>
      <c r="F521" s="148">
        <v>4450</v>
      </c>
      <c r="G521" s="149">
        <v>4325</v>
      </c>
      <c r="H521" s="149">
        <v>51</v>
      </c>
      <c r="I521" s="196"/>
      <c r="J521" s="149">
        <v>4173</v>
      </c>
      <c r="K521" s="149">
        <v>4360</v>
      </c>
      <c r="L521" s="149">
        <v>0</v>
      </c>
      <c r="M521" s="149">
        <v>2638</v>
      </c>
      <c r="N521" s="149">
        <v>0</v>
      </c>
      <c r="O521" s="149">
        <v>3013</v>
      </c>
      <c r="P521" s="224"/>
      <c r="Q521" s="224"/>
      <c r="R521" s="224"/>
      <c r="S521" s="224"/>
      <c r="T521" s="224"/>
      <c r="U521" s="224"/>
      <c r="V521" s="224"/>
      <c r="W521" s="224"/>
      <c r="X521" s="224"/>
      <c r="Y521" s="224"/>
      <c r="Z521" s="224"/>
      <c r="AA521" s="224"/>
      <c r="AB521" s="224"/>
      <c r="AC521" s="224"/>
      <c r="AD521" s="143" t="s">
        <v>2185</v>
      </c>
      <c r="AE521" s="143" t="s">
        <v>2254</v>
      </c>
    </row>
    <row r="522" spans="1:31" ht="24.95" customHeight="1" x14ac:dyDescent="0.2">
      <c r="A522" s="144">
        <v>1523</v>
      </c>
      <c r="B522" s="145" t="s">
        <v>2773</v>
      </c>
      <c r="C522" s="146" t="s">
        <v>2309</v>
      </c>
      <c r="D522" s="146" t="s">
        <v>2774</v>
      </c>
      <c r="E522" s="147" t="s">
        <v>2265</v>
      </c>
      <c r="F522" s="148">
        <v>4140</v>
      </c>
      <c r="G522" s="149">
        <f>3945+202+3</f>
        <v>4150</v>
      </c>
      <c r="H522" s="149">
        <v>19</v>
      </c>
      <c r="I522" s="196"/>
      <c r="J522" s="149">
        <v>0</v>
      </c>
      <c r="K522" s="149">
        <v>0</v>
      </c>
      <c r="L522" s="149">
        <v>0</v>
      </c>
      <c r="M522" s="149">
        <v>0</v>
      </c>
      <c r="N522" s="149">
        <v>0</v>
      </c>
      <c r="O522" s="149">
        <v>0</v>
      </c>
      <c r="P522" s="224"/>
      <c r="Q522" s="224"/>
      <c r="R522" s="224"/>
      <c r="S522" s="224"/>
      <c r="T522" s="224"/>
      <c r="U522" s="224"/>
      <c r="V522" s="224"/>
      <c r="W522" s="224"/>
      <c r="X522" s="224"/>
      <c r="Y522" s="224"/>
      <c r="Z522" s="224"/>
      <c r="AA522" s="224"/>
      <c r="AB522" s="224"/>
      <c r="AC522" s="224"/>
      <c r="AD522" s="143" t="s">
        <v>2347</v>
      </c>
      <c r="AE522" s="143" t="s">
        <v>2254</v>
      </c>
    </row>
    <row r="523" spans="1:31" ht="24.95" customHeight="1" x14ac:dyDescent="0.2">
      <c r="A523" s="144">
        <v>1150</v>
      </c>
      <c r="B523" s="145" t="s">
        <v>2775</v>
      </c>
      <c r="C523" s="146" t="s">
        <v>2256</v>
      </c>
      <c r="D523" s="146" t="s">
        <v>2436</v>
      </c>
      <c r="E523" s="147" t="s">
        <v>2265</v>
      </c>
      <c r="F523" s="148">
        <v>4215</v>
      </c>
      <c r="G523" s="149">
        <f>4912-7-65</f>
        <v>4840</v>
      </c>
      <c r="H523" s="149">
        <v>97</v>
      </c>
      <c r="I523" s="196"/>
      <c r="J523" s="149">
        <v>4793</v>
      </c>
      <c r="K523" s="149">
        <v>4467</v>
      </c>
      <c r="L523" s="149">
        <v>95</v>
      </c>
      <c r="M523" s="149">
        <v>4292</v>
      </c>
      <c r="N523" s="149">
        <v>3</v>
      </c>
      <c r="O523" s="149">
        <v>5328</v>
      </c>
      <c r="P523" s="224"/>
      <c r="Q523" s="224"/>
      <c r="R523" s="224"/>
      <c r="S523" s="224"/>
      <c r="T523" s="224"/>
      <c r="U523" s="224"/>
      <c r="V523" s="224"/>
      <c r="W523" s="224"/>
      <c r="X523" s="224"/>
      <c r="Y523" s="224"/>
      <c r="Z523" s="224"/>
      <c r="AA523" s="224"/>
      <c r="AB523" s="224"/>
      <c r="AC523" s="224"/>
      <c r="AD523" s="143" t="s">
        <v>2185</v>
      </c>
      <c r="AE523" s="143" t="s">
        <v>2254</v>
      </c>
    </row>
    <row r="524" spans="1:31" ht="24.95" customHeight="1" x14ac:dyDescent="0.2">
      <c r="A524" s="144">
        <v>1532</v>
      </c>
      <c r="B524" s="145" t="s">
        <v>2776</v>
      </c>
      <c r="C524" s="146" t="s">
        <v>2312</v>
      </c>
      <c r="D524" s="146" t="s">
        <v>2312</v>
      </c>
      <c r="E524" s="147" t="s">
        <v>2265</v>
      </c>
      <c r="F524" s="148">
        <f>380+3545+955</f>
        <v>4880</v>
      </c>
      <c r="G524" s="149">
        <f>370+900+3190+1+46+1+1+2+523</f>
        <v>5034</v>
      </c>
      <c r="H524" s="149">
        <v>64</v>
      </c>
      <c r="I524" s="196"/>
      <c r="J524" s="149">
        <v>0</v>
      </c>
      <c r="K524" s="149">
        <v>0</v>
      </c>
      <c r="L524" s="149">
        <v>0</v>
      </c>
      <c r="M524" s="149">
        <v>0</v>
      </c>
      <c r="N524" s="149">
        <v>0</v>
      </c>
      <c r="O524" s="149">
        <v>0</v>
      </c>
      <c r="P524" s="224"/>
      <c r="Q524" s="224"/>
      <c r="R524" s="224"/>
      <c r="S524" s="224"/>
      <c r="T524" s="224"/>
      <c r="U524" s="224"/>
      <c r="V524" s="224"/>
      <c r="W524" s="224"/>
      <c r="X524" s="224"/>
      <c r="Y524" s="224"/>
      <c r="Z524" s="224"/>
      <c r="AA524" s="224"/>
      <c r="AB524" s="224"/>
      <c r="AC524" s="224"/>
      <c r="AD524" s="143" t="s">
        <v>2601</v>
      </c>
      <c r="AE524" s="143" t="s">
        <v>2254</v>
      </c>
    </row>
    <row r="525" spans="1:31" ht="24.95" customHeight="1" x14ac:dyDescent="0.2">
      <c r="A525" s="144">
        <v>1151</v>
      </c>
      <c r="B525" s="145" t="s">
        <v>2777</v>
      </c>
      <c r="C525" s="146" t="s">
        <v>2723</v>
      </c>
      <c r="D525" s="146" t="s">
        <v>2368</v>
      </c>
      <c r="E525" s="147" t="s">
        <v>2265</v>
      </c>
      <c r="F525" s="148">
        <v>3685</v>
      </c>
      <c r="G525" s="149">
        <v>2460</v>
      </c>
      <c r="H525" s="149">
        <f>36+9</f>
        <v>45</v>
      </c>
      <c r="I525" s="196"/>
      <c r="J525" s="149">
        <v>0</v>
      </c>
      <c r="K525" s="149">
        <v>0</v>
      </c>
      <c r="L525" s="149">
        <v>0</v>
      </c>
      <c r="M525" s="149">
        <v>0</v>
      </c>
      <c r="N525" s="149">
        <v>0</v>
      </c>
      <c r="O525" s="149">
        <v>0</v>
      </c>
      <c r="P525" s="224"/>
      <c r="Q525" s="224"/>
      <c r="R525" s="224"/>
      <c r="S525" s="224"/>
      <c r="T525" s="224"/>
      <c r="U525" s="224"/>
      <c r="V525" s="224"/>
      <c r="W525" s="224"/>
      <c r="X525" s="224"/>
      <c r="Y525" s="224"/>
      <c r="Z525" s="224"/>
      <c r="AA525" s="224"/>
      <c r="AB525" s="224"/>
      <c r="AC525" s="224"/>
      <c r="AD525" s="143" t="s">
        <v>2347</v>
      </c>
      <c r="AE525" s="143" t="s">
        <v>2254</v>
      </c>
    </row>
    <row r="526" spans="1:31" ht="24.95" customHeight="1" x14ac:dyDescent="0.2">
      <c r="A526" s="144">
        <v>1552</v>
      </c>
      <c r="B526" s="145" t="s">
        <v>2778</v>
      </c>
      <c r="C526" s="146" t="s">
        <v>2312</v>
      </c>
      <c r="D526" s="146" t="s">
        <v>2225</v>
      </c>
      <c r="E526" s="147" t="s">
        <v>2265</v>
      </c>
      <c r="F526" s="148">
        <v>820</v>
      </c>
      <c r="G526" s="149">
        <v>747</v>
      </c>
      <c r="H526" s="149">
        <v>3</v>
      </c>
      <c r="I526" s="196"/>
      <c r="J526" s="149">
        <v>0</v>
      </c>
      <c r="K526" s="149">
        <v>0</v>
      </c>
      <c r="L526" s="149">
        <v>0</v>
      </c>
      <c r="M526" s="149">
        <v>0</v>
      </c>
      <c r="N526" s="149">
        <v>0</v>
      </c>
      <c r="O526" s="149">
        <v>0</v>
      </c>
      <c r="P526" s="224"/>
      <c r="Q526" s="224"/>
      <c r="R526" s="224"/>
      <c r="S526" s="224"/>
      <c r="T526" s="224"/>
      <c r="U526" s="224"/>
      <c r="V526" s="224"/>
      <c r="W526" s="224"/>
      <c r="X526" s="224"/>
      <c r="Y526" s="224"/>
      <c r="Z526" s="224"/>
      <c r="AA526" s="224"/>
      <c r="AB526" s="224"/>
      <c r="AC526" s="224"/>
      <c r="AD526" s="143" t="s">
        <v>2598</v>
      </c>
      <c r="AE526" s="143" t="s">
        <v>2254</v>
      </c>
    </row>
    <row r="527" spans="1:31" ht="24.95" customHeight="1" x14ac:dyDescent="0.2">
      <c r="A527" s="144">
        <v>1553</v>
      </c>
      <c r="B527" s="145" t="s">
        <v>2779</v>
      </c>
      <c r="C527" s="146" t="s">
        <v>2250</v>
      </c>
      <c r="D527" s="146" t="s">
        <v>2285</v>
      </c>
      <c r="E527" s="147" t="s">
        <v>2310</v>
      </c>
      <c r="F527" s="148">
        <v>2905</v>
      </c>
      <c r="G527" s="149">
        <f>5255-2275</f>
        <v>2980</v>
      </c>
      <c r="H527" s="149">
        <v>35</v>
      </c>
      <c r="I527" s="196"/>
      <c r="J527" s="149">
        <v>2584</v>
      </c>
      <c r="K527" s="149">
        <v>2980</v>
      </c>
      <c r="L527" s="149">
        <v>39</v>
      </c>
      <c r="M527" s="149">
        <v>2566</v>
      </c>
      <c r="N527" s="149">
        <v>1</v>
      </c>
      <c r="O527" s="149">
        <v>2655</v>
      </c>
      <c r="P527" s="224"/>
      <c r="Q527" s="224"/>
      <c r="R527" s="224"/>
      <c r="S527" s="224"/>
      <c r="T527" s="224"/>
      <c r="U527" s="224"/>
      <c r="V527" s="224"/>
      <c r="W527" s="224"/>
      <c r="X527" s="224"/>
      <c r="Y527" s="224"/>
      <c r="Z527" s="224"/>
      <c r="AA527" s="224"/>
      <c r="AB527" s="224"/>
      <c r="AC527" s="224"/>
      <c r="AD527" s="143" t="s">
        <v>2185</v>
      </c>
      <c r="AE527" s="143" t="s">
        <v>2254</v>
      </c>
    </row>
    <row r="528" spans="1:31" ht="24.95" customHeight="1" x14ac:dyDescent="0.2">
      <c r="A528" s="144">
        <v>1555</v>
      </c>
      <c r="B528" s="145" t="s">
        <v>2780</v>
      </c>
      <c r="C528" s="146" t="s">
        <v>2250</v>
      </c>
      <c r="D528" s="146" t="s">
        <v>2285</v>
      </c>
      <c r="E528" s="147" t="s">
        <v>2265</v>
      </c>
      <c r="F528" s="148">
        <f>1390+5156+3130</f>
        <v>9676</v>
      </c>
      <c r="G528" s="149">
        <f>195+280+850+6535+2+1+2+597+2</f>
        <v>8464</v>
      </c>
      <c r="H528" s="149">
        <f>14+23</f>
        <v>37</v>
      </c>
      <c r="I528" s="196"/>
      <c r="J528" s="149">
        <v>0</v>
      </c>
      <c r="K528" s="149">
        <v>0</v>
      </c>
      <c r="L528" s="149">
        <v>0</v>
      </c>
      <c r="M528" s="149">
        <v>0</v>
      </c>
      <c r="N528" s="149">
        <v>0</v>
      </c>
      <c r="O528" s="149">
        <v>0</v>
      </c>
      <c r="P528" s="224"/>
      <c r="Q528" s="224"/>
      <c r="R528" s="224"/>
      <c r="S528" s="224"/>
      <c r="T528" s="224"/>
      <c r="U528" s="224"/>
      <c r="V528" s="224"/>
      <c r="W528" s="224"/>
      <c r="X528" s="224"/>
      <c r="Y528" s="224"/>
      <c r="Z528" s="224"/>
      <c r="AA528" s="224"/>
      <c r="AB528" s="224"/>
      <c r="AC528" s="224"/>
      <c r="AD528" s="143" t="s">
        <v>2347</v>
      </c>
      <c r="AE528" s="143" t="s">
        <v>2254</v>
      </c>
    </row>
    <row r="529" spans="1:31" ht="24.95" customHeight="1" x14ac:dyDescent="0.2">
      <c r="A529" s="144">
        <v>1557</v>
      </c>
      <c r="B529" s="145" t="s">
        <v>2781</v>
      </c>
      <c r="C529" s="146" t="s">
        <v>2183</v>
      </c>
      <c r="D529" s="146" t="s">
        <v>2183</v>
      </c>
      <c r="E529" s="147" t="s">
        <v>2184</v>
      </c>
      <c r="F529" s="148">
        <v>4380</v>
      </c>
      <c r="G529" s="149">
        <v>9425</v>
      </c>
      <c r="H529" s="149">
        <v>86</v>
      </c>
      <c r="I529" s="196"/>
      <c r="J529" s="149">
        <v>4113</v>
      </c>
      <c r="K529" s="149">
        <v>9260</v>
      </c>
      <c r="L529" s="149">
        <v>90</v>
      </c>
      <c r="M529" s="149">
        <v>5155</v>
      </c>
      <c r="N529" s="149">
        <v>9</v>
      </c>
      <c r="O529" s="149">
        <v>4070</v>
      </c>
      <c r="P529" s="224"/>
      <c r="Q529" s="224"/>
      <c r="R529" s="224"/>
      <c r="S529" s="224"/>
      <c r="T529" s="224"/>
      <c r="U529" s="224"/>
      <c r="V529" s="224"/>
      <c r="W529" s="224"/>
      <c r="X529" s="224"/>
      <c r="Y529" s="224"/>
      <c r="Z529" s="224"/>
      <c r="AA529" s="224"/>
      <c r="AB529" s="224"/>
      <c r="AC529" s="224"/>
      <c r="AD529" s="143" t="s">
        <v>2185</v>
      </c>
      <c r="AE529" s="143" t="s">
        <v>2254</v>
      </c>
    </row>
    <row r="530" spans="1:31" ht="24.95" customHeight="1" x14ac:dyDescent="0.2">
      <c r="A530" s="144">
        <v>1558</v>
      </c>
      <c r="B530" s="145" t="s">
        <v>2782</v>
      </c>
      <c r="C530" s="146" t="s">
        <v>2215</v>
      </c>
      <c r="D530" s="146" t="s">
        <v>2230</v>
      </c>
      <c r="E530" s="147" t="s">
        <v>2265</v>
      </c>
      <c r="F530" s="148">
        <f>3480+1465</f>
        <v>4945</v>
      </c>
      <c r="G530" s="149">
        <f>2070+3870+1+342</f>
        <v>6283</v>
      </c>
      <c r="H530" s="149">
        <f>7+49</f>
        <v>56</v>
      </c>
      <c r="I530" s="196"/>
      <c r="J530" s="149">
        <v>0</v>
      </c>
      <c r="K530" s="149">
        <v>0</v>
      </c>
      <c r="L530" s="149">
        <v>0</v>
      </c>
      <c r="M530" s="149">
        <v>0</v>
      </c>
      <c r="N530" s="149">
        <v>0</v>
      </c>
      <c r="O530" s="149">
        <v>0</v>
      </c>
      <c r="P530" s="224"/>
      <c r="Q530" s="224"/>
      <c r="R530" s="224"/>
      <c r="S530" s="224"/>
      <c r="T530" s="224"/>
      <c r="U530" s="224"/>
      <c r="V530" s="224"/>
      <c r="W530" s="224"/>
      <c r="X530" s="224"/>
      <c r="Y530" s="224"/>
      <c r="Z530" s="224"/>
      <c r="AA530" s="224"/>
      <c r="AB530" s="224"/>
      <c r="AC530" s="224"/>
      <c r="AD530" s="143" t="s">
        <v>2598</v>
      </c>
      <c r="AE530" s="143" t="s">
        <v>2254</v>
      </c>
    </row>
    <row r="531" spans="1:31" ht="24.95" customHeight="1" x14ac:dyDescent="0.2">
      <c r="A531" s="144">
        <v>1564</v>
      </c>
      <c r="B531" s="150" t="s">
        <v>2783</v>
      </c>
      <c r="C531" s="146" t="s">
        <v>2256</v>
      </c>
      <c r="D531" s="146" t="s">
        <v>2733</v>
      </c>
      <c r="E531" s="147" t="s">
        <v>2184</v>
      </c>
      <c r="F531" s="148">
        <v>2800</v>
      </c>
      <c r="G531" s="149">
        <v>2800</v>
      </c>
      <c r="H531" s="149">
        <v>30</v>
      </c>
      <c r="I531" s="196"/>
      <c r="J531" s="149">
        <v>2890</v>
      </c>
      <c r="K531" s="149">
        <v>2571</v>
      </c>
      <c r="L531" s="149">
        <v>37</v>
      </c>
      <c r="M531" s="149">
        <v>2493</v>
      </c>
      <c r="N531" s="149">
        <v>1</v>
      </c>
      <c r="O531" s="149">
        <v>2562</v>
      </c>
      <c r="P531" s="224"/>
      <c r="Q531" s="224"/>
      <c r="R531" s="224"/>
      <c r="S531" s="224"/>
      <c r="T531" s="224"/>
      <c r="U531" s="224"/>
      <c r="V531" s="224"/>
      <c r="W531" s="224"/>
      <c r="X531" s="224"/>
      <c r="Y531" s="224"/>
      <c r="Z531" s="224"/>
      <c r="AA531" s="224"/>
      <c r="AB531" s="224"/>
      <c r="AC531" s="224"/>
      <c r="AD531" s="143" t="s">
        <v>2185</v>
      </c>
      <c r="AE531" s="143" t="s">
        <v>2254</v>
      </c>
    </row>
    <row r="532" spans="1:31" ht="24.95" customHeight="1" x14ac:dyDescent="0.2">
      <c r="A532" s="144">
        <v>1566</v>
      </c>
      <c r="B532" s="145" t="s">
        <v>2784</v>
      </c>
      <c r="C532" s="146" t="s">
        <v>2215</v>
      </c>
      <c r="D532" s="146" t="s">
        <v>2230</v>
      </c>
      <c r="E532" s="147" t="s">
        <v>2184</v>
      </c>
      <c r="F532" s="148">
        <v>6035</v>
      </c>
      <c r="G532" s="149">
        <v>5005</v>
      </c>
      <c r="H532" s="149">
        <v>98</v>
      </c>
      <c r="I532" s="196"/>
      <c r="J532" s="149">
        <v>0</v>
      </c>
      <c r="K532" s="149">
        <v>0</v>
      </c>
      <c r="L532" s="149">
        <v>0</v>
      </c>
      <c r="M532" s="149">
        <v>0</v>
      </c>
      <c r="N532" s="149">
        <v>0</v>
      </c>
      <c r="O532" s="149">
        <v>0</v>
      </c>
      <c r="P532" s="224"/>
      <c r="Q532" s="224"/>
      <c r="R532" s="224"/>
      <c r="S532" s="224"/>
      <c r="T532" s="224"/>
      <c r="U532" s="224"/>
      <c r="V532" s="224"/>
      <c r="W532" s="224"/>
      <c r="X532" s="224"/>
      <c r="Y532" s="224"/>
      <c r="Z532" s="224"/>
      <c r="AA532" s="224"/>
      <c r="AB532" s="224"/>
      <c r="AC532" s="224"/>
      <c r="AD532" s="143" t="s">
        <v>2347</v>
      </c>
      <c r="AE532" s="143" t="s">
        <v>2254</v>
      </c>
    </row>
    <row r="533" spans="1:31" ht="24.95" customHeight="1" x14ac:dyDescent="0.2">
      <c r="A533" s="144">
        <v>1576</v>
      </c>
      <c r="B533" s="145" t="s">
        <v>2785</v>
      </c>
      <c r="C533" s="146" t="s">
        <v>2215</v>
      </c>
      <c r="D533" s="146" t="s">
        <v>2786</v>
      </c>
      <c r="E533" s="147" t="s">
        <v>2310</v>
      </c>
      <c r="F533" s="148">
        <v>5755</v>
      </c>
      <c r="G533" s="149">
        <f>1085+7550+71+2+1+206+4</f>
        <v>8919</v>
      </c>
      <c r="H533" s="149">
        <v>3676</v>
      </c>
      <c r="I533" s="196"/>
      <c r="J533" s="149">
        <v>0</v>
      </c>
      <c r="K533" s="149">
        <v>0</v>
      </c>
      <c r="L533" s="149">
        <v>0</v>
      </c>
      <c r="M533" s="149">
        <v>0</v>
      </c>
      <c r="N533" s="149">
        <v>0</v>
      </c>
      <c r="O533" s="149">
        <v>0</v>
      </c>
      <c r="P533" s="224"/>
      <c r="Q533" s="224"/>
      <c r="R533" s="224"/>
      <c r="S533" s="224"/>
      <c r="T533" s="224"/>
      <c r="U533" s="224"/>
      <c r="V533" s="224"/>
      <c r="W533" s="224"/>
      <c r="X533" s="224"/>
      <c r="Y533" s="224"/>
      <c r="Z533" s="224"/>
      <c r="AA533" s="224"/>
      <c r="AB533" s="224"/>
      <c r="AC533" s="224"/>
      <c r="AD533" s="143" t="s">
        <v>2517</v>
      </c>
      <c r="AE533" s="143" t="s">
        <v>2186</v>
      </c>
    </row>
    <row r="534" spans="1:31" ht="24.95" customHeight="1" x14ac:dyDescent="0.2">
      <c r="A534" s="144">
        <v>1581</v>
      </c>
      <c r="B534" s="145" t="s">
        <v>2787</v>
      </c>
      <c r="C534" s="146" t="s">
        <v>2280</v>
      </c>
      <c r="D534" s="146" t="s">
        <v>2280</v>
      </c>
      <c r="E534" s="147" t="s">
        <v>2265</v>
      </c>
      <c r="F534" s="148">
        <f>25+5565+1640</f>
        <v>7230</v>
      </c>
      <c r="G534" s="149">
        <f>1625+3655+1+1+3+5</f>
        <v>5290</v>
      </c>
      <c r="H534" s="149">
        <v>104</v>
      </c>
      <c r="I534" s="196"/>
      <c r="J534" s="149">
        <v>0</v>
      </c>
      <c r="K534" s="149">
        <v>0</v>
      </c>
      <c r="L534" s="149">
        <v>0</v>
      </c>
      <c r="M534" s="149">
        <v>0</v>
      </c>
      <c r="N534" s="149">
        <v>0</v>
      </c>
      <c r="O534" s="149">
        <v>0</v>
      </c>
      <c r="P534" s="224"/>
      <c r="Q534" s="224"/>
      <c r="R534" s="224"/>
      <c r="S534" s="224"/>
      <c r="T534" s="224"/>
      <c r="U534" s="224"/>
      <c r="V534" s="224"/>
      <c r="W534" s="224"/>
      <c r="X534" s="224"/>
      <c r="Y534" s="224"/>
      <c r="Z534" s="224"/>
      <c r="AA534" s="224"/>
      <c r="AB534" s="224"/>
      <c r="AC534" s="224"/>
      <c r="AD534" s="143" t="s">
        <v>2347</v>
      </c>
      <c r="AE534" s="143" t="s">
        <v>2254</v>
      </c>
    </row>
    <row r="535" spans="1:31" ht="24.95" customHeight="1" x14ac:dyDescent="0.2">
      <c r="A535" s="144">
        <v>1585</v>
      </c>
      <c r="B535" s="145" t="s">
        <v>2788</v>
      </c>
      <c r="C535" s="146" t="s">
        <v>2280</v>
      </c>
      <c r="D535" s="146" t="s">
        <v>2280</v>
      </c>
      <c r="E535" s="147" t="s">
        <v>2265</v>
      </c>
      <c r="F535" s="148">
        <f>1320+5925</f>
        <v>7245</v>
      </c>
      <c r="G535" s="149">
        <f>65+3630+2</f>
        <v>3697</v>
      </c>
      <c r="H535" s="149">
        <v>3500</v>
      </c>
      <c r="I535" s="196"/>
      <c r="J535" s="149">
        <v>0</v>
      </c>
      <c r="K535" s="149">
        <v>0</v>
      </c>
      <c r="L535" s="149">
        <v>0</v>
      </c>
      <c r="M535" s="149">
        <v>0</v>
      </c>
      <c r="N535" s="149">
        <v>0</v>
      </c>
      <c r="O535" s="149">
        <v>0</v>
      </c>
      <c r="P535" s="224"/>
      <c r="Q535" s="224"/>
      <c r="R535" s="224"/>
      <c r="S535" s="224"/>
      <c r="T535" s="224"/>
      <c r="U535" s="224"/>
      <c r="V535" s="224"/>
      <c r="W535" s="224"/>
      <c r="X535" s="224"/>
      <c r="Y535" s="224"/>
      <c r="Z535" s="224"/>
      <c r="AA535" s="224"/>
      <c r="AB535" s="224"/>
      <c r="AC535" s="224"/>
      <c r="AD535" s="143" t="s">
        <v>2598</v>
      </c>
      <c r="AE535" s="143" t="s">
        <v>2186</v>
      </c>
    </row>
    <row r="536" spans="1:31" ht="24.95" customHeight="1" x14ac:dyDescent="0.2">
      <c r="A536" s="144">
        <v>1594</v>
      </c>
      <c r="B536" s="145" t="s">
        <v>2789</v>
      </c>
      <c r="C536" s="146" t="s">
        <v>2280</v>
      </c>
      <c r="D536" s="146" t="s">
        <v>2280</v>
      </c>
      <c r="E536" s="147" t="s">
        <v>2265</v>
      </c>
      <c r="F536" s="148">
        <f>825+5610</f>
        <v>6435</v>
      </c>
      <c r="G536" s="149">
        <f>400+1865+4045+3+3</f>
        <v>6316</v>
      </c>
      <c r="H536" s="149">
        <f>38+11</f>
        <v>49</v>
      </c>
      <c r="I536" s="196"/>
      <c r="J536" s="149">
        <v>0</v>
      </c>
      <c r="K536" s="149">
        <v>0</v>
      </c>
      <c r="L536" s="149">
        <v>0</v>
      </c>
      <c r="M536" s="149">
        <v>0</v>
      </c>
      <c r="N536" s="149">
        <v>0</v>
      </c>
      <c r="O536" s="149">
        <v>0</v>
      </c>
      <c r="P536" s="224"/>
      <c r="Q536" s="224"/>
      <c r="R536" s="224"/>
      <c r="S536" s="224"/>
      <c r="T536" s="224"/>
      <c r="U536" s="224"/>
      <c r="V536" s="224"/>
      <c r="W536" s="224"/>
      <c r="X536" s="224"/>
      <c r="Y536" s="224"/>
      <c r="Z536" s="224"/>
      <c r="AA536" s="224"/>
      <c r="AB536" s="224"/>
      <c r="AC536" s="224"/>
      <c r="AD536" s="143" t="s">
        <v>2598</v>
      </c>
      <c r="AE536" s="143" t="s">
        <v>2186</v>
      </c>
    </row>
    <row r="537" spans="1:31" ht="24.95" customHeight="1" x14ac:dyDescent="0.2">
      <c r="A537" s="144">
        <v>1600</v>
      </c>
      <c r="B537" s="145" t="s">
        <v>2790</v>
      </c>
      <c r="C537" s="146" t="s">
        <v>2280</v>
      </c>
      <c r="D537" s="146" t="s">
        <v>2280</v>
      </c>
      <c r="E537" s="147" t="s">
        <v>2265</v>
      </c>
      <c r="F537" s="148">
        <v>6545</v>
      </c>
      <c r="G537" s="149">
        <v>4980</v>
      </c>
      <c r="H537" s="149">
        <v>94</v>
      </c>
      <c r="I537" s="196"/>
      <c r="J537" s="149">
        <v>7719</v>
      </c>
      <c r="K537" s="149">
        <v>5865</v>
      </c>
      <c r="L537" s="149">
        <v>134</v>
      </c>
      <c r="M537" s="149">
        <v>5512</v>
      </c>
      <c r="N537" s="149">
        <v>0</v>
      </c>
      <c r="O537" s="149">
        <v>6365</v>
      </c>
      <c r="P537" s="224"/>
      <c r="Q537" s="224"/>
      <c r="R537" s="224"/>
      <c r="S537" s="224"/>
      <c r="T537" s="224"/>
      <c r="U537" s="224"/>
      <c r="V537" s="224"/>
      <c r="W537" s="224"/>
      <c r="X537" s="224"/>
      <c r="Y537" s="224"/>
      <c r="Z537" s="224"/>
      <c r="AA537" s="224"/>
      <c r="AB537" s="224"/>
      <c r="AC537" s="224"/>
      <c r="AD537" s="143" t="s">
        <v>2185</v>
      </c>
      <c r="AE537" s="143" t="s">
        <v>2254</v>
      </c>
    </row>
    <row r="538" spans="1:31" ht="24.95" customHeight="1" x14ac:dyDescent="0.2">
      <c r="A538" s="144">
        <v>1602</v>
      </c>
      <c r="B538" s="145" t="s">
        <v>2791</v>
      </c>
      <c r="C538" s="146" t="s">
        <v>2280</v>
      </c>
      <c r="D538" s="146" t="s">
        <v>2280</v>
      </c>
      <c r="E538" s="147" t="s">
        <v>2265</v>
      </c>
      <c r="F538" s="148">
        <f>875+8560</f>
        <v>9435</v>
      </c>
      <c r="G538" s="149">
        <v>6335</v>
      </c>
      <c r="H538" s="149">
        <v>133</v>
      </c>
      <c r="I538" s="196"/>
      <c r="J538" s="149">
        <v>9258</v>
      </c>
      <c r="K538" s="149">
        <v>6131</v>
      </c>
      <c r="L538" s="149">
        <v>129</v>
      </c>
      <c r="M538" s="149">
        <v>4597</v>
      </c>
      <c r="N538" s="149">
        <v>5</v>
      </c>
      <c r="O538" s="149">
        <v>6886</v>
      </c>
      <c r="P538" s="224"/>
      <c r="Q538" s="224"/>
      <c r="R538" s="224"/>
      <c r="S538" s="224"/>
      <c r="T538" s="224"/>
      <c r="U538" s="224"/>
      <c r="V538" s="224"/>
      <c r="W538" s="224"/>
      <c r="X538" s="224"/>
      <c r="Y538" s="224"/>
      <c r="Z538" s="224"/>
      <c r="AA538" s="224"/>
      <c r="AB538" s="224"/>
      <c r="AC538" s="224"/>
      <c r="AD538" s="143" t="s">
        <v>2185</v>
      </c>
      <c r="AE538" s="143" t="s">
        <v>2254</v>
      </c>
    </row>
    <row r="539" spans="1:31" ht="24.95" customHeight="1" x14ac:dyDescent="0.2">
      <c r="A539" s="144">
        <v>1612</v>
      </c>
      <c r="B539" s="145" t="s">
        <v>2792</v>
      </c>
      <c r="C539" s="146" t="s">
        <v>2280</v>
      </c>
      <c r="D539" s="146" t="s">
        <v>2280</v>
      </c>
      <c r="E539" s="147" t="s">
        <v>2265</v>
      </c>
      <c r="F539" s="148">
        <f>2880+3870</f>
        <v>6750</v>
      </c>
      <c r="G539" s="149">
        <f>30+1240+3915+1</f>
        <v>5186</v>
      </c>
      <c r="H539" s="149">
        <v>3470</v>
      </c>
      <c r="I539" s="196"/>
      <c r="J539" s="149">
        <v>0</v>
      </c>
      <c r="K539" s="149">
        <v>0</v>
      </c>
      <c r="L539" s="149">
        <v>0</v>
      </c>
      <c r="M539" s="149">
        <v>0</v>
      </c>
      <c r="N539" s="149">
        <v>0</v>
      </c>
      <c r="O539" s="149">
        <v>0</v>
      </c>
      <c r="P539" s="224"/>
      <c r="Q539" s="224"/>
      <c r="R539" s="224"/>
      <c r="S539" s="224"/>
      <c r="T539" s="224"/>
      <c r="U539" s="224"/>
      <c r="V539" s="224"/>
      <c r="W539" s="224"/>
      <c r="X539" s="224"/>
      <c r="Y539" s="224"/>
      <c r="Z539" s="224"/>
      <c r="AA539" s="224"/>
      <c r="AB539" s="224"/>
      <c r="AC539" s="224"/>
      <c r="AD539" s="143" t="s">
        <v>2598</v>
      </c>
      <c r="AE539" s="143" t="s">
        <v>2254</v>
      </c>
    </row>
    <row r="540" spans="1:31" ht="24.95" customHeight="1" x14ac:dyDescent="0.2">
      <c r="A540" s="144">
        <v>1618</v>
      </c>
      <c r="B540" s="145" t="s">
        <v>2793</v>
      </c>
      <c r="C540" s="146" t="s">
        <v>2280</v>
      </c>
      <c r="D540" s="146" t="s">
        <v>2280</v>
      </c>
      <c r="E540" s="147" t="s">
        <v>2265</v>
      </c>
      <c r="F540" s="148">
        <f>1670+5570</f>
        <v>7240</v>
      </c>
      <c r="G540" s="149">
        <f>445+4225+1</f>
        <v>4671</v>
      </c>
      <c r="H540" s="149">
        <v>3670</v>
      </c>
      <c r="I540" s="196"/>
      <c r="J540" s="149">
        <v>0</v>
      </c>
      <c r="K540" s="149">
        <v>0</v>
      </c>
      <c r="L540" s="149">
        <v>0</v>
      </c>
      <c r="M540" s="149">
        <v>0</v>
      </c>
      <c r="N540" s="149">
        <v>0</v>
      </c>
      <c r="O540" s="149">
        <v>0</v>
      </c>
      <c r="P540" s="224"/>
      <c r="Q540" s="224"/>
      <c r="R540" s="224"/>
      <c r="S540" s="224"/>
      <c r="T540" s="224"/>
      <c r="U540" s="224"/>
      <c r="V540" s="224"/>
      <c r="W540" s="224"/>
      <c r="X540" s="224"/>
      <c r="Y540" s="224"/>
      <c r="Z540" s="224"/>
      <c r="AA540" s="224"/>
      <c r="AB540" s="224"/>
      <c r="AC540" s="224"/>
      <c r="AD540" s="143" t="s">
        <v>2598</v>
      </c>
      <c r="AE540" s="143" t="s">
        <v>2186</v>
      </c>
    </row>
    <row r="541" spans="1:31" ht="24.95" customHeight="1" x14ac:dyDescent="0.2">
      <c r="A541" s="144">
        <v>1619</v>
      </c>
      <c r="B541" s="145" t="s">
        <v>2794</v>
      </c>
      <c r="C541" s="146" t="s">
        <v>2280</v>
      </c>
      <c r="D541" s="146" t="s">
        <v>2280</v>
      </c>
      <c r="E541" s="147" t="s">
        <v>2265</v>
      </c>
      <c r="F541" s="148">
        <v>2325</v>
      </c>
      <c r="G541" s="149">
        <f>165+2220+3</f>
        <v>2388</v>
      </c>
      <c r="H541" s="149">
        <v>3020</v>
      </c>
      <c r="I541" s="196"/>
      <c r="J541" s="149">
        <v>0</v>
      </c>
      <c r="K541" s="149">
        <v>0</v>
      </c>
      <c r="L541" s="149">
        <v>0</v>
      </c>
      <c r="M541" s="149">
        <v>0</v>
      </c>
      <c r="N541" s="149">
        <v>0</v>
      </c>
      <c r="O541" s="149">
        <v>0</v>
      </c>
      <c r="P541" s="224"/>
      <c r="Q541" s="224"/>
      <c r="R541" s="224"/>
      <c r="S541" s="224"/>
      <c r="T541" s="224"/>
      <c r="U541" s="224"/>
      <c r="V541" s="224"/>
      <c r="W541" s="224"/>
      <c r="X541" s="224"/>
      <c r="Y541" s="224"/>
      <c r="Z541" s="224"/>
      <c r="AA541" s="224"/>
      <c r="AB541" s="224"/>
      <c r="AC541" s="224"/>
      <c r="AD541" s="143" t="s">
        <v>2598</v>
      </c>
      <c r="AE541" s="143" t="s">
        <v>2186</v>
      </c>
    </row>
    <row r="542" spans="1:31" ht="24.95" customHeight="1" x14ac:dyDescent="0.2">
      <c r="A542" s="144">
        <v>1624</v>
      </c>
      <c r="B542" s="145" t="s">
        <v>2795</v>
      </c>
      <c r="C542" s="146" t="s">
        <v>2280</v>
      </c>
      <c r="D542" s="146" t="s">
        <v>2796</v>
      </c>
      <c r="E542" s="147" t="s">
        <v>2265</v>
      </c>
      <c r="F542" s="148">
        <v>890</v>
      </c>
      <c r="G542" s="149">
        <f>780+2</f>
        <v>782</v>
      </c>
      <c r="H542" s="149">
        <v>610</v>
      </c>
      <c r="I542" s="196"/>
      <c r="J542" s="149">
        <v>0</v>
      </c>
      <c r="K542" s="149">
        <v>0</v>
      </c>
      <c r="L542" s="149">
        <v>0</v>
      </c>
      <c r="M542" s="149">
        <v>0</v>
      </c>
      <c r="N542" s="149">
        <v>0</v>
      </c>
      <c r="O542" s="149">
        <v>0</v>
      </c>
      <c r="P542" s="224"/>
      <c r="Q542" s="224"/>
      <c r="R542" s="224"/>
      <c r="S542" s="224"/>
      <c r="T542" s="224"/>
      <c r="U542" s="224"/>
      <c r="V542" s="224"/>
      <c r="W542" s="224"/>
      <c r="X542" s="224"/>
      <c r="Y542" s="224"/>
      <c r="Z542" s="224"/>
      <c r="AA542" s="224"/>
      <c r="AB542" s="224"/>
      <c r="AC542" s="224"/>
      <c r="AD542" s="143" t="s">
        <v>2598</v>
      </c>
      <c r="AE542" s="143" t="s">
        <v>2186</v>
      </c>
    </row>
    <row r="543" spans="1:31" ht="24.95" customHeight="1" x14ac:dyDescent="0.2">
      <c r="A543" s="144">
        <v>1638</v>
      </c>
      <c r="B543" s="145" t="s">
        <v>2797</v>
      </c>
      <c r="C543" s="146" t="s">
        <v>2280</v>
      </c>
      <c r="D543" s="146" t="s">
        <v>2280</v>
      </c>
      <c r="E543" s="147" t="s">
        <v>2265</v>
      </c>
      <c r="F543" s="148">
        <v>5300</v>
      </c>
      <c r="G543" s="149">
        <v>3700</v>
      </c>
      <c r="H543" s="149">
        <v>63</v>
      </c>
      <c r="I543" s="196"/>
      <c r="J543" s="149">
        <v>5380</v>
      </c>
      <c r="K543" s="149">
        <v>3700</v>
      </c>
      <c r="L543" s="149">
        <v>7</v>
      </c>
      <c r="M543" s="149">
        <v>3163</v>
      </c>
      <c r="N543" s="149">
        <v>0</v>
      </c>
      <c r="O543" s="149">
        <v>3699</v>
      </c>
      <c r="P543" s="224"/>
      <c r="Q543" s="224"/>
      <c r="R543" s="224"/>
      <c r="S543" s="224"/>
      <c r="T543" s="224"/>
      <c r="U543" s="224"/>
      <c r="V543" s="224"/>
      <c r="W543" s="224"/>
      <c r="X543" s="224"/>
      <c r="Y543" s="224"/>
      <c r="Z543" s="224"/>
      <c r="AA543" s="224"/>
      <c r="AB543" s="224"/>
      <c r="AC543" s="224"/>
      <c r="AD543" s="143" t="s">
        <v>2185</v>
      </c>
      <c r="AE543" s="143" t="s">
        <v>2254</v>
      </c>
    </row>
    <row r="544" spans="1:31" ht="24.95" customHeight="1" x14ac:dyDescent="0.2">
      <c r="A544" s="144">
        <v>1639</v>
      </c>
      <c r="B544" s="145" t="s">
        <v>2798</v>
      </c>
      <c r="C544" s="146" t="s">
        <v>2280</v>
      </c>
      <c r="D544" s="146" t="s">
        <v>2280</v>
      </c>
      <c r="E544" s="147" t="s">
        <v>2265</v>
      </c>
      <c r="F544" s="148">
        <f>6330+1265</f>
        <v>7595</v>
      </c>
      <c r="G544" s="149">
        <f>1195+4160+46+1+1+105+3</f>
        <v>5511</v>
      </c>
      <c r="H544" s="149">
        <v>4595</v>
      </c>
      <c r="I544" s="196"/>
      <c r="J544" s="149">
        <v>0</v>
      </c>
      <c r="K544" s="149">
        <v>0</v>
      </c>
      <c r="L544" s="149">
        <v>0</v>
      </c>
      <c r="M544" s="149">
        <v>0</v>
      </c>
      <c r="N544" s="149">
        <v>0</v>
      </c>
      <c r="O544" s="149">
        <v>0</v>
      </c>
      <c r="P544" s="224"/>
      <c r="Q544" s="224"/>
      <c r="R544" s="224"/>
      <c r="S544" s="224"/>
      <c r="T544" s="224"/>
      <c r="U544" s="224"/>
      <c r="V544" s="224"/>
      <c r="W544" s="224"/>
      <c r="X544" s="224"/>
      <c r="Y544" s="224"/>
      <c r="Z544" s="224"/>
      <c r="AA544" s="224"/>
      <c r="AB544" s="224"/>
      <c r="AC544" s="224"/>
      <c r="AD544" s="143" t="s">
        <v>2517</v>
      </c>
      <c r="AE544" s="143" t="s">
        <v>2186</v>
      </c>
    </row>
    <row r="545" spans="1:31" ht="24.95" customHeight="1" x14ac:dyDescent="0.2">
      <c r="A545" s="144">
        <v>1646</v>
      </c>
      <c r="B545" s="145" t="s">
        <v>2799</v>
      </c>
      <c r="C545" s="146" t="s">
        <v>2183</v>
      </c>
      <c r="D545" s="146" t="s">
        <v>2220</v>
      </c>
      <c r="E545" s="147" t="s">
        <v>2265</v>
      </c>
      <c r="F545" s="148">
        <f>20+420+2415</f>
        <v>2855</v>
      </c>
      <c r="G545" s="149">
        <f>255+5635+1+249+478</f>
        <v>6618</v>
      </c>
      <c r="H545" s="149">
        <v>1155</v>
      </c>
      <c r="I545" s="196"/>
      <c r="J545" s="149">
        <v>0</v>
      </c>
      <c r="K545" s="149">
        <v>0</v>
      </c>
      <c r="L545" s="149">
        <v>0</v>
      </c>
      <c r="M545" s="149">
        <v>0</v>
      </c>
      <c r="N545" s="149">
        <v>0</v>
      </c>
      <c r="O545" s="149">
        <v>0</v>
      </c>
      <c r="P545" s="224"/>
      <c r="Q545" s="224"/>
      <c r="R545" s="224"/>
      <c r="S545" s="224"/>
      <c r="T545" s="224"/>
      <c r="U545" s="224"/>
      <c r="V545" s="224"/>
      <c r="W545" s="224"/>
      <c r="X545" s="224"/>
      <c r="Y545" s="224"/>
      <c r="Z545" s="224"/>
      <c r="AA545" s="224"/>
      <c r="AB545" s="224"/>
      <c r="AC545" s="224"/>
      <c r="AD545" s="143" t="s">
        <v>2598</v>
      </c>
      <c r="AE545" s="143" t="s">
        <v>2186</v>
      </c>
    </row>
    <row r="546" spans="1:31" ht="24.95" customHeight="1" x14ac:dyDescent="0.2">
      <c r="A546" s="144">
        <v>1647</v>
      </c>
      <c r="B546" s="145" t="s">
        <v>2800</v>
      </c>
      <c r="C546" s="146" t="s">
        <v>2183</v>
      </c>
      <c r="D546" s="146" t="s">
        <v>2220</v>
      </c>
      <c r="E546" s="147" t="s">
        <v>2265</v>
      </c>
      <c r="F546" s="148">
        <f>260+3175</f>
        <v>3435</v>
      </c>
      <c r="G546" s="149">
        <f>5+65+160+3210+2+11+1</f>
        <v>3454</v>
      </c>
      <c r="H546" s="149">
        <v>861</v>
      </c>
      <c r="I546" s="196"/>
      <c r="J546" s="149">
        <v>0</v>
      </c>
      <c r="K546" s="149">
        <v>0</v>
      </c>
      <c r="L546" s="149">
        <v>0</v>
      </c>
      <c r="M546" s="149">
        <v>0</v>
      </c>
      <c r="N546" s="149">
        <v>0</v>
      </c>
      <c r="O546" s="149">
        <v>0</v>
      </c>
      <c r="P546" s="224"/>
      <c r="Q546" s="224"/>
      <c r="R546" s="224"/>
      <c r="S546" s="224"/>
      <c r="T546" s="224"/>
      <c r="U546" s="224"/>
      <c r="V546" s="224"/>
      <c r="W546" s="224"/>
      <c r="X546" s="224"/>
      <c r="Y546" s="224"/>
      <c r="Z546" s="224"/>
      <c r="AA546" s="224"/>
      <c r="AB546" s="224"/>
      <c r="AC546" s="224"/>
      <c r="AD546" s="143" t="s">
        <v>2598</v>
      </c>
      <c r="AE546" s="143" t="s">
        <v>2186</v>
      </c>
    </row>
    <row r="547" spans="1:31" ht="24.95" customHeight="1" x14ac:dyDescent="0.2">
      <c r="A547" s="144">
        <v>1654</v>
      </c>
      <c r="B547" s="145" t="s">
        <v>2801</v>
      </c>
      <c r="C547" s="146" t="s">
        <v>2183</v>
      </c>
      <c r="D547" s="146" t="s">
        <v>2183</v>
      </c>
      <c r="E547" s="147" t="s">
        <v>2265</v>
      </c>
      <c r="F547" s="148">
        <v>8050</v>
      </c>
      <c r="G547" s="149">
        <v>7335</v>
      </c>
      <c r="H547" s="149">
        <v>98</v>
      </c>
      <c r="I547" s="196"/>
      <c r="J547" s="149">
        <v>8175</v>
      </c>
      <c r="K547" s="149">
        <v>7335</v>
      </c>
      <c r="L547" s="149">
        <v>99</v>
      </c>
      <c r="M547" s="149">
        <v>6640</v>
      </c>
      <c r="N547" s="149">
        <f>108-99</f>
        <v>9</v>
      </c>
      <c r="O547" s="149">
        <v>5959</v>
      </c>
      <c r="P547" s="224"/>
      <c r="Q547" s="224"/>
      <c r="R547" s="224"/>
      <c r="S547" s="224"/>
      <c r="T547" s="224"/>
      <c r="U547" s="224"/>
      <c r="V547" s="224"/>
      <c r="W547" s="224"/>
      <c r="X547" s="224"/>
      <c r="Y547" s="224"/>
      <c r="Z547" s="224"/>
      <c r="AA547" s="224"/>
      <c r="AB547" s="224"/>
      <c r="AC547" s="224"/>
      <c r="AD547" s="143" t="s">
        <v>2185</v>
      </c>
      <c r="AE547" s="143" t="s">
        <v>2254</v>
      </c>
    </row>
    <row r="548" spans="1:31" ht="24.95" customHeight="1" x14ac:dyDescent="0.2">
      <c r="A548" s="144">
        <v>1657</v>
      </c>
      <c r="B548" s="145" t="s">
        <v>2802</v>
      </c>
      <c r="C548" s="146" t="s">
        <v>2183</v>
      </c>
      <c r="D548" s="146" t="s">
        <v>2183</v>
      </c>
      <c r="E548" s="147" t="s">
        <v>2265</v>
      </c>
      <c r="F548" s="148">
        <f>430+4450</f>
        <v>4880</v>
      </c>
      <c r="G548" s="149">
        <f>1685+1940+52+3906+2</f>
        <v>7585</v>
      </c>
      <c r="H548" s="149">
        <f>35+5215</f>
        <v>5250</v>
      </c>
      <c r="I548" s="196"/>
      <c r="J548" s="149">
        <v>0</v>
      </c>
      <c r="K548" s="149">
        <v>0</v>
      </c>
      <c r="L548" s="149">
        <v>0</v>
      </c>
      <c r="M548" s="149">
        <v>0</v>
      </c>
      <c r="N548" s="149">
        <v>0</v>
      </c>
      <c r="O548" s="149">
        <v>0</v>
      </c>
      <c r="P548" s="224"/>
      <c r="Q548" s="224"/>
      <c r="R548" s="224"/>
      <c r="S548" s="224"/>
      <c r="T548" s="224"/>
      <c r="U548" s="224"/>
      <c r="V548" s="224"/>
      <c r="W548" s="224"/>
      <c r="X548" s="224"/>
      <c r="Y548" s="224"/>
      <c r="Z548" s="224"/>
      <c r="AA548" s="224"/>
      <c r="AB548" s="224"/>
      <c r="AC548" s="224"/>
      <c r="AD548" s="143" t="s">
        <v>2598</v>
      </c>
      <c r="AE548" s="143" t="s">
        <v>2186</v>
      </c>
    </row>
    <row r="549" spans="1:31" ht="24.95" customHeight="1" x14ac:dyDescent="0.2">
      <c r="A549" s="144">
        <v>1663</v>
      </c>
      <c r="B549" s="150" t="s">
        <v>2803</v>
      </c>
      <c r="C549" s="146" t="s">
        <v>2312</v>
      </c>
      <c r="D549" s="146" t="s">
        <v>2525</v>
      </c>
      <c r="E549" s="147" t="s">
        <v>2184</v>
      </c>
      <c r="F549" s="148">
        <v>1030</v>
      </c>
      <c r="G549" s="149">
        <v>945</v>
      </c>
      <c r="H549" s="149">
        <v>20</v>
      </c>
      <c r="I549" s="196"/>
      <c r="J549" s="149">
        <v>1000</v>
      </c>
      <c r="K549" s="149">
        <v>1045</v>
      </c>
      <c r="L549" s="149">
        <v>19</v>
      </c>
      <c r="M549" s="149">
        <v>565</v>
      </c>
      <c r="N549" s="149">
        <v>1</v>
      </c>
      <c r="O549" s="149">
        <v>1183</v>
      </c>
      <c r="P549" s="224"/>
      <c r="Q549" s="224"/>
      <c r="R549" s="224"/>
      <c r="S549" s="224"/>
      <c r="T549" s="224"/>
      <c r="U549" s="224"/>
      <c r="V549" s="224"/>
      <c r="W549" s="224"/>
      <c r="X549" s="224"/>
      <c r="Y549" s="224"/>
      <c r="Z549" s="224"/>
      <c r="AA549" s="224"/>
      <c r="AB549" s="224"/>
      <c r="AC549" s="224"/>
      <c r="AD549" s="143" t="s">
        <v>2185</v>
      </c>
      <c r="AE549" s="143" t="s">
        <v>2254</v>
      </c>
    </row>
    <row r="550" spans="1:31" ht="24.95" customHeight="1" x14ac:dyDescent="0.2">
      <c r="A550" s="144">
        <v>1670</v>
      </c>
      <c r="B550" s="145" t="s">
        <v>2804</v>
      </c>
      <c r="C550" s="146" t="s">
        <v>2183</v>
      </c>
      <c r="D550" s="146" t="s">
        <v>2285</v>
      </c>
      <c r="E550" s="147" t="s">
        <v>2265</v>
      </c>
      <c r="F550" s="148">
        <f>6115+4195</f>
        <v>10310</v>
      </c>
      <c r="G550" s="149">
        <f>1205+9180+1+2+1547</f>
        <v>11935</v>
      </c>
      <c r="H550" s="149">
        <v>5318</v>
      </c>
      <c r="I550" s="196"/>
      <c r="J550" s="149">
        <v>0</v>
      </c>
      <c r="K550" s="149">
        <v>0</v>
      </c>
      <c r="L550" s="149">
        <v>0</v>
      </c>
      <c r="M550" s="149">
        <v>0</v>
      </c>
      <c r="N550" s="149">
        <v>0</v>
      </c>
      <c r="O550" s="149">
        <v>0</v>
      </c>
      <c r="P550" s="224"/>
      <c r="Q550" s="224"/>
      <c r="R550" s="224"/>
      <c r="S550" s="224"/>
      <c r="T550" s="224"/>
      <c r="U550" s="224"/>
      <c r="V550" s="224"/>
      <c r="W550" s="224"/>
      <c r="X550" s="224"/>
      <c r="Y550" s="224"/>
      <c r="Z550" s="224"/>
      <c r="AA550" s="224"/>
      <c r="AB550" s="224"/>
      <c r="AC550" s="224"/>
      <c r="AD550" s="143" t="s">
        <v>2517</v>
      </c>
      <c r="AE550" s="143" t="s">
        <v>2186</v>
      </c>
    </row>
    <row r="551" spans="1:31" ht="24.95" customHeight="1" x14ac:dyDescent="0.2">
      <c r="A551" s="144">
        <v>1173</v>
      </c>
      <c r="B551" s="145" t="s">
        <v>2805</v>
      </c>
      <c r="C551" s="146" t="s">
        <v>2256</v>
      </c>
      <c r="D551" s="146" t="s">
        <v>2740</v>
      </c>
      <c r="E551" s="147" t="s">
        <v>2184</v>
      </c>
      <c r="F551" s="148">
        <v>1650</v>
      </c>
      <c r="G551" s="149">
        <v>1865</v>
      </c>
      <c r="H551" s="149">
        <v>35</v>
      </c>
      <c r="I551" s="196"/>
      <c r="J551" s="149">
        <v>1650</v>
      </c>
      <c r="K551" s="149">
        <v>1865</v>
      </c>
      <c r="L551" s="149">
        <v>37</v>
      </c>
      <c r="M551" s="149">
        <v>1971</v>
      </c>
      <c r="N551" s="149">
        <v>2</v>
      </c>
      <c r="O551" s="149">
        <v>2180</v>
      </c>
      <c r="P551" s="224"/>
      <c r="Q551" s="224"/>
      <c r="R551" s="224"/>
      <c r="S551" s="224"/>
      <c r="T551" s="224"/>
      <c r="U551" s="224"/>
      <c r="V551" s="224"/>
      <c r="W551" s="224"/>
      <c r="X551" s="224"/>
      <c r="Y551" s="224"/>
      <c r="Z551" s="224"/>
      <c r="AA551" s="224"/>
      <c r="AB551" s="224"/>
      <c r="AC551" s="224"/>
      <c r="AD551" s="143" t="s">
        <v>2185</v>
      </c>
      <c r="AE551" s="143" t="s">
        <v>2254</v>
      </c>
    </row>
    <row r="552" spans="1:31" ht="24.95" customHeight="1" x14ac:dyDescent="0.2">
      <c r="A552" s="144">
        <v>1713</v>
      </c>
      <c r="B552" s="145" t="s">
        <v>2806</v>
      </c>
      <c r="C552" s="146" t="s">
        <v>2309</v>
      </c>
      <c r="D552" s="146" t="s">
        <v>2309</v>
      </c>
      <c r="E552" s="147" t="s">
        <v>2265</v>
      </c>
      <c r="F552" s="148">
        <f>60+4835</f>
        <v>4895</v>
      </c>
      <c r="G552" s="149">
        <f>1+70+220+4965+1+2+2</f>
        <v>5261</v>
      </c>
      <c r="H552" s="149">
        <v>37</v>
      </c>
      <c r="I552" s="196"/>
      <c r="J552" s="149">
        <v>0</v>
      </c>
      <c r="K552" s="149">
        <v>0</v>
      </c>
      <c r="L552" s="149">
        <v>0</v>
      </c>
      <c r="M552" s="149">
        <v>0</v>
      </c>
      <c r="N552" s="149">
        <v>0</v>
      </c>
      <c r="O552" s="149">
        <v>0</v>
      </c>
      <c r="P552" s="224"/>
      <c r="Q552" s="224"/>
      <c r="R552" s="224"/>
      <c r="S552" s="224"/>
      <c r="T552" s="224"/>
      <c r="U552" s="224"/>
      <c r="V552" s="224"/>
      <c r="W552" s="224"/>
      <c r="X552" s="224"/>
      <c r="Y552" s="224"/>
      <c r="Z552" s="224"/>
      <c r="AA552" s="224"/>
      <c r="AB552" s="224"/>
      <c r="AC552" s="224"/>
      <c r="AD552" s="143" t="s">
        <v>2347</v>
      </c>
      <c r="AE552" s="143" t="s">
        <v>2254</v>
      </c>
    </row>
    <row r="553" spans="1:31" ht="24.95" customHeight="1" x14ac:dyDescent="0.2">
      <c r="A553" s="144">
        <v>1718</v>
      </c>
      <c r="B553" s="145" t="s">
        <v>2807</v>
      </c>
      <c r="C553" s="146" t="s">
        <v>2183</v>
      </c>
      <c r="D553" s="146" t="s">
        <v>2183</v>
      </c>
      <c r="E553" s="147" t="s">
        <v>2265</v>
      </c>
      <c r="F553" s="148">
        <f>3575+2860</f>
        <v>6435</v>
      </c>
      <c r="G553" s="151">
        <f>2945+2955+1+2+8+745</f>
        <v>6656</v>
      </c>
      <c r="H553" s="149">
        <v>3496</v>
      </c>
      <c r="I553" s="196"/>
      <c r="J553" s="149">
        <v>0</v>
      </c>
      <c r="K553" s="149">
        <v>0</v>
      </c>
      <c r="L553" s="149">
        <v>0</v>
      </c>
      <c r="M553" s="149">
        <v>0</v>
      </c>
      <c r="N553" s="149">
        <v>0</v>
      </c>
      <c r="O553" s="149">
        <v>0</v>
      </c>
      <c r="P553" s="224"/>
      <c r="Q553" s="224"/>
      <c r="R553" s="224"/>
      <c r="S553" s="224"/>
      <c r="T553" s="224"/>
      <c r="U553" s="224"/>
      <c r="V553" s="224"/>
      <c r="W553" s="224"/>
      <c r="X553" s="224"/>
      <c r="Y553" s="224"/>
      <c r="Z553" s="224"/>
      <c r="AA553" s="224"/>
      <c r="AB553" s="224"/>
      <c r="AC553" s="224"/>
      <c r="AD553" s="143" t="s">
        <v>2598</v>
      </c>
      <c r="AE553" s="143" t="s">
        <v>2186</v>
      </c>
    </row>
    <row r="554" spans="1:31" ht="24.95" customHeight="1" x14ac:dyDescent="0.2">
      <c r="A554" s="144">
        <v>1728</v>
      </c>
      <c r="B554" s="145" t="s">
        <v>2808</v>
      </c>
      <c r="C554" s="146" t="s">
        <v>2194</v>
      </c>
      <c r="D554" s="146" t="s">
        <v>2194</v>
      </c>
      <c r="E554" s="147" t="s">
        <v>2265</v>
      </c>
      <c r="F554" s="148">
        <f>665+3810</f>
        <v>4475</v>
      </c>
      <c r="G554" s="148">
        <f>525+1900+4455+6+36+3+17+2+3</f>
        <v>6947</v>
      </c>
      <c r="H554" s="149">
        <v>3596</v>
      </c>
      <c r="I554" s="196"/>
      <c r="J554" s="149">
        <v>0</v>
      </c>
      <c r="K554" s="149">
        <v>0</v>
      </c>
      <c r="L554" s="149">
        <v>0</v>
      </c>
      <c r="M554" s="149">
        <v>0</v>
      </c>
      <c r="N554" s="149">
        <v>0</v>
      </c>
      <c r="O554" s="149">
        <v>0</v>
      </c>
      <c r="P554" s="224"/>
      <c r="Q554" s="224"/>
      <c r="R554" s="224"/>
      <c r="S554" s="224"/>
      <c r="T554" s="224"/>
      <c r="U554" s="224"/>
      <c r="V554" s="224"/>
      <c r="W554" s="224"/>
      <c r="X554" s="224"/>
      <c r="Y554" s="224"/>
      <c r="Z554" s="224"/>
      <c r="AA554" s="224"/>
      <c r="AB554" s="224"/>
      <c r="AC554" s="224"/>
      <c r="AD554" s="143" t="s">
        <v>2598</v>
      </c>
      <c r="AE554" s="143" t="s">
        <v>2186</v>
      </c>
    </row>
    <row r="555" spans="1:31" ht="24.95" customHeight="1" x14ac:dyDescent="0.2">
      <c r="A555" s="144">
        <v>1730</v>
      </c>
      <c r="B555" s="145" t="s">
        <v>2809</v>
      </c>
      <c r="C555" s="146" t="s">
        <v>2194</v>
      </c>
      <c r="D555" s="146" t="s">
        <v>2194</v>
      </c>
      <c r="E555" s="147" t="s">
        <v>2265</v>
      </c>
      <c r="F555" s="148">
        <f>10+675+2275</f>
        <v>2960</v>
      </c>
      <c r="G555" s="149">
        <f>55+340+2185+73+1+3</f>
        <v>2657</v>
      </c>
      <c r="H555" s="149">
        <v>11</v>
      </c>
      <c r="I555" s="196"/>
      <c r="J555" s="149">
        <v>0</v>
      </c>
      <c r="K555" s="149">
        <v>0</v>
      </c>
      <c r="L555" s="149">
        <v>0</v>
      </c>
      <c r="M555" s="149">
        <v>0</v>
      </c>
      <c r="N555" s="149">
        <v>0</v>
      </c>
      <c r="O555" s="149">
        <v>0</v>
      </c>
      <c r="P555" s="224"/>
      <c r="Q555" s="224"/>
      <c r="R555" s="224"/>
      <c r="S555" s="224"/>
      <c r="T555" s="224"/>
      <c r="U555" s="224"/>
      <c r="V555" s="224"/>
      <c r="W555" s="224"/>
      <c r="X555" s="224"/>
      <c r="Y555" s="224"/>
      <c r="Z555" s="224"/>
      <c r="AA555" s="224"/>
      <c r="AB555" s="224"/>
      <c r="AC555" s="224"/>
      <c r="AD555" s="143" t="s">
        <v>2598</v>
      </c>
      <c r="AE555" s="143" t="s">
        <v>2254</v>
      </c>
    </row>
    <row r="556" spans="1:31" ht="24.95" customHeight="1" x14ac:dyDescent="0.2">
      <c r="A556" s="144">
        <v>1774</v>
      </c>
      <c r="B556" s="145" t="s">
        <v>2810</v>
      </c>
      <c r="C556" s="146" t="s">
        <v>2183</v>
      </c>
      <c r="D556" s="146" t="s">
        <v>2811</v>
      </c>
      <c r="E556" s="147" t="s">
        <v>2265</v>
      </c>
      <c r="F556" s="148">
        <f>1295+6045</f>
        <v>7340</v>
      </c>
      <c r="G556" s="149">
        <f>450+6755+1+2+105</f>
        <v>7313</v>
      </c>
      <c r="H556" s="149">
        <v>7246</v>
      </c>
      <c r="I556" s="196"/>
      <c r="J556" s="149">
        <v>0</v>
      </c>
      <c r="K556" s="149">
        <v>0</v>
      </c>
      <c r="L556" s="149">
        <v>0</v>
      </c>
      <c r="M556" s="149">
        <v>0</v>
      </c>
      <c r="N556" s="149">
        <v>0</v>
      </c>
      <c r="O556" s="149">
        <v>0</v>
      </c>
      <c r="P556" s="224"/>
      <c r="Q556" s="224"/>
      <c r="R556" s="224"/>
      <c r="S556" s="224"/>
      <c r="T556" s="224"/>
      <c r="U556" s="224"/>
      <c r="V556" s="224"/>
      <c r="W556" s="224"/>
      <c r="X556" s="224"/>
      <c r="Y556" s="224"/>
      <c r="Z556" s="224"/>
      <c r="AA556" s="224"/>
      <c r="AB556" s="224"/>
      <c r="AC556" s="224"/>
      <c r="AD556" s="143" t="s">
        <v>2517</v>
      </c>
      <c r="AE556" s="143" t="s">
        <v>2186</v>
      </c>
    </row>
    <row r="557" spans="1:31" ht="24.95" customHeight="1" x14ac:dyDescent="0.2">
      <c r="A557" s="144">
        <v>1775</v>
      </c>
      <c r="B557" s="145" t="s">
        <v>2812</v>
      </c>
      <c r="C557" s="146" t="s">
        <v>2183</v>
      </c>
      <c r="D557" s="146" t="s">
        <v>2237</v>
      </c>
      <c r="E557" s="147" t="s">
        <v>2265</v>
      </c>
      <c r="F557" s="148">
        <f>935+1265</f>
        <v>2200</v>
      </c>
      <c r="G557" s="149">
        <f>430+2120</f>
        <v>2550</v>
      </c>
      <c r="H557" s="149">
        <v>16</v>
      </c>
      <c r="I557" s="196"/>
      <c r="J557" s="149">
        <v>1902</v>
      </c>
      <c r="K557" s="149">
        <v>2195</v>
      </c>
      <c r="L557" s="149">
        <v>17</v>
      </c>
      <c r="M557" s="149">
        <v>1284</v>
      </c>
      <c r="N557" s="149">
        <v>1</v>
      </c>
      <c r="O557" s="149">
        <v>1287</v>
      </c>
      <c r="P557" s="224"/>
      <c r="Q557" s="224"/>
      <c r="R557" s="224"/>
      <c r="S557" s="224"/>
      <c r="T557" s="224"/>
      <c r="U557" s="224"/>
      <c r="V557" s="224"/>
      <c r="W557" s="224"/>
      <c r="X557" s="224"/>
      <c r="Y557" s="224"/>
      <c r="Z557" s="224"/>
      <c r="AA557" s="224"/>
      <c r="AB557" s="224"/>
      <c r="AC557" s="224"/>
      <c r="AD557" s="143" t="s">
        <v>2185</v>
      </c>
      <c r="AE557" s="143" t="s">
        <v>2254</v>
      </c>
    </row>
    <row r="558" spans="1:31" ht="24.95" customHeight="1" x14ac:dyDescent="0.2">
      <c r="A558" s="144">
        <v>1777</v>
      </c>
      <c r="B558" s="145" t="s">
        <v>2813</v>
      </c>
      <c r="C558" s="146" t="s">
        <v>2183</v>
      </c>
      <c r="D558" s="146" t="s">
        <v>2546</v>
      </c>
      <c r="E558" s="147" t="s">
        <v>2265</v>
      </c>
      <c r="F558" s="148">
        <v>2680</v>
      </c>
      <c r="G558" s="149">
        <f>55+990+1045+1+265</f>
        <v>2356</v>
      </c>
      <c r="H558" s="149">
        <f>218+2352</f>
        <v>2570</v>
      </c>
      <c r="I558" s="196"/>
      <c r="J558" s="149">
        <v>0</v>
      </c>
      <c r="K558" s="149">
        <v>0</v>
      </c>
      <c r="L558" s="149">
        <v>0</v>
      </c>
      <c r="M558" s="149">
        <v>0</v>
      </c>
      <c r="N558" s="149">
        <v>0</v>
      </c>
      <c r="O558" s="149">
        <v>0</v>
      </c>
      <c r="P558" s="224"/>
      <c r="Q558" s="224"/>
      <c r="R558" s="224"/>
      <c r="S558" s="224"/>
      <c r="T558" s="224"/>
      <c r="U558" s="224"/>
      <c r="V558" s="224"/>
      <c r="W558" s="224"/>
      <c r="X558" s="224"/>
      <c r="Y558" s="224"/>
      <c r="Z558" s="224"/>
      <c r="AA558" s="224"/>
      <c r="AB558" s="224"/>
      <c r="AC558" s="224"/>
      <c r="AD558" s="143" t="s">
        <v>2598</v>
      </c>
      <c r="AE558" s="143" t="s">
        <v>2186</v>
      </c>
    </row>
    <row r="559" spans="1:31" ht="24.95" customHeight="1" x14ac:dyDescent="0.2">
      <c r="A559" s="144">
        <v>1768</v>
      </c>
      <c r="B559" s="145" t="s">
        <v>2814</v>
      </c>
      <c r="C559" s="146" t="s">
        <v>2183</v>
      </c>
      <c r="D559" s="146" t="s">
        <v>2183</v>
      </c>
      <c r="E559" s="147" t="s">
        <v>2564</v>
      </c>
      <c r="F559" s="148">
        <f>1575+5540</f>
        <v>7115</v>
      </c>
      <c r="G559" s="149">
        <f>300+325+480+3825+173+2+125</f>
        <v>5230</v>
      </c>
      <c r="H559" s="149">
        <v>108</v>
      </c>
      <c r="I559" s="196"/>
      <c r="J559" s="149">
        <v>0</v>
      </c>
      <c r="K559" s="149">
        <v>0</v>
      </c>
      <c r="L559" s="149">
        <v>0</v>
      </c>
      <c r="M559" s="149">
        <v>0</v>
      </c>
      <c r="N559" s="149">
        <v>0</v>
      </c>
      <c r="O559" s="149">
        <v>0</v>
      </c>
      <c r="P559" s="224"/>
      <c r="Q559" s="224"/>
      <c r="R559" s="224"/>
      <c r="S559" s="224"/>
      <c r="T559" s="224"/>
      <c r="U559" s="224"/>
      <c r="V559" s="224"/>
      <c r="W559" s="224"/>
      <c r="X559" s="224"/>
      <c r="Y559" s="224"/>
      <c r="Z559" s="224"/>
      <c r="AA559" s="224"/>
      <c r="AB559" s="224"/>
      <c r="AC559" s="224"/>
      <c r="AD559" s="143" t="s">
        <v>2347</v>
      </c>
      <c r="AE559" s="143" t="s">
        <v>2254</v>
      </c>
    </row>
    <row r="560" spans="1:31" ht="24.95" customHeight="1" x14ac:dyDescent="0.2">
      <c r="A560" s="144">
        <v>1769</v>
      </c>
      <c r="B560" s="145" t="s">
        <v>2815</v>
      </c>
      <c r="C560" s="146" t="s">
        <v>2183</v>
      </c>
      <c r="D560" s="146" t="s">
        <v>2183</v>
      </c>
      <c r="E560" s="147" t="s">
        <v>2265</v>
      </c>
      <c r="F560" s="148">
        <f>565+965</f>
        <v>1530</v>
      </c>
      <c r="G560" s="149">
        <f>810+2+2708+3</f>
        <v>3523</v>
      </c>
      <c r="H560" s="149">
        <v>27</v>
      </c>
      <c r="I560" s="196"/>
      <c r="J560" s="149">
        <v>0</v>
      </c>
      <c r="K560" s="149">
        <v>0</v>
      </c>
      <c r="L560" s="149">
        <v>0</v>
      </c>
      <c r="M560" s="149">
        <v>0</v>
      </c>
      <c r="N560" s="149">
        <v>0</v>
      </c>
      <c r="O560" s="149">
        <v>0</v>
      </c>
      <c r="P560" s="224"/>
      <c r="Q560" s="224"/>
      <c r="R560" s="224"/>
      <c r="S560" s="224"/>
      <c r="T560" s="224"/>
      <c r="U560" s="224"/>
      <c r="V560" s="224"/>
      <c r="W560" s="224"/>
      <c r="X560" s="224"/>
      <c r="Y560" s="224"/>
      <c r="Z560" s="224"/>
      <c r="AA560" s="224"/>
      <c r="AB560" s="224"/>
      <c r="AC560" s="224"/>
      <c r="AD560" s="143" t="s">
        <v>2347</v>
      </c>
      <c r="AE560" s="143" t="s">
        <v>2254</v>
      </c>
    </row>
    <row r="561" spans="1:31" ht="24.95" customHeight="1" x14ac:dyDescent="0.2">
      <c r="A561" s="144">
        <v>1771</v>
      </c>
      <c r="B561" s="145" t="s">
        <v>2816</v>
      </c>
      <c r="C561" s="146" t="s">
        <v>2183</v>
      </c>
      <c r="D561" s="146" t="s">
        <v>2183</v>
      </c>
      <c r="E561" s="147" t="s">
        <v>2265</v>
      </c>
      <c r="F561" s="148">
        <v>3725</v>
      </c>
      <c r="G561" s="149">
        <f>100+1130+3010+2+25</f>
        <v>4267</v>
      </c>
      <c r="H561" s="149">
        <f>509+1521</f>
        <v>2030</v>
      </c>
      <c r="I561" s="196"/>
      <c r="J561" s="149">
        <v>0</v>
      </c>
      <c r="K561" s="149">
        <v>0</v>
      </c>
      <c r="L561" s="149">
        <v>0</v>
      </c>
      <c r="M561" s="149">
        <v>0</v>
      </c>
      <c r="N561" s="149">
        <v>0</v>
      </c>
      <c r="O561" s="149">
        <v>0</v>
      </c>
      <c r="P561" s="224"/>
      <c r="Q561" s="224"/>
      <c r="R561" s="224"/>
      <c r="S561" s="224"/>
      <c r="T561" s="224"/>
      <c r="U561" s="224"/>
      <c r="V561" s="224"/>
      <c r="W561" s="224"/>
      <c r="X561" s="224"/>
      <c r="Y561" s="224"/>
      <c r="Z561" s="224"/>
      <c r="AA561" s="224"/>
      <c r="AB561" s="224"/>
      <c r="AC561" s="224"/>
      <c r="AD561" s="143" t="s">
        <v>2598</v>
      </c>
      <c r="AE561" s="143" t="s">
        <v>2186</v>
      </c>
    </row>
    <row r="562" spans="1:31" ht="24.95" customHeight="1" x14ac:dyDescent="0.2">
      <c r="A562" s="144">
        <v>1780</v>
      </c>
      <c r="B562" s="145" t="s">
        <v>2817</v>
      </c>
      <c r="C562" s="146" t="s">
        <v>2194</v>
      </c>
      <c r="D562" s="146" t="s">
        <v>2195</v>
      </c>
      <c r="E562" s="147" t="s">
        <v>2265</v>
      </c>
      <c r="F562" s="148">
        <v>9325</v>
      </c>
      <c r="G562" s="149">
        <f>7835+1+1762</f>
        <v>9598</v>
      </c>
      <c r="H562" s="149">
        <v>4762</v>
      </c>
      <c r="I562" s="196"/>
      <c r="J562" s="149">
        <v>0</v>
      </c>
      <c r="K562" s="149">
        <v>0</v>
      </c>
      <c r="L562" s="149">
        <v>0</v>
      </c>
      <c r="M562" s="149">
        <v>0</v>
      </c>
      <c r="N562" s="149">
        <v>0</v>
      </c>
      <c r="O562" s="149">
        <v>0</v>
      </c>
      <c r="P562" s="224"/>
      <c r="Q562" s="224"/>
      <c r="R562" s="224"/>
      <c r="S562" s="224"/>
      <c r="T562" s="224"/>
      <c r="U562" s="224"/>
      <c r="V562" s="224"/>
      <c r="W562" s="224"/>
      <c r="X562" s="224"/>
      <c r="Y562" s="224"/>
      <c r="Z562" s="224"/>
      <c r="AA562" s="224"/>
      <c r="AB562" s="224"/>
      <c r="AC562" s="224"/>
      <c r="AD562" s="143" t="s">
        <v>2517</v>
      </c>
      <c r="AE562" s="143" t="s">
        <v>2186</v>
      </c>
    </row>
    <row r="563" spans="1:31" ht="24.95" customHeight="1" x14ac:dyDescent="0.2">
      <c r="A563" s="144">
        <v>1781</v>
      </c>
      <c r="B563" s="145" t="s">
        <v>2818</v>
      </c>
      <c r="C563" s="146" t="s">
        <v>2194</v>
      </c>
      <c r="D563" s="146" t="s">
        <v>2752</v>
      </c>
      <c r="E563" s="147" t="s">
        <v>2265</v>
      </c>
      <c r="F563" s="148">
        <f>265+5250</f>
        <v>5515</v>
      </c>
      <c r="G563" s="149">
        <f>1780+2185+3+2+2</f>
        <v>3972</v>
      </c>
      <c r="H563" s="149">
        <f>13+17</f>
        <v>30</v>
      </c>
      <c r="I563" s="196"/>
      <c r="J563" s="149">
        <v>0</v>
      </c>
      <c r="K563" s="149">
        <v>0</v>
      </c>
      <c r="L563" s="149">
        <v>0</v>
      </c>
      <c r="M563" s="149">
        <v>0</v>
      </c>
      <c r="N563" s="149">
        <v>0</v>
      </c>
      <c r="O563" s="149">
        <v>0</v>
      </c>
      <c r="P563" s="224"/>
      <c r="Q563" s="224"/>
      <c r="R563" s="224"/>
      <c r="S563" s="224"/>
      <c r="T563" s="224"/>
      <c r="U563" s="224"/>
      <c r="V563" s="224"/>
      <c r="W563" s="224"/>
      <c r="X563" s="224"/>
      <c r="Y563" s="224"/>
      <c r="Z563" s="224"/>
      <c r="AA563" s="224"/>
      <c r="AB563" s="224"/>
      <c r="AC563" s="224"/>
      <c r="AD563" s="143" t="s">
        <v>2347</v>
      </c>
      <c r="AE563" s="143" t="s">
        <v>2254</v>
      </c>
    </row>
    <row r="564" spans="1:31" ht="24.95" customHeight="1" x14ac:dyDescent="0.2">
      <c r="A564" s="144">
        <v>1784</v>
      </c>
      <c r="B564" s="145" t="s">
        <v>2819</v>
      </c>
      <c r="C564" s="146" t="s">
        <v>2258</v>
      </c>
      <c r="D564" s="146" t="s">
        <v>2258</v>
      </c>
      <c r="E564" s="147" t="s">
        <v>2265</v>
      </c>
      <c r="F564" s="148">
        <v>2445</v>
      </c>
      <c r="G564" s="149">
        <f>120+180+330+1120+1175+26</f>
        <v>2951</v>
      </c>
      <c r="H564" s="149">
        <v>3825</v>
      </c>
      <c r="I564" s="196"/>
      <c r="J564" s="149">
        <v>0</v>
      </c>
      <c r="K564" s="149">
        <v>0</v>
      </c>
      <c r="L564" s="149">
        <v>0</v>
      </c>
      <c r="M564" s="149">
        <v>0</v>
      </c>
      <c r="N564" s="149">
        <v>0</v>
      </c>
      <c r="O564" s="149">
        <v>0</v>
      </c>
      <c r="P564" s="224"/>
      <c r="Q564" s="224"/>
      <c r="R564" s="224"/>
      <c r="S564" s="224"/>
      <c r="T564" s="224"/>
      <c r="U564" s="224"/>
      <c r="V564" s="224"/>
      <c r="W564" s="224"/>
      <c r="X564" s="224"/>
      <c r="Y564" s="224"/>
      <c r="Z564" s="224"/>
      <c r="AA564" s="224"/>
      <c r="AB564" s="224"/>
      <c r="AC564" s="224"/>
      <c r="AD564" s="143" t="s">
        <v>2517</v>
      </c>
      <c r="AE564" s="143" t="s">
        <v>2186</v>
      </c>
    </row>
    <row r="565" spans="1:31" ht="24.95" customHeight="1" x14ac:dyDescent="0.2">
      <c r="A565" s="144">
        <v>1785</v>
      </c>
      <c r="B565" s="145" t="s">
        <v>2820</v>
      </c>
      <c r="C565" s="146" t="s">
        <v>2258</v>
      </c>
      <c r="D565" s="146" t="s">
        <v>2258</v>
      </c>
      <c r="E565" s="147" t="s">
        <v>2265</v>
      </c>
      <c r="F565" s="148">
        <v>7100</v>
      </c>
      <c r="G565" s="149">
        <f>270+805+945+2410+2310</f>
        <v>6740</v>
      </c>
      <c r="H565" s="149">
        <v>84</v>
      </c>
      <c r="I565" s="196"/>
      <c r="J565" s="149">
        <v>7118</v>
      </c>
      <c r="K565" s="149">
        <v>5936</v>
      </c>
      <c r="L565" s="149">
        <v>83</v>
      </c>
      <c r="M565" s="149">
        <v>3904</v>
      </c>
      <c r="N565" s="149">
        <v>0</v>
      </c>
      <c r="O565" s="149">
        <v>4459</v>
      </c>
      <c r="P565" s="224"/>
      <c r="Q565" s="224"/>
      <c r="R565" s="224"/>
      <c r="S565" s="224"/>
      <c r="T565" s="224"/>
      <c r="U565" s="224"/>
      <c r="V565" s="224"/>
      <c r="W565" s="224"/>
      <c r="X565" s="224"/>
      <c r="Y565" s="224"/>
      <c r="Z565" s="224"/>
      <c r="AA565" s="224"/>
      <c r="AB565" s="224"/>
      <c r="AC565" s="224"/>
      <c r="AD565" s="143" t="s">
        <v>2185</v>
      </c>
      <c r="AE565" s="143" t="s">
        <v>2254</v>
      </c>
    </row>
    <row r="566" spans="1:31" ht="24.95" customHeight="1" x14ac:dyDescent="0.2">
      <c r="A566" s="144">
        <v>1788</v>
      </c>
      <c r="B566" s="145" t="s">
        <v>2821</v>
      </c>
      <c r="C566" s="146" t="s">
        <v>2258</v>
      </c>
      <c r="D566" s="146" t="s">
        <v>2258</v>
      </c>
      <c r="E566" s="147" t="s">
        <v>2265</v>
      </c>
      <c r="F566" s="148">
        <v>7475</v>
      </c>
      <c r="G566" s="149">
        <f>55+85+365+410+1745+1805+1131+1638+2</f>
        <v>7236</v>
      </c>
      <c r="H566" s="149">
        <f>38+7</f>
        <v>45</v>
      </c>
      <c r="I566" s="196"/>
      <c r="J566" s="149">
        <v>0</v>
      </c>
      <c r="K566" s="149">
        <v>0</v>
      </c>
      <c r="L566" s="149">
        <v>0</v>
      </c>
      <c r="M566" s="149">
        <v>0</v>
      </c>
      <c r="N566" s="149">
        <v>0</v>
      </c>
      <c r="O566" s="149">
        <v>0</v>
      </c>
      <c r="P566" s="224"/>
      <c r="Q566" s="224"/>
      <c r="R566" s="224"/>
      <c r="S566" s="224"/>
      <c r="T566" s="224"/>
      <c r="U566" s="224"/>
      <c r="V566" s="224"/>
      <c r="W566" s="224"/>
      <c r="X566" s="224"/>
      <c r="Y566" s="224"/>
      <c r="Z566" s="224"/>
      <c r="AA566" s="224"/>
      <c r="AB566" s="224"/>
      <c r="AC566" s="224"/>
      <c r="AD566" s="143" t="s">
        <v>2598</v>
      </c>
      <c r="AE566" s="143" t="s">
        <v>2186</v>
      </c>
    </row>
    <row r="567" spans="1:31" ht="24.95" customHeight="1" x14ac:dyDescent="0.2">
      <c r="A567" s="144">
        <v>1802</v>
      </c>
      <c r="B567" s="145" t="s">
        <v>2822</v>
      </c>
      <c r="C567" s="146" t="s">
        <v>2215</v>
      </c>
      <c r="D567" s="146" t="s">
        <v>2823</v>
      </c>
      <c r="E567" s="147" t="s">
        <v>2265</v>
      </c>
      <c r="F567" s="148">
        <v>4325</v>
      </c>
      <c r="G567" s="149">
        <v>4560</v>
      </c>
      <c r="H567" s="149">
        <v>55</v>
      </c>
      <c r="I567" s="196"/>
      <c r="J567" s="149">
        <v>4375</v>
      </c>
      <c r="K567" s="149">
        <v>4320</v>
      </c>
      <c r="L567" s="149">
        <v>56</v>
      </c>
      <c r="M567" s="149">
        <v>3229</v>
      </c>
      <c r="N567" s="149">
        <v>2</v>
      </c>
      <c r="O567" s="149">
        <v>3424</v>
      </c>
      <c r="P567" s="224"/>
      <c r="Q567" s="224"/>
      <c r="R567" s="224"/>
      <c r="S567" s="224"/>
      <c r="T567" s="224"/>
      <c r="U567" s="224"/>
      <c r="V567" s="224"/>
      <c r="W567" s="224"/>
      <c r="X567" s="224"/>
      <c r="Y567" s="224"/>
      <c r="Z567" s="224"/>
      <c r="AA567" s="224"/>
      <c r="AB567" s="224"/>
      <c r="AC567" s="224"/>
      <c r="AD567" s="143" t="s">
        <v>2185</v>
      </c>
      <c r="AE567" s="143" t="s">
        <v>2254</v>
      </c>
    </row>
    <row r="568" spans="1:31" ht="24.95" customHeight="1" x14ac:dyDescent="0.2">
      <c r="A568" s="144">
        <v>1805</v>
      </c>
      <c r="B568" s="145" t="s">
        <v>2824</v>
      </c>
      <c r="C568" s="146" t="s">
        <v>2215</v>
      </c>
      <c r="D568" s="146" t="s">
        <v>2215</v>
      </c>
      <c r="E568" s="147" t="s">
        <v>2265</v>
      </c>
      <c r="F568" s="148">
        <v>5180</v>
      </c>
      <c r="G568" s="149">
        <f>4920+137+3</f>
        <v>5060</v>
      </c>
      <c r="H568" s="149">
        <v>71</v>
      </c>
      <c r="I568" s="196"/>
      <c r="J568" s="149">
        <v>0</v>
      </c>
      <c r="K568" s="149">
        <v>0</v>
      </c>
      <c r="L568" s="149">
        <v>0</v>
      </c>
      <c r="M568" s="149">
        <v>0</v>
      </c>
      <c r="N568" s="149">
        <v>0</v>
      </c>
      <c r="O568" s="149">
        <v>0</v>
      </c>
      <c r="P568" s="224"/>
      <c r="Q568" s="224"/>
      <c r="R568" s="224"/>
      <c r="S568" s="224"/>
      <c r="T568" s="224"/>
      <c r="U568" s="224"/>
      <c r="V568" s="224"/>
      <c r="W568" s="224"/>
      <c r="X568" s="224"/>
      <c r="Y568" s="224"/>
      <c r="Z568" s="224"/>
      <c r="AA568" s="224"/>
      <c r="AB568" s="224"/>
      <c r="AC568" s="224"/>
      <c r="AD568" s="143" t="s">
        <v>2598</v>
      </c>
      <c r="AE568" s="143" t="s">
        <v>2186</v>
      </c>
    </row>
    <row r="569" spans="1:31" ht="24.95" customHeight="1" x14ac:dyDescent="0.2">
      <c r="A569" s="144">
        <v>1806</v>
      </c>
      <c r="B569" s="145" t="s">
        <v>2825</v>
      </c>
      <c r="C569" s="146" t="s">
        <v>2215</v>
      </c>
      <c r="D569" s="146" t="s">
        <v>2215</v>
      </c>
      <c r="E569" s="147" t="s">
        <v>2265</v>
      </c>
      <c r="F569" s="148">
        <f>535+2725</f>
        <v>3260</v>
      </c>
      <c r="G569" s="149">
        <f>335+3540+1+1+56+26+6</f>
        <v>3965</v>
      </c>
      <c r="H569" s="149">
        <v>2184</v>
      </c>
      <c r="I569" s="196"/>
      <c r="J569" s="149">
        <v>0</v>
      </c>
      <c r="K569" s="149">
        <v>0</v>
      </c>
      <c r="L569" s="149">
        <v>0</v>
      </c>
      <c r="M569" s="149">
        <v>0</v>
      </c>
      <c r="N569" s="149">
        <v>0</v>
      </c>
      <c r="O569" s="149">
        <v>0</v>
      </c>
      <c r="P569" s="224"/>
      <c r="Q569" s="224"/>
      <c r="R569" s="224"/>
      <c r="S569" s="224"/>
      <c r="T569" s="224"/>
      <c r="U569" s="224"/>
      <c r="V569" s="224"/>
      <c r="W569" s="224"/>
      <c r="X569" s="224"/>
      <c r="Y569" s="224"/>
      <c r="Z569" s="224"/>
      <c r="AA569" s="224"/>
      <c r="AB569" s="224"/>
      <c r="AC569" s="224"/>
      <c r="AD569" s="143" t="s">
        <v>2598</v>
      </c>
      <c r="AE569" s="143" t="s">
        <v>2186</v>
      </c>
    </row>
    <row r="570" spans="1:31" ht="24.95" customHeight="1" x14ac:dyDescent="0.2">
      <c r="A570" s="144">
        <v>1813</v>
      </c>
      <c r="B570" s="145" t="s">
        <v>2826</v>
      </c>
      <c r="C570" s="146" t="s">
        <v>2215</v>
      </c>
      <c r="D570" s="146" t="s">
        <v>2215</v>
      </c>
      <c r="E570" s="147" t="s">
        <v>2265</v>
      </c>
      <c r="F570" s="148">
        <v>2210</v>
      </c>
      <c r="G570" s="149">
        <f>1813+3</f>
        <v>1816</v>
      </c>
      <c r="H570" s="149">
        <v>1570</v>
      </c>
      <c r="I570" s="196"/>
      <c r="J570" s="149">
        <v>0</v>
      </c>
      <c r="K570" s="149">
        <v>0</v>
      </c>
      <c r="L570" s="149">
        <v>0</v>
      </c>
      <c r="M570" s="149">
        <v>0</v>
      </c>
      <c r="N570" s="149">
        <v>0</v>
      </c>
      <c r="O570" s="149">
        <v>0</v>
      </c>
      <c r="P570" s="224"/>
      <c r="Q570" s="224"/>
      <c r="R570" s="224"/>
      <c r="S570" s="224"/>
      <c r="T570" s="224"/>
      <c r="U570" s="224"/>
      <c r="V570" s="224"/>
      <c r="W570" s="224"/>
      <c r="X570" s="224"/>
      <c r="Y570" s="224"/>
      <c r="Z570" s="224"/>
      <c r="AA570" s="224"/>
      <c r="AB570" s="224"/>
      <c r="AC570" s="224"/>
      <c r="AD570" s="143" t="s">
        <v>2598</v>
      </c>
      <c r="AE570" s="143" t="s">
        <v>2186</v>
      </c>
    </row>
    <row r="571" spans="1:31" ht="24.95" customHeight="1" x14ac:dyDescent="0.2">
      <c r="A571" s="144">
        <v>1844</v>
      </c>
      <c r="B571" s="145" t="s">
        <v>2827</v>
      </c>
      <c r="C571" s="146" t="s">
        <v>2471</v>
      </c>
      <c r="D571" s="146" t="s">
        <v>2471</v>
      </c>
      <c r="E571" s="147" t="s">
        <v>2265</v>
      </c>
      <c r="F571" s="148">
        <f>7672-2535-2</f>
        <v>5135</v>
      </c>
      <c r="G571" s="149">
        <v>4905</v>
      </c>
      <c r="H571" s="149">
        <v>39</v>
      </c>
      <c r="I571" s="196"/>
      <c r="J571" s="149">
        <v>4883</v>
      </c>
      <c r="K571" s="149">
        <v>4905</v>
      </c>
      <c r="L571" s="149">
        <v>37</v>
      </c>
      <c r="M571" s="149">
        <v>2092</v>
      </c>
      <c r="N571" s="149">
        <v>2</v>
      </c>
      <c r="O571" s="149">
        <v>2167</v>
      </c>
      <c r="P571" s="224"/>
      <c r="Q571" s="224"/>
      <c r="R571" s="224"/>
      <c r="S571" s="224"/>
      <c r="T571" s="224"/>
      <c r="U571" s="224"/>
      <c r="V571" s="224"/>
      <c r="W571" s="224"/>
      <c r="X571" s="224"/>
      <c r="Y571" s="224"/>
      <c r="Z571" s="224"/>
      <c r="AA571" s="224"/>
      <c r="AB571" s="224"/>
      <c r="AC571" s="224"/>
      <c r="AD571" s="143" t="s">
        <v>2185</v>
      </c>
      <c r="AE571" s="143" t="s">
        <v>2254</v>
      </c>
    </row>
    <row r="572" spans="1:31" ht="24.95" customHeight="1" x14ac:dyDescent="0.2">
      <c r="A572" s="144">
        <v>1870</v>
      </c>
      <c r="B572" s="145" t="s">
        <v>2828</v>
      </c>
      <c r="C572" s="146" t="s">
        <v>2256</v>
      </c>
      <c r="D572" s="146" t="s">
        <v>2436</v>
      </c>
      <c r="E572" s="147" t="s">
        <v>2265</v>
      </c>
      <c r="F572" s="148">
        <f>45+8175</f>
        <v>8220</v>
      </c>
      <c r="G572" s="149">
        <f>50+8080+80</f>
        <v>8210</v>
      </c>
      <c r="H572" s="149">
        <v>4</v>
      </c>
      <c r="I572" s="196"/>
      <c r="J572" s="149">
        <v>8961</v>
      </c>
      <c r="K572" s="149">
        <v>8995</v>
      </c>
      <c r="L572" s="149">
        <v>3</v>
      </c>
      <c r="M572" s="149">
        <v>374</v>
      </c>
      <c r="N572" s="149">
        <v>0</v>
      </c>
      <c r="O572" s="149">
        <v>178</v>
      </c>
      <c r="P572" s="224"/>
      <c r="Q572" s="224"/>
      <c r="R572" s="224"/>
      <c r="S572" s="224"/>
      <c r="T572" s="224"/>
      <c r="U572" s="224"/>
      <c r="V572" s="224"/>
      <c r="W572" s="224"/>
      <c r="X572" s="224"/>
      <c r="Y572" s="224"/>
      <c r="Z572" s="224"/>
      <c r="AA572" s="224"/>
      <c r="AB572" s="224"/>
      <c r="AC572" s="224"/>
      <c r="AD572" s="143" t="s">
        <v>2185</v>
      </c>
      <c r="AE572" s="143" t="s">
        <v>2254</v>
      </c>
    </row>
    <row r="573" spans="1:31" ht="24.95" customHeight="1" x14ac:dyDescent="0.2">
      <c r="A573" s="144">
        <v>1882</v>
      </c>
      <c r="B573" s="145" t="s">
        <v>2829</v>
      </c>
      <c r="C573" s="146" t="s">
        <v>2312</v>
      </c>
      <c r="D573" s="146" t="s">
        <v>2312</v>
      </c>
      <c r="E573" s="147" t="s">
        <v>2184</v>
      </c>
      <c r="F573" s="148">
        <v>215</v>
      </c>
      <c r="G573" s="149">
        <v>100</v>
      </c>
      <c r="H573" s="149">
        <v>5</v>
      </c>
      <c r="I573" s="196"/>
      <c r="J573" s="149">
        <v>236</v>
      </c>
      <c r="K573" s="149">
        <v>245</v>
      </c>
      <c r="L573" s="149">
        <v>5</v>
      </c>
      <c r="M573" s="149">
        <v>538</v>
      </c>
      <c r="N573" s="149">
        <v>0</v>
      </c>
      <c r="O573" s="149">
        <v>526</v>
      </c>
      <c r="P573" s="224"/>
      <c r="Q573" s="224"/>
      <c r="R573" s="224"/>
      <c r="S573" s="224"/>
      <c r="T573" s="224"/>
      <c r="U573" s="224"/>
      <c r="V573" s="224"/>
      <c r="W573" s="224"/>
      <c r="X573" s="224"/>
      <c r="Y573" s="224"/>
      <c r="Z573" s="224"/>
      <c r="AA573" s="224"/>
      <c r="AB573" s="224"/>
      <c r="AC573" s="224"/>
      <c r="AD573" s="143" t="s">
        <v>2185</v>
      </c>
      <c r="AE573" s="143" t="s">
        <v>2254</v>
      </c>
    </row>
    <row r="574" spans="1:31" ht="24.95" customHeight="1" x14ac:dyDescent="0.2">
      <c r="A574" s="144">
        <v>1896</v>
      </c>
      <c r="B574" s="145" t="s">
        <v>2830</v>
      </c>
      <c r="C574" s="146" t="s">
        <v>2471</v>
      </c>
      <c r="D574" s="146" t="s">
        <v>2471</v>
      </c>
      <c r="E574" s="147" t="s">
        <v>2265</v>
      </c>
      <c r="F574" s="148">
        <v>4755</v>
      </c>
      <c r="G574" s="149">
        <v>3985</v>
      </c>
      <c r="H574" s="149">
        <v>54</v>
      </c>
      <c r="I574" s="196"/>
      <c r="J574" s="149">
        <v>4371</v>
      </c>
      <c r="K574" s="149">
        <v>3910</v>
      </c>
      <c r="L574" s="149">
        <v>46</v>
      </c>
      <c r="M574" s="149">
        <v>2952</v>
      </c>
      <c r="N574" s="149">
        <v>0</v>
      </c>
      <c r="O574" s="149">
        <v>2874</v>
      </c>
      <c r="P574" s="224"/>
      <c r="Q574" s="224"/>
      <c r="R574" s="224"/>
      <c r="S574" s="224"/>
      <c r="T574" s="224"/>
      <c r="U574" s="224"/>
      <c r="V574" s="224"/>
      <c r="W574" s="224"/>
      <c r="X574" s="224"/>
      <c r="Y574" s="224"/>
      <c r="Z574" s="224"/>
      <c r="AA574" s="224"/>
      <c r="AB574" s="224"/>
      <c r="AC574" s="224"/>
      <c r="AD574" s="143" t="s">
        <v>2185</v>
      </c>
      <c r="AE574" s="143" t="s">
        <v>2254</v>
      </c>
    </row>
    <row r="575" spans="1:31" ht="24.95" customHeight="1" x14ac:dyDescent="0.2">
      <c r="A575" s="144">
        <v>1935</v>
      </c>
      <c r="B575" s="150" t="s">
        <v>2831</v>
      </c>
      <c r="C575" s="146" t="s">
        <v>2229</v>
      </c>
      <c r="D575" s="146" t="s">
        <v>2365</v>
      </c>
      <c r="E575" s="147" t="s">
        <v>2223</v>
      </c>
      <c r="F575" s="148">
        <v>1185</v>
      </c>
      <c r="G575" s="149">
        <v>2320</v>
      </c>
      <c r="H575" s="149">
        <v>11</v>
      </c>
      <c r="I575" s="196"/>
      <c r="J575" s="149">
        <v>1026</v>
      </c>
      <c r="K575" s="149">
        <v>2320</v>
      </c>
      <c r="L575" s="149">
        <v>8</v>
      </c>
      <c r="M575" s="149">
        <v>261</v>
      </c>
      <c r="N575" s="149">
        <v>0</v>
      </c>
      <c r="O575" s="149">
        <v>515</v>
      </c>
      <c r="P575" s="224"/>
      <c r="Q575" s="224"/>
      <c r="R575" s="224"/>
      <c r="S575" s="224"/>
      <c r="T575" s="224"/>
      <c r="U575" s="224"/>
      <c r="V575" s="224"/>
      <c r="W575" s="224"/>
      <c r="X575" s="224"/>
      <c r="Y575" s="224"/>
      <c r="Z575" s="224"/>
      <c r="AA575" s="224"/>
      <c r="AB575" s="224"/>
      <c r="AC575" s="224"/>
      <c r="AD575" s="143" t="s">
        <v>2185</v>
      </c>
      <c r="AE575" s="143" t="s">
        <v>2254</v>
      </c>
    </row>
    <row r="576" spans="1:31" ht="24.95" customHeight="1" x14ac:dyDescent="0.2">
      <c r="A576" s="144">
        <v>1957</v>
      </c>
      <c r="B576" s="145" t="s">
        <v>2832</v>
      </c>
      <c r="C576" s="146" t="s">
        <v>2183</v>
      </c>
      <c r="D576" s="146" t="s">
        <v>2183</v>
      </c>
      <c r="E576" s="147" t="s">
        <v>2265</v>
      </c>
      <c r="F576" s="148">
        <v>6247</v>
      </c>
      <c r="G576" s="149">
        <v>13125</v>
      </c>
      <c r="H576" s="149">
        <v>143</v>
      </c>
      <c r="I576" s="196"/>
      <c r="J576" s="149">
        <v>6647</v>
      </c>
      <c r="K576" s="149">
        <v>13125</v>
      </c>
      <c r="L576" s="149">
        <v>134</v>
      </c>
      <c r="M576" s="149">
        <v>9614</v>
      </c>
      <c r="N576" s="149">
        <v>20</v>
      </c>
      <c r="O576" s="149">
        <v>8771</v>
      </c>
      <c r="P576" s="224"/>
      <c r="Q576" s="224"/>
      <c r="R576" s="224"/>
      <c r="S576" s="224"/>
      <c r="T576" s="224"/>
      <c r="U576" s="224"/>
      <c r="V576" s="224"/>
      <c r="W576" s="224"/>
      <c r="X576" s="224"/>
      <c r="Y576" s="224"/>
      <c r="Z576" s="224"/>
      <c r="AA576" s="224"/>
      <c r="AB576" s="224"/>
      <c r="AC576" s="224"/>
      <c r="AD576" s="143" t="s">
        <v>2185</v>
      </c>
      <c r="AE576" s="143" t="s">
        <v>2254</v>
      </c>
    </row>
    <row r="577" spans="1:31" ht="24.95" customHeight="1" x14ac:dyDescent="0.2">
      <c r="A577" s="144">
        <v>1958</v>
      </c>
      <c r="B577" s="145" t="s">
        <v>2833</v>
      </c>
      <c r="C577" s="146" t="s">
        <v>2183</v>
      </c>
      <c r="D577" s="146" t="s">
        <v>2237</v>
      </c>
      <c r="E577" s="147" t="s">
        <v>2265</v>
      </c>
      <c r="F577" s="148">
        <v>4510</v>
      </c>
      <c r="G577" s="149">
        <v>5495</v>
      </c>
      <c r="H577" s="149">
        <v>41</v>
      </c>
      <c r="I577" s="196"/>
      <c r="J577" s="149">
        <v>4481</v>
      </c>
      <c r="K577" s="149">
        <v>5495</v>
      </c>
      <c r="L577" s="149">
        <v>38</v>
      </c>
      <c r="M577" s="149">
        <v>1700</v>
      </c>
      <c r="N577" s="149">
        <v>7</v>
      </c>
      <c r="O577" s="149">
        <v>2186</v>
      </c>
      <c r="P577" s="224"/>
      <c r="Q577" s="224"/>
      <c r="R577" s="224"/>
      <c r="S577" s="224"/>
      <c r="T577" s="224"/>
      <c r="U577" s="224"/>
      <c r="V577" s="224"/>
      <c r="W577" s="224"/>
      <c r="X577" s="224"/>
      <c r="Y577" s="224"/>
      <c r="Z577" s="224"/>
      <c r="AA577" s="224"/>
      <c r="AB577" s="224"/>
      <c r="AC577" s="224"/>
      <c r="AD577" s="143" t="s">
        <v>2185</v>
      </c>
      <c r="AE577" s="143" t="s">
        <v>2254</v>
      </c>
    </row>
    <row r="578" spans="1:31" ht="24.95" customHeight="1" x14ac:dyDescent="0.2">
      <c r="A578" s="144">
        <v>1926</v>
      </c>
      <c r="B578" s="145" t="s">
        <v>2834</v>
      </c>
      <c r="C578" s="146" t="s">
        <v>2309</v>
      </c>
      <c r="D578" s="146" t="s">
        <v>2309</v>
      </c>
      <c r="E578" s="147" t="s">
        <v>2231</v>
      </c>
      <c r="F578" s="148">
        <v>200</v>
      </c>
      <c r="G578" s="149">
        <v>150</v>
      </c>
      <c r="H578" s="149">
        <v>3</v>
      </c>
      <c r="I578" s="196"/>
      <c r="J578" s="149">
        <v>134</v>
      </c>
      <c r="K578" s="149">
        <v>139</v>
      </c>
      <c r="L578" s="149">
        <v>3</v>
      </c>
      <c r="M578" s="149">
        <v>194</v>
      </c>
      <c r="N578" s="149">
        <v>0</v>
      </c>
      <c r="O578" s="149">
        <v>240</v>
      </c>
      <c r="P578" s="224"/>
      <c r="Q578" s="224"/>
      <c r="R578" s="224"/>
      <c r="S578" s="224"/>
      <c r="T578" s="224"/>
      <c r="U578" s="224"/>
      <c r="V578" s="224"/>
      <c r="W578" s="224"/>
      <c r="X578" s="224"/>
      <c r="Y578" s="224"/>
      <c r="Z578" s="224"/>
      <c r="AA578" s="224"/>
      <c r="AB578" s="224"/>
      <c r="AC578" s="224"/>
      <c r="AD578" s="143" t="s">
        <v>2185</v>
      </c>
      <c r="AE578" s="143" t="s">
        <v>2254</v>
      </c>
    </row>
    <row r="579" spans="1:31" ht="24.95" customHeight="1" x14ac:dyDescent="0.2">
      <c r="A579" s="144">
        <v>1990</v>
      </c>
      <c r="B579" s="145" t="s">
        <v>2835</v>
      </c>
      <c r="C579" s="146" t="s">
        <v>2250</v>
      </c>
      <c r="D579" s="146" t="s">
        <v>2250</v>
      </c>
      <c r="E579" s="147" t="s">
        <v>2265</v>
      </c>
      <c r="F579" s="148">
        <f>60+2590</f>
        <v>2650</v>
      </c>
      <c r="G579" s="149">
        <f>2705+1+51+1</f>
        <v>2758</v>
      </c>
      <c r="H579" s="149">
        <v>7</v>
      </c>
      <c r="I579" s="196"/>
      <c r="J579" s="149">
        <v>0</v>
      </c>
      <c r="K579" s="149">
        <v>0</v>
      </c>
      <c r="L579" s="149">
        <v>0</v>
      </c>
      <c r="M579" s="149">
        <v>0</v>
      </c>
      <c r="N579" s="149">
        <v>0</v>
      </c>
      <c r="O579" s="149">
        <v>0</v>
      </c>
      <c r="P579" s="224"/>
      <c r="Q579" s="224"/>
      <c r="R579" s="224"/>
      <c r="S579" s="224"/>
      <c r="T579" s="224"/>
      <c r="U579" s="224"/>
      <c r="V579" s="224"/>
      <c r="W579" s="224"/>
      <c r="X579" s="224"/>
      <c r="Y579" s="224"/>
      <c r="Z579" s="224"/>
      <c r="AA579" s="224"/>
      <c r="AB579" s="224"/>
      <c r="AC579" s="224"/>
      <c r="AD579" s="143" t="s">
        <v>2347</v>
      </c>
      <c r="AE579" s="143" t="s">
        <v>2254</v>
      </c>
    </row>
    <row r="580" spans="1:31" ht="24.95" customHeight="1" x14ac:dyDescent="0.2">
      <c r="A580" s="144">
        <v>2019</v>
      </c>
      <c r="B580" s="145" t="s">
        <v>2836</v>
      </c>
      <c r="C580" s="146" t="s">
        <v>2258</v>
      </c>
      <c r="D580" s="146" t="s">
        <v>2258</v>
      </c>
      <c r="E580" s="147" t="s">
        <v>2564</v>
      </c>
      <c r="F580" s="148">
        <f>3570+1990</f>
        <v>5560</v>
      </c>
      <c r="G580" s="149">
        <f>820+1620+2470+96+587+1</f>
        <v>5594</v>
      </c>
      <c r="H580" s="149">
        <v>83</v>
      </c>
      <c r="I580" s="196"/>
      <c r="J580" s="149">
        <v>0</v>
      </c>
      <c r="K580" s="149">
        <v>0</v>
      </c>
      <c r="L580" s="149">
        <v>0</v>
      </c>
      <c r="M580" s="149">
        <v>0</v>
      </c>
      <c r="N580" s="149">
        <v>0</v>
      </c>
      <c r="O580" s="149">
        <v>0</v>
      </c>
      <c r="P580" s="224"/>
      <c r="Q580" s="224"/>
      <c r="R580" s="224"/>
      <c r="S580" s="224"/>
      <c r="T580" s="224"/>
      <c r="U580" s="224"/>
      <c r="V580" s="224"/>
      <c r="W580" s="224"/>
      <c r="X580" s="224"/>
      <c r="Y580" s="224"/>
      <c r="Z580" s="224"/>
      <c r="AA580" s="224"/>
      <c r="AB580" s="224"/>
      <c r="AC580" s="224"/>
      <c r="AD580" s="143" t="s">
        <v>2347</v>
      </c>
      <c r="AE580" s="143" t="s">
        <v>2254</v>
      </c>
    </row>
    <row r="581" spans="1:31" ht="24.95" customHeight="1" x14ac:dyDescent="0.2">
      <c r="A581" s="144">
        <v>2024</v>
      </c>
      <c r="B581" s="145" t="s">
        <v>2837</v>
      </c>
      <c r="C581" s="146" t="s">
        <v>2194</v>
      </c>
      <c r="D581" s="146" t="s">
        <v>2197</v>
      </c>
      <c r="E581" s="147" t="s">
        <v>2265</v>
      </c>
      <c r="F581" s="148">
        <f>90+7460+5910</f>
        <v>13460</v>
      </c>
      <c r="G581" s="149">
        <f>20+370+1055+4840+1+1+462+4548+4</f>
        <v>11301</v>
      </c>
      <c r="H581" s="149">
        <f>48+67</f>
        <v>115</v>
      </c>
      <c r="I581" s="196"/>
      <c r="J581" s="149">
        <v>0</v>
      </c>
      <c r="K581" s="149">
        <v>0</v>
      </c>
      <c r="L581" s="149">
        <v>0</v>
      </c>
      <c r="M581" s="149">
        <v>0</v>
      </c>
      <c r="N581" s="149">
        <v>0</v>
      </c>
      <c r="O581" s="149">
        <v>0</v>
      </c>
      <c r="P581" s="224"/>
      <c r="Q581" s="224"/>
      <c r="R581" s="224"/>
      <c r="S581" s="224"/>
      <c r="T581" s="224"/>
      <c r="U581" s="224"/>
      <c r="V581" s="224"/>
      <c r="W581" s="224"/>
      <c r="X581" s="224"/>
      <c r="Y581" s="224"/>
      <c r="Z581" s="224"/>
      <c r="AA581" s="224"/>
      <c r="AB581" s="224"/>
      <c r="AC581" s="224"/>
      <c r="AD581" s="143" t="s">
        <v>2347</v>
      </c>
      <c r="AE581" s="143" t="s">
        <v>2254</v>
      </c>
    </row>
    <row r="582" spans="1:31" ht="24.95" customHeight="1" x14ac:dyDescent="0.2">
      <c r="A582" s="144">
        <v>2050</v>
      </c>
      <c r="B582" s="145" t="s">
        <v>2838</v>
      </c>
      <c r="C582" s="146" t="s">
        <v>2229</v>
      </c>
      <c r="D582" s="146" t="s">
        <v>2230</v>
      </c>
      <c r="E582" s="147" t="s">
        <v>2265</v>
      </c>
      <c r="F582" s="148">
        <f>1495+2195+2585</f>
        <v>6275</v>
      </c>
      <c r="G582" s="149">
        <f>11773-2405-2340-73</f>
        <v>6955</v>
      </c>
      <c r="H582" s="149">
        <v>73</v>
      </c>
      <c r="I582" s="196"/>
      <c r="J582" s="149">
        <v>6269</v>
      </c>
      <c r="K582" s="149">
        <v>6955</v>
      </c>
      <c r="L582" s="149">
        <v>53</v>
      </c>
      <c r="M582" s="149">
        <v>4678</v>
      </c>
      <c r="N582" s="149">
        <v>2</v>
      </c>
      <c r="O582" s="149">
        <v>3754</v>
      </c>
      <c r="P582" s="224"/>
      <c r="Q582" s="224"/>
      <c r="R582" s="224"/>
      <c r="S582" s="224"/>
      <c r="T582" s="224"/>
      <c r="U582" s="224"/>
      <c r="V582" s="224"/>
      <c r="W582" s="224"/>
      <c r="X582" s="224"/>
      <c r="Y582" s="224"/>
      <c r="Z582" s="224"/>
      <c r="AA582" s="224"/>
      <c r="AB582" s="224"/>
      <c r="AC582" s="224"/>
      <c r="AD582" s="143" t="s">
        <v>2185</v>
      </c>
      <c r="AE582" s="143" t="s">
        <v>2254</v>
      </c>
    </row>
    <row r="583" spans="1:31" ht="24.95" customHeight="1" x14ac:dyDescent="0.2">
      <c r="A583" s="144">
        <v>2051</v>
      </c>
      <c r="B583" s="145" t="s">
        <v>2839</v>
      </c>
      <c r="C583" s="146" t="s">
        <v>2229</v>
      </c>
      <c r="D583" s="146" t="s">
        <v>2229</v>
      </c>
      <c r="E583" s="147" t="s">
        <v>2265</v>
      </c>
      <c r="F583" s="148">
        <v>4600</v>
      </c>
      <c r="G583" s="149">
        <v>4390</v>
      </c>
      <c r="H583" s="149">
        <v>91</v>
      </c>
      <c r="I583" s="196"/>
      <c r="J583" s="149">
        <v>6690</v>
      </c>
      <c r="K583" s="149">
        <v>4390</v>
      </c>
      <c r="L583" s="149">
        <v>92</v>
      </c>
      <c r="M583" s="149">
        <v>3609</v>
      </c>
      <c r="N583" s="149">
        <v>0</v>
      </c>
      <c r="O583" s="149">
        <v>3336</v>
      </c>
      <c r="P583" s="224"/>
      <c r="Q583" s="224"/>
      <c r="R583" s="224"/>
      <c r="S583" s="224"/>
      <c r="T583" s="224"/>
      <c r="U583" s="224"/>
      <c r="V583" s="224"/>
      <c r="W583" s="224"/>
      <c r="X583" s="224"/>
      <c r="Y583" s="224"/>
      <c r="Z583" s="224"/>
      <c r="AA583" s="224"/>
      <c r="AB583" s="224"/>
      <c r="AC583" s="224"/>
      <c r="AD583" s="143" t="s">
        <v>2185</v>
      </c>
      <c r="AE583" s="143" t="s">
        <v>2254</v>
      </c>
    </row>
    <row r="584" spans="1:31" ht="24.95" customHeight="1" x14ac:dyDescent="0.2">
      <c r="A584" s="144">
        <v>2052</v>
      </c>
      <c r="B584" s="145" t="s">
        <v>2840</v>
      </c>
      <c r="C584" s="146" t="s">
        <v>2229</v>
      </c>
      <c r="D584" s="146" t="s">
        <v>2229</v>
      </c>
      <c r="E584" s="147" t="s">
        <v>2184</v>
      </c>
      <c r="F584" s="148">
        <v>6285</v>
      </c>
      <c r="G584" s="149">
        <v>3504</v>
      </c>
      <c r="H584" s="149">
        <v>96</v>
      </c>
      <c r="I584" s="196"/>
      <c r="J584" s="149">
        <v>6436</v>
      </c>
      <c r="K584" s="149">
        <v>3158</v>
      </c>
      <c r="L584" s="149">
        <v>93</v>
      </c>
      <c r="M584" s="149">
        <v>2793</v>
      </c>
      <c r="N584" s="149">
        <v>2</v>
      </c>
      <c r="O584" s="149">
        <v>3111</v>
      </c>
      <c r="P584" s="224"/>
      <c r="Q584" s="224"/>
      <c r="R584" s="224"/>
      <c r="S584" s="224"/>
      <c r="T584" s="224"/>
      <c r="U584" s="224"/>
      <c r="V584" s="224"/>
      <c r="W584" s="224"/>
      <c r="X584" s="224"/>
      <c r="Y584" s="224"/>
      <c r="Z584" s="224"/>
      <c r="AA584" s="224"/>
      <c r="AB584" s="224"/>
      <c r="AC584" s="224"/>
      <c r="AD584" s="143" t="s">
        <v>2185</v>
      </c>
      <c r="AE584" s="143" t="s">
        <v>2254</v>
      </c>
    </row>
    <row r="585" spans="1:31" ht="24.95" customHeight="1" x14ac:dyDescent="0.2">
      <c r="A585" s="144">
        <v>2053</v>
      </c>
      <c r="B585" s="145" t="s">
        <v>2841</v>
      </c>
      <c r="C585" s="146" t="s">
        <v>2229</v>
      </c>
      <c r="D585" s="146" t="s">
        <v>2229</v>
      </c>
      <c r="E585" s="147" t="s">
        <v>2265</v>
      </c>
      <c r="F585" s="148">
        <f>50+6880+1180</f>
        <v>8110</v>
      </c>
      <c r="G585" s="149">
        <f>620+1045+3460+2+1+141+3</f>
        <v>5272</v>
      </c>
      <c r="H585" s="149">
        <v>87</v>
      </c>
      <c r="I585" s="196"/>
      <c r="J585" s="149">
        <v>0</v>
      </c>
      <c r="K585" s="149">
        <v>0</v>
      </c>
      <c r="L585" s="149">
        <v>0</v>
      </c>
      <c r="M585" s="149">
        <v>0</v>
      </c>
      <c r="N585" s="149">
        <v>0</v>
      </c>
      <c r="O585" s="149">
        <v>0</v>
      </c>
      <c r="P585" s="224"/>
      <c r="Q585" s="224"/>
      <c r="R585" s="224"/>
      <c r="S585" s="224"/>
      <c r="T585" s="224"/>
      <c r="U585" s="224"/>
      <c r="V585" s="224"/>
      <c r="W585" s="224"/>
      <c r="X585" s="224"/>
      <c r="Y585" s="224"/>
      <c r="Z585" s="224"/>
      <c r="AA585" s="224"/>
      <c r="AB585" s="224"/>
      <c r="AC585" s="224"/>
      <c r="AD585" s="143" t="s">
        <v>2347</v>
      </c>
      <c r="AE585" s="143" t="s">
        <v>2254</v>
      </c>
    </row>
    <row r="586" spans="1:31" ht="24.95" customHeight="1" x14ac:dyDescent="0.2">
      <c r="A586" s="144">
        <v>2054</v>
      </c>
      <c r="B586" s="145" t="s">
        <v>2842</v>
      </c>
      <c r="C586" s="146" t="s">
        <v>2229</v>
      </c>
      <c r="D586" s="146" t="s">
        <v>2229</v>
      </c>
      <c r="E586" s="147" t="s">
        <v>2265</v>
      </c>
      <c r="F586" s="148">
        <v>5450</v>
      </c>
      <c r="G586" s="149">
        <v>5665</v>
      </c>
      <c r="H586" s="149">
        <v>92</v>
      </c>
      <c r="I586" s="196"/>
      <c r="J586" s="149">
        <v>5373</v>
      </c>
      <c r="K586" s="149">
        <v>4465</v>
      </c>
      <c r="L586" s="149">
        <v>76</v>
      </c>
      <c r="M586" s="149">
        <v>5413</v>
      </c>
      <c r="N586" s="149">
        <v>1</v>
      </c>
      <c r="O586" s="149">
        <v>5314</v>
      </c>
      <c r="P586" s="224"/>
      <c r="Q586" s="224"/>
      <c r="R586" s="224"/>
      <c r="S586" s="224"/>
      <c r="T586" s="224"/>
      <c r="U586" s="224"/>
      <c r="V586" s="224"/>
      <c r="W586" s="224"/>
      <c r="X586" s="224"/>
      <c r="Y586" s="224"/>
      <c r="Z586" s="224"/>
      <c r="AA586" s="224"/>
      <c r="AB586" s="224"/>
      <c r="AC586" s="224"/>
      <c r="AD586" s="143" t="s">
        <v>2185</v>
      </c>
      <c r="AE586" s="143" t="s">
        <v>2254</v>
      </c>
    </row>
    <row r="587" spans="1:31" ht="24.95" customHeight="1" x14ac:dyDescent="0.2">
      <c r="A587" s="144">
        <v>2055</v>
      </c>
      <c r="B587" s="145" t="s">
        <v>2843</v>
      </c>
      <c r="C587" s="146" t="s">
        <v>2229</v>
      </c>
      <c r="D587" s="146" t="s">
        <v>2365</v>
      </c>
      <c r="E587" s="147" t="s">
        <v>2265</v>
      </c>
      <c r="F587" s="148">
        <v>5305</v>
      </c>
      <c r="G587" s="149">
        <v>4769</v>
      </c>
      <c r="H587" s="149">
        <v>102</v>
      </c>
      <c r="I587" s="196"/>
      <c r="J587" s="149">
        <v>5028</v>
      </c>
      <c r="K587" s="149">
        <v>4765</v>
      </c>
      <c r="L587" s="149">
        <v>102</v>
      </c>
      <c r="M587" s="149">
        <v>0</v>
      </c>
      <c r="N587" s="149">
        <v>0</v>
      </c>
      <c r="O587" s="149">
        <v>0</v>
      </c>
      <c r="P587" s="224"/>
      <c r="Q587" s="224"/>
      <c r="R587" s="224"/>
      <c r="S587" s="224"/>
      <c r="T587" s="224"/>
      <c r="U587" s="224"/>
      <c r="V587" s="224"/>
      <c r="W587" s="224"/>
      <c r="X587" s="224"/>
      <c r="Y587" s="224"/>
      <c r="Z587" s="224"/>
      <c r="AA587" s="224"/>
      <c r="AB587" s="224"/>
      <c r="AC587" s="224"/>
      <c r="AD587" s="143" t="s">
        <v>2185</v>
      </c>
      <c r="AE587" s="143" t="s">
        <v>2254</v>
      </c>
    </row>
    <row r="588" spans="1:31" ht="24.95" customHeight="1" x14ac:dyDescent="0.2">
      <c r="A588" s="144">
        <v>2067</v>
      </c>
      <c r="B588" s="145" t="s">
        <v>2844</v>
      </c>
      <c r="C588" s="146" t="s">
        <v>2258</v>
      </c>
      <c r="D588" s="146" t="s">
        <v>2258</v>
      </c>
      <c r="E588" s="147" t="s">
        <v>2265</v>
      </c>
      <c r="F588" s="148">
        <v>7355</v>
      </c>
      <c r="G588" s="149">
        <f>5558-13-50</f>
        <v>5495</v>
      </c>
      <c r="H588" s="149">
        <v>74</v>
      </c>
      <c r="I588" s="196"/>
      <c r="J588" s="149">
        <v>7273</v>
      </c>
      <c r="K588" s="149">
        <v>5915</v>
      </c>
      <c r="L588" s="149">
        <v>72</v>
      </c>
      <c r="M588" s="149">
        <v>4440</v>
      </c>
      <c r="N588" s="149">
        <v>0</v>
      </c>
      <c r="O588" s="149">
        <v>4446</v>
      </c>
      <c r="P588" s="224"/>
      <c r="Q588" s="224"/>
      <c r="R588" s="224"/>
      <c r="S588" s="224"/>
      <c r="T588" s="224"/>
      <c r="U588" s="224"/>
      <c r="V588" s="224"/>
      <c r="W588" s="224"/>
      <c r="X588" s="224"/>
      <c r="Y588" s="224"/>
      <c r="Z588" s="224"/>
      <c r="AA588" s="224"/>
      <c r="AB588" s="224"/>
      <c r="AC588" s="224"/>
      <c r="AD588" s="143" t="s">
        <v>2185</v>
      </c>
      <c r="AE588" s="143" t="s">
        <v>2254</v>
      </c>
    </row>
    <row r="589" spans="1:31" ht="24.95" customHeight="1" x14ac:dyDescent="0.2">
      <c r="A589" s="144">
        <v>2068</v>
      </c>
      <c r="B589" s="145" t="s">
        <v>2845</v>
      </c>
      <c r="C589" s="146" t="s">
        <v>2258</v>
      </c>
      <c r="D589" s="146" t="s">
        <v>2258</v>
      </c>
      <c r="E589" s="147" t="s">
        <v>2265</v>
      </c>
      <c r="F589" s="148">
        <v>4165</v>
      </c>
      <c r="G589" s="149">
        <f>3689-49</f>
        <v>3640</v>
      </c>
      <c r="H589" s="149">
        <v>53</v>
      </c>
      <c r="I589" s="196"/>
      <c r="J589" s="149">
        <v>4160</v>
      </c>
      <c r="K589" s="149">
        <v>2942</v>
      </c>
      <c r="L589" s="149">
        <v>56</v>
      </c>
      <c r="M589" s="149">
        <v>3395</v>
      </c>
      <c r="N589" s="149">
        <v>0</v>
      </c>
      <c r="O589" s="149">
        <v>3461</v>
      </c>
      <c r="P589" s="224"/>
      <c r="Q589" s="224"/>
      <c r="R589" s="224"/>
      <c r="S589" s="224"/>
      <c r="T589" s="224"/>
      <c r="U589" s="224"/>
      <c r="V589" s="224"/>
      <c r="W589" s="224"/>
      <c r="X589" s="224"/>
      <c r="Y589" s="224"/>
      <c r="Z589" s="224"/>
      <c r="AA589" s="224"/>
      <c r="AB589" s="224"/>
      <c r="AC589" s="224"/>
      <c r="AD589" s="143" t="s">
        <v>2185</v>
      </c>
      <c r="AE589" s="143" t="s">
        <v>2254</v>
      </c>
    </row>
    <row r="590" spans="1:31" ht="24.95" customHeight="1" x14ac:dyDescent="0.2">
      <c r="A590" s="144">
        <v>2069</v>
      </c>
      <c r="B590" s="145" t="s">
        <v>2846</v>
      </c>
      <c r="C590" s="146" t="s">
        <v>2215</v>
      </c>
      <c r="D590" s="146" t="s">
        <v>2215</v>
      </c>
      <c r="E590" s="147" t="s">
        <v>2265</v>
      </c>
      <c r="F590" s="148">
        <v>4440</v>
      </c>
      <c r="G590" s="149">
        <f>180+180+425+805+3315</f>
        <v>4905</v>
      </c>
      <c r="H590" s="149">
        <v>54</v>
      </c>
      <c r="I590" s="196"/>
      <c r="J590" s="149">
        <v>4182</v>
      </c>
      <c r="K590" s="149">
        <v>4905</v>
      </c>
      <c r="L590" s="149">
        <v>52</v>
      </c>
      <c r="M590" s="149">
        <v>3438</v>
      </c>
      <c r="N590" s="149">
        <v>9</v>
      </c>
      <c r="O590" s="149">
        <v>2516</v>
      </c>
      <c r="P590" s="224"/>
      <c r="Q590" s="224"/>
      <c r="R590" s="224"/>
      <c r="S590" s="224"/>
      <c r="T590" s="224"/>
      <c r="U590" s="224"/>
      <c r="V590" s="224"/>
      <c r="W590" s="224"/>
      <c r="X590" s="224"/>
      <c r="Y590" s="224"/>
      <c r="Z590" s="224"/>
      <c r="AA590" s="224"/>
      <c r="AB590" s="224"/>
      <c r="AC590" s="224"/>
      <c r="AD590" s="143" t="s">
        <v>2185</v>
      </c>
      <c r="AE590" s="143" t="s">
        <v>2254</v>
      </c>
    </row>
    <row r="591" spans="1:31" ht="24.95" customHeight="1" x14ac:dyDescent="0.2">
      <c r="A591" s="144">
        <v>2071</v>
      </c>
      <c r="B591" s="145" t="s">
        <v>2847</v>
      </c>
      <c r="C591" s="146" t="s">
        <v>2436</v>
      </c>
      <c r="D591" s="146" t="s">
        <v>2436</v>
      </c>
      <c r="E591" s="147" t="s">
        <v>2265</v>
      </c>
      <c r="F591" s="148">
        <f>265+3995</f>
        <v>4260</v>
      </c>
      <c r="G591" s="149">
        <f>5436-66</f>
        <v>5370</v>
      </c>
      <c r="H591" s="149">
        <v>96</v>
      </c>
      <c r="I591" s="196"/>
      <c r="J591" s="149">
        <v>3948</v>
      </c>
      <c r="K591" s="149">
        <v>5255</v>
      </c>
      <c r="L591" s="149">
        <v>92</v>
      </c>
      <c r="M591" s="149">
        <v>6524</v>
      </c>
      <c r="N591" s="149">
        <v>3</v>
      </c>
      <c r="O591" s="149">
        <v>7353</v>
      </c>
      <c r="P591" s="224"/>
      <c r="Q591" s="224"/>
      <c r="R591" s="224"/>
      <c r="S591" s="224"/>
      <c r="T591" s="224"/>
      <c r="U591" s="224"/>
      <c r="V591" s="224"/>
      <c r="W591" s="224"/>
      <c r="X591" s="224"/>
      <c r="Y591" s="224"/>
      <c r="Z591" s="224"/>
      <c r="AA591" s="224"/>
      <c r="AB591" s="224"/>
      <c r="AC591" s="224"/>
      <c r="AD591" s="143" t="s">
        <v>2185</v>
      </c>
      <c r="AE591" s="143" t="s">
        <v>2254</v>
      </c>
    </row>
    <row r="592" spans="1:31" ht="24.95" customHeight="1" x14ac:dyDescent="0.2">
      <c r="A592" s="144">
        <v>2072</v>
      </c>
      <c r="B592" s="145" t="s">
        <v>2848</v>
      </c>
      <c r="C592" s="146" t="s">
        <v>2436</v>
      </c>
      <c r="D592" s="146" t="s">
        <v>2733</v>
      </c>
      <c r="E592" s="147" t="s">
        <v>2265</v>
      </c>
      <c r="F592" s="148">
        <v>3125</v>
      </c>
      <c r="G592" s="149">
        <v>4565</v>
      </c>
      <c r="H592" s="149">
        <v>60</v>
      </c>
      <c r="I592" s="196"/>
      <c r="J592" s="149">
        <v>2881</v>
      </c>
      <c r="K592" s="149">
        <v>4565</v>
      </c>
      <c r="L592" s="149">
        <v>66</v>
      </c>
      <c r="M592" s="149">
        <v>4702</v>
      </c>
      <c r="N592" s="149">
        <v>2</v>
      </c>
      <c r="O592" s="149">
        <v>5303</v>
      </c>
      <c r="P592" s="224"/>
      <c r="Q592" s="224"/>
      <c r="R592" s="224"/>
      <c r="S592" s="224"/>
      <c r="T592" s="224"/>
      <c r="U592" s="224"/>
      <c r="V592" s="224"/>
      <c r="W592" s="224"/>
      <c r="X592" s="224"/>
      <c r="Y592" s="224"/>
      <c r="Z592" s="224"/>
      <c r="AA592" s="224"/>
      <c r="AB592" s="224"/>
      <c r="AC592" s="224"/>
      <c r="AD592" s="143" t="s">
        <v>2185</v>
      </c>
      <c r="AE592" s="143" t="s">
        <v>2254</v>
      </c>
    </row>
    <row r="593" spans="1:31" ht="24.95" customHeight="1" x14ac:dyDescent="0.2">
      <c r="A593" s="144">
        <v>2077</v>
      </c>
      <c r="B593" s="145" t="s">
        <v>2849</v>
      </c>
      <c r="C593" s="146" t="s">
        <v>2312</v>
      </c>
      <c r="D593" s="146" t="s">
        <v>2488</v>
      </c>
      <c r="E593" s="147" t="s">
        <v>2265</v>
      </c>
      <c r="F593" s="148">
        <f>515+9345</f>
        <v>9860</v>
      </c>
      <c r="G593" s="149">
        <f>2700+6845+74+6+1255</f>
        <v>10880</v>
      </c>
      <c r="H593" s="149">
        <f>22+74</f>
        <v>96</v>
      </c>
      <c r="I593" s="196"/>
      <c r="J593" s="149">
        <v>0</v>
      </c>
      <c r="K593" s="149">
        <v>0</v>
      </c>
      <c r="L593" s="149">
        <v>0</v>
      </c>
      <c r="M593" s="149">
        <v>0</v>
      </c>
      <c r="N593" s="149">
        <v>0</v>
      </c>
      <c r="O593" s="149">
        <v>0</v>
      </c>
      <c r="P593" s="224"/>
      <c r="Q593" s="224"/>
      <c r="R593" s="224"/>
      <c r="S593" s="224"/>
      <c r="T593" s="224"/>
      <c r="U593" s="224"/>
      <c r="V593" s="224"/>
      <c r="W593" s="224"/>
      <c r="X593" s="224"/>
      <c r="Y593" s="224"/>
      <c r="Z593" s="224"/>
      <c r="AA593" s="224"/>
      <c r="AB593" s="224"/>
      <c r="AC593" s="224"/>
      <c r="AD593" s="143" t="s">
        <v>2601</v>
      </c>
      <c r="AE593" s="143" t="s">
        <v>2254</v>
      </c>
    </row>
    <row r="594" spans="1:31" ht="24.95" customHeight="1" x14ac:dyDescent="0.2">
      <c r="A594" s="144">
        <v>2087</v>
      </c>
      <c r="B594" s="145" t="s">
        <v>2850</v>
      </c>
      <c r="C594" s="146" t="s">
        <v>2256</v>
      </c>
      <c r="D594" s="146" t="s">
        <v>2733</v>
      </c>
      <c r="E594" s="147" t="s">
        <v>2184</v>
      </c>
      <c r="F594" s="148">
        <v>6115</v>
      </c>
      <c r="G594" s="149">
        <v>6175</v>
      </c>
      <c r="H594" s="149">
        <v>10</v>
      </c>
      <c r="I594" s="196"/>
      <c r="J594" s="149">
        <v>0</v>
      </c>
      <c r="K594" s="149">
        <v>0</v>
      </c>
      <c r="L594" s="149">
        <v>0</v>
      </c>
      <c r="M594" s="149">
        <v>0</v>
      </c>
      <c r="N594" s="149">
        <v>0</v>
      </c>
      <c r="O594" s="149">
        <v>0</v>
      </c>
      <c r="P594" s="224"/>
      <c r="Q594" s="224"/>
      <c r="R594" s="224"/>
      <c r="S594" s="224"/>
      <c r="T594" s="224"/>
      <c r="U594" s="224"/>
      <c r="V594" s="224"/>
      <c r="W594" s="224"/>
      <c r="X594" s="224"/>
      <c r="Y594" s="224"/>
      <c r="Z594" s="224"/>
      <c r="AA594" s="224"/>
      <c r="AB594" s="224"/>
      <c r="AC594" s="224"/>
      <c r="AD594" s="143" t="s">
        <v>2347</v>
      </c>
      <c r="AE594" s="143" t="s">
        <v>2254</v>
      </c>
    </row>
    <row r="595" spans="1:31" ht="24.95" customHeight="1" x14ac:dyDescent="0.2">
      <c r="A595" s="144">
        <v>2091</v>
      </c>
      <c r="B595" s="145" t="s">
        <v>2851</v>
      </c>
      <c r="C595" s="146" t="s">
        <v>2256</v>
      </c>
      <c r="D595" s="146" t="s">
        <v>2256</v>
      </c>
      <c r="E595" s="147" t="s">
        <v>2265</v>
      </c>
      <c r="F595" s="148">
        <v>6775</v>
      </c>
      <c r="G595" s="149">
        <v>7595</v>
      </c>
      <c r="H595" s="149">
        <v>103</v>
      </c>
      <c r="I595" s="196"/>
      <c r="J595" s="149">
        <v>0</v>
      </c>
      <c r="K595" s="149">
        <v>0</v>
      </c>
      <c r="L595" s="149">
        <v>0</v>
      </c>
      <c r="M595" s="149">
        <v>0</v>
      </c>
      <c r="N595" s="149">
        <v>0</v>
      </c>
      <c r="O595" s="149">
        <v>0</v>
      </c>
      <c r="P595" s="224"/>
      <c r="Q595" s="224"/>
      <c r="R595" s="224"/>
      <c r="S595" s="224"/>
      <c r="T595" s="224"/>
      <c r="U595" s="224"/>
      <c r="V595" s="224"/>
      <c r="W595" s="224"/>
      <c r="X595" s="224"/>
      <c r="Y595" s="224"/>
      <c r="Z595" s="224"/>
      <c r="AA595" s="224"/>
      <c r="AB595" s="224"/>
      <c r="AC595" s="224"/>
      <c r="AD595" s="143" t="s">
        <v>2185</v>
      </c>
      <c r="AE595" s="143" t="s">
        <v>2254</v>
      </c>
    </row>
    <row r="596" spans="1:31" ht="24.95" customHeight="1" x14ac:dyDescent="0.2">
      <c r="A596" s="144">
        <v>2092</v>
      </c>
      <c r="B596" s="145" t="s">
        <v>2852</v>
      </c>
      <c r="C596" s="146" t="s">
        <v>2256</v>
      </c>
      <c r="D596" s="146" t="s">
        <v>2256</v>
      </c>
      <c r="E596" s="147" t="s">
        <v>2564</v>
      </c>
      <c r="F596" s="148">
        <f>5360+1220</f>
        <v>6580</v>
      </c>
      <c r="G596" s="149">
        <f>2340+3</f>
        <v>2343</v>
      </c>
      <c r="H596" s="149">
        <v>44</v>
      </c>
      <c r="I596" s="196"/>
      <c r="J596" s="149">
        <v>5743</v>
      </c>
      <c r="K596" s="149">
        <v>2240</v>
      </c>
      <c r="L596" s="149">
        <v>1</v>
      </c>
      <c r="M596" s="149">
        <v>4074</v>
      </c>
      <c r="N596" s="149">
        <v>0</v>
      </c>
      <c r="O596" s="149">
        <v>3583</v>
      </c>
      <c r="P596" s="224"/>
      <c r="Q596" s="224"/>
      <c r="R596" s="224"/>
      <c r="S596" s="224"/>
      <c r="T596" s="224"/>
      <c r="U596" s="224"/>
      <c r="V596" s="224"/>
      <c r="W596" s="224"/>
      <c r="X596" s="224"/>
      <c r="Y596" s="224"/>
      <c r="Z596" s="224"/>
      <c r="AA596" s="224"/>
      <c r="AB596" s="224"/>
      <c r="AC596" s="224"/>
      <c r="AD596" s="143" t="s">
        <v>2185</v>
      </c>
      <c r="AE596" s="143" t="s">
        <v>2254</v>
      </c>
    </row>
    <row r="597" spans="1:31" ht="24.95" customHeight="1" x14ac:dyDescent="0.2">
      <c r="A597" s="144">
        <v>2093</v>
      </c>
      <c r="B597" s="145" t="s">
        <v>2853</v>
      </c>
      <c r="C597" s="146" t="s">
        <v>2256</v>
      </c>
      <c r="D597" s="146" t="s">
        <v>2256</v>
      </c>
      <c r="E597" s="147" t="s">
        <v>2564</v>
      </c>
      <c r="F597" s="148">
        <v>5515</v>
      </c>
      <c r="G597" s="149">
        <f>985+3655+1600</f>
        <v>6240</v>
      </c>
      <c r="H597" s="149">
        <v>85</v>
      </c>
      <c r="I597" s="196"/>
      <c r="J597" s="149">
        <v>0</v>
      </c>
      <c r="K597" s="149">
        <v>0</v>
      </c>
      <c r="L597" s="149">
        <v>0</v>
      </c>
      <c r="M597" s="149">
        <v>0</v>
      </c>
      <c r="N597" s="149">
        <v>0</v>
      </c>
      <c r="O597" s="149">
        <v>0</v>
      </c>
      <c r="P597" s="224"/>
      <c r="Q597" s="224"/>
      <c r="R597" s="224"/>
      <c r="S597" s="224"/>
      <c r="T597" s="224"/>
      <c r="U597" s="224"/>
      <c r="V597" s="224"/>
      <c r="W597" s="224"/>
      <c r="X597" s="224"/>
      <c r="Y597" s="224"/>
      <c r="Z597" s="224"/>
      <c r="AA597" s="224"/>
      <c r="AB597" s="224"/>
      <c r="AC597" s="224"/>
      <c r="AD597" s="143" t="s">
        <v>2347</v>
      </c>
      <c r="AE597" s="143" t="s">
        <v>2254</v>
      </c>
    </row>
    <row r="598" spans="1:31" ht="24.95" customHeight="1" x14ac:dyDescent="0.2">
      <c r="A598" s="144">
        <v>2096</v>
      </c>
      <c r="B598" s="145" t="s">
        <v>2854</v>
      </c>
      <c r="C598" s="146" t="s">
        <v>2250</v>
      </c>
      <c r="D598" s="146" t="s">
        <v>2250</v>
      </c>
      <c r="E598" s="147" t="s">
        <v>2223</v>
      </c>
      <c r="F598" s="148">
        <v>2385</v>
      </c>
      <c r="G598" s="149">
        <f>3155-1820</f>
        <v>1335</v>
      </c>
      <c r="H598" s="149">
        <v>28</v>
      </c>
      <c r="I598" s="196"/>
      <c r="J598" s="149">
        <v>2463</v>
      </c>
      <c r="K598" s="149">
        <v>1335</v>
      </c>
      <c r="L598" s="149">
        <v>28</v>
      </c>
      <c r="M598" s="149">
        <v>1107</v>
      </c>
      <c r="N598" s="149">
        <v>0</v>
      </c>
      <c r="O598" s="149">
        <v>1436</v>
      </c>
      <c r="P598" s="224"/>
      <c r="Q598" s="224"/>
      <c r="R598" s="224"/>
      <c r="S598" s="224"/>
      <c r="T598" s="224"/>
      <c r="U598" s="224"/>
      <c r="V598" s="224"/>
      <c r="W598" s="224"/>
      <c r="X598" s="224"/>
      <c r="Y598" s="224"/>
      <c r="Z598" s="224"/>
      <c r="AA598" s="224"/>
      <c r="AB598" s="224"/>
      <c r="AC598" s="224"/>
      <c r="AD598" s="143" t="s">
        <v>2185</v>
      </c>
      <c r="AE598" s="143" t="s">
        <v>2254</v>
      </c>
    </row>
    <row r="599" spans="1:31" ht="24.95" customHeight="1" x14ac:dyDescent="0.2">
      <c r="A599" s="144">
        <v>2097</v>
      </c>
      <c r="B599" s="145" t="s">
        <v>2855</v>
      </c>
      <c r="C599" s="146" t="s">
        <v>2222</v>
      </c>
      <c r="D599" s="146" t="s">
        <v>2471</v>
      </c>
      <c r="E599" s="147" t="s">
        <v>2265</v>
      </c>
      <c r="F599" s="148">
        <v>5790</v>
      </c>
      <c r="G599" s="149">
        <v>6745</v>
      </c>
      <c r="H599" s="149">
        <v>34</v>
      </c>
      <c r="I599" s="196"/>
      <c r="J599" s="149">
        <v>5719</v>
      </c>
      <c r="K599" s="149">
        <v>6745</v>
      </c>
      <c r="L599" s="149">
        <v>29</v>
      </c>
      <c r="M599" s="149">
        <v>2415</v>
      </c>
      <c r="N599" s="149">
        <v>0</v>
      </c>
      <c r="O599" s="149">
        <v>2677</v>
      </c>
      <c r="P599" s="224"/>
      <c r="Q599" s="224"/>
      <c r="R599" s="224"/>
      <c r="S599" s="224"/>
      <c r="T599" s="224"/>
      <c r="U599" s="224"/>
      <c r="V599" s="224"/>
      <c r="W599" s="224"/>
      <c r="X599" s="224"/>
      <c r="Y599" s="224"/>
      <c r="Z599" s="224"/>
      <c r="AA599" s="224"/>
      <c r="AB599" s="224"/>
      <c r="AC599" s="224"/>
      <c r="AD599" s="143" t="s">
        <v>2185</v>
      </c>
      <c r="AE599" s="143" t="s">
        <v>2254</v>
      </c>
    </row>
    <row r="600" spans="1:31" ht="24.95" customHeight="1" x14ac:dyDescent="0.2">
      <c r="A600" s="144">
        <v>2108</v>
      </c>
      <c r="B600" s="145" t="s">
        <v>2856</v>
      </c>
      <c r="C600" s="146" t="s">
        <v>2183</v>
      </c>
      <c r="D600" s="146" t="s">
        <v>2183</v>
      </c>
      <c r="E600" s="147" t="s">
        <v>2265</v>
      </c>
      <c r="F600" s="148">
        <v>200</v>
      </c>
      <c r="G600" s="149">
        <v>200</v>
      </c>
      <c r="H600" s="149">
        <v>0</v>
      </c>
      <c r="I600" s="196"/>
      <c r="J600" s="149">
        <v>358</v>
      </c>
      <c r="K600" s="149">
        <v>358</v>
      </c>
      <c r="L600" s="149">
        <v>0</v>
      </c>
      <c r="M600" s="149">
        <v>0</v>
      </c>
      <c r="N600" s="149">
        <v>0</v>
      </c>
      <c r="O600" s="149">
        <v>0</v>
      </c>
      <c r="P600" s="224"/>
      <c r="Q600" s="224"/>
      <c r="R600" s="224"/>
      <c r="S600" s="224"/>
      <c r="T600" s="224"/>
      <c r="U600" s="224"/>
      <c r="V600" s="224"/>
      <c r="W600" s="224"/>
      <c r="X600" s="224"/>
      <c r="Y600" s="224"/>
      <c r="Z600" s="224"/>
      <c r="AA600" s="224"/>
      <c r="AB600" s="224"/>
      <c r="AC600" s="224"/>
      <c r="AD600" s="143" t="s">
        <v>2185</v>
      </c>
      <c r="AE600" s="143" t="s">
        <v>2254</v>
      </c>
    </row>
    <row r="601" spans="1:31" ht="24.95" customHeight="1" x14ac:dyDescent="0.2">
      <c r="A601" s="144">
        <v>2117</v>
      </c>
      <c r="B601" s="145" t="s">
        <v>2857</v>
      </c>
      <c r="C601" s="146" t="s">
        <v>2215</v>
      </c>
      <c r="D601" s="146" t="s">
        <v>2215</v>
      </c>
      <c r="E601" s="147" t="s">
        <v>2265</v>
      </c>
      <c r="F601" s="148">
        <v>3410</v>
      </c>
      <c r="G601" s="149">
        <v>2629</v>
      </c>
      <c r="H601" s="149">
        <v>18</v>
      </c>
      <c r="I601" s="196"/>
      <c r="J601" s="149">
        <v>3174</v>
      </c>
      <c r="K601" s="149">
        <v>2806</v>
      </c>
      <c r="L601" s="149">
        <v>17</v>
      </c>
      <c r="M601" s="149">
        <v>1873</v>
      </c>
      <c r="N601" s="149">
        <v>0</v>
      </c>
      <c r="O601" s="149">
        <v>1005</v>
      </c>
      <c r="P601" s="224"/>
      <c r="Q601" s="224"/>
      <c r="R601" s="224"/>
      <c r="S601" s="224"/>
      <c r="T601" s="224"/>
      <c r="U601" s="224"/>
      <c r="V601" s="224"/>
      <c r="W601" s="224"/>
      <c r="X601" s="224"/>
      <c r="Y601" s="224"/>
      <c r="Z601" s="224"/>
      <c r="AA601" s="224"/>
      <c r="AB601" s="224"/>
      <c r="AC601" s="224"/>
      <c r="AD601" s="143" t="s">
        <v>2185</v>
      </c>
      <c r="AE601" s="143" t="s">
        <v>2254</v>
      </c>
    </row>
    <row r="602" spans="1:31" ht="24.95" customHeight="1" x14ac:dyDescent="0.2">
      <c r="A602" s="144">
        <v>2119</v>
      </c>
      <c r="B602" s="145" t="s">
        <v>2858</v>
      </c>
      <c r="C602" s="146" t="s">
        <v>2312</v>
      </c>
      <c r="D602" s="146" t="s">
        <v>2525</v>
      </c>
      <c r="E602" s="147" t="s">
        <v>2265</v>
      </c>
      <c r="F602" s="148">
        <v>4535</v>
      </c>
      <c r="G602" s="149">
        <v>4340</v>
      </c>
      <c r="H602" s="149">
        <v>41</v>
      </c>
      <c r="I602" s="196"/>
      <c r="J602" s="149">
        <v>4838</v>
      </c>
      <c r="K602" s="149">
        <v>4354</v>
      </c>
      <c r="L602" s="149">
        <v>43</v>
      </c>
      <c r="M602" s="149">
        <v>4703</v>
      </c>
      <c r="N602" s="149">
        <v>1</v>
      </c>
      <c r="O602" s="149">
        <v>3643</v>
      </c>
      <c r="P602" s="224"/>
      <c r="Q602" s="224"/>
      <c r="R602" s="224"/>
      <c r="S602" s="224"/>
      <c r="T602" s="224"/>
      <c r="U602" s="224"/>
      <c r="V602" s="224"/>
      <c r="W602" s="224"/>
      <c r="X602" s="224"/>
      <c r="Y602" s="224"/>
      <c r="Z602" s="224"/>
      <c r="AA602" s="224"/>
      <c r="AB602" s="224"/>
      <c r="AC602" s="224"/>
      <c r="AD602" s="143" t="s">
        <v>2185</v>
      </c>
      <c r="AE602" s="143" t="s">
        <v>2254</v>
      </c>
    </row>
    <row r="603" spans="1:31" ht="24.95" customHeight="1" x14ac:dyDescent="0.2">
      <c r="A603" s="144">
        <v>2126</v>
      </c>
      <c r="B603" s="145" t="s">
        <v>2859</v>
      </c>
      <c r="C603" s="146" t="s">
        <v>2183</v>
      </c>
      <c r="D603" s="146" t="s">
        <v>2183</v>
      </c>
      <c r="E603" s="147" t="s">
        <v>2310</v>
      </c>
      <c r="F603" s="148">
        <v>2760</v>
      </c>
      <c r="G603" s="149">
        <v>2935</v>
      </c>
      <c r="H603" s="149">
        <v>52</v>
      </c>
      <c r="I603" s="196"/>
      <c r="J603" s="149">
        <v>2693</v>
      </c>
      <c r="K603" s="149">
        <v>2935</v>
      </c>
      <c r="L603" s="149">
        <v>32</v>
      </c>
      <c r="M603" s="149">
        <v>2123</v>
      </c>
      <c r="N603" s="149">
        <v>6</v>
      </c>
      <c r="O603" s="149">
        <v>2361</v>
      </c>
      <c r="P603" s="224"/>
      <c r="Q603" s="224"/>
      <c r="R603" s="224"/>
      <c r="S603" s="224"/>
      <c r="T603" s="224"/>
      <c r="U603" s="224"/>
      <c r="V603" s="224"/>
      <c r="W603" s="224"/>
      <c r="X603" s="224"/>
      <c r="Y603" s="224"/>
      <c r="Z603" s="224"/>
      <c r="AA603" s="224"/>
      <c r="AB603" s="224"/>
      <c r="AC603" s="224"/>
      <c r="AD603" s="143" t="s">
        <v>2185</v>
      </c>
      <c r="AE603" s="143" t="s">
        <v>2254</v>
      </c>
    </row>
    <row r="604" spans="1:31" ht="24.95" customHeight="1" x14ac:dyDescent="0.2">
      <c r="A604" s="144">
        <v>2128</v>
      </c>
      <c r="B604" s="145" t="s">
        <v>2860</v>
      </c>
      <c r="C604" s="146" t="s">
        <v>2256</v>
      </c>
      <c r="D604" s="146" t="s">
        <v>2256</v>
      </c>
      <c r="E604" s="147" t="s">
        <v>2184</v>
      </c>
      <c r="F604" s="148">
        <v>6270</v>
      </c>
      <c r="G604" s="149">
        <v>4185</v>
      </c>
      <c r="H604" s="149">
        <v>111</v>
      </c>
      <c r="I604" s="196"/>
      <c r="J604" s="149">
        <v>9451</v>
      </c>
      <c r="K604" s="149">
        <v>0</v>
      </c>
      <c r="L604" s="149">
        <v>108</v>
      </c>
      <c r="M604" s="149">
        <v>6169</v>
      </c>
      <c r="N604" s="149">
        <v>0</v>
      </c>
      <c r="O604" s="149">
        <v>6249</v>
      </c>
      <c r="P604" s="224"/>
      <c r="Q604" s="224"/>
      <c r="R604" s="224"/>
      <c r="S604" s="224"/>
      <c r="T604" s="224"/>
      <c r="U604" s="224"/>
      <c r="V604" s="224"/>
      <c r="W604" s="224"/>
      <c r="X604" s="224"/>
      <c r="Y604" s="224"/>
      <c r="Z604" s="224"/>
      <c r="AA604" s="224"/>
      <c r="AB604" s="224"/>
      <c r="AC604" s="224"/>
      <c r="AD604" s="143" t="s">
        <v>2185</v>
      </c>
      <c r="AE604" s="143" t="s">
        <v>2254</v>
      </c>
    </row>
    <row r="605" spans="1:31" ht="24.95" customHeight="1" x14ac:dyDescent="0.2">
      <c r="A605" s="144">
        <v>2133</v>
      </c>
      <c r="B605" s="145" t="s">
        <v>2861</v>
      </c>
      <c r="C605" s="146" t="s">
        <v>2256</v>
      </c>
      <c r="D605" s="146" t="s">
        <v>2256</v>
      </c>
      <c r="E605" s="147" t="s">
        <v>2265</v>
      </c>
      <c r="F605" s="148">
        <v>5260</v>
      </c>
      <c r="G605" s="149">
        <v>5280</v>
      </c>
      <c r="H605" s="149">
        <v>0</v>
      </c>
      <c r="I605" s="196"/>
      <c r="J605" s="149">
        <v>0</v>
      </c>
      <c r="K605" s="149">
        <v>0</v>
      </c>
      <c r="L605" s="149">
        <v>0</v>
      </c>
      <c r="M605" s="149">
        <v>0</v>
      </c>
      <c r="N605" s="149">
        <v>0</v>
      </c>
      <c r="O605" s="149">
        <v>0</v>
      </c>
      <c r="P605" s="224"/>
      <c r="Q605" s="224"/>
      <c r="R605" s="224"/>
      <c r="S605" s="224"/>
      <c r="T605" s="224"/>
      <c r="U605" s="224"/>
      <c r="V605" s="224"/>
      <c r="W605" s="224"/>
      <c r="X605" s="224"/>
      <c r="Y605" s="224"/>
      <c r="Z605" s="224"/>
      <c r="AA605" s="224"/>
      <c r="AB605" s="224"/>
      <c r="AC605" s="224"/>
      <c r="AD605" s="143" t="s">
        <v>2185</v>
      </c>
      <c r="AE605" s="143" t="s">
        <v>2254</v>
      </c>
    </row>
    <row r="606" spans="1:31" ht="24.95" customHeight="1" x14ac:dyDescent="0.2">
      <c r="A606" s="144">
        <v>2135</v>
      </c>
      <c r="B606" s="145" t="s">
        <v>2862</v>
      </c>
      <c r="C606" s="146" t="s">
        <v>2229</v>
      </c>
      <c r="D606" s="146" t="s">
        <v>2365</v>
      </c>
      <c r="E606" s="147" t="s">
        <v>2265</v>
      </c>
      <c r="F606" s="148">
        <f>265+295+3685</f>
        <v>4245</v>
      </c>
      <c r="G606" s="149">
        <f>30+175+3720+1+132</f>
        <v>4058</v>
      </c>
      <c r="H606" s="149">
        <v>0</v>
      </c>
      <c r="I606" s="196"/>
      <c r="J606" s="149">
        <v>4274</v>
      </c>
      <c r="K606" s="149">
        <v>4055</v>
      </c>
      <c r="L606" s="149">
        <v>0</v>
      </c>
      <c r="M606" s="149">
        <v>1917</v>
      </c>
      <c r="N606" s="149">
        <v>0</v>
      </c>
      <c r="O606" s="149">
        <v>795</v>
      </c>
      <c r="P606" s="224"/>
      <c r="Q606" s="224"/>
      <c r="R606" s="224"/>
      <c r="S606" s="224"/>
      <c r="T606" s="224"/>
      <c r="U606" s="224"/>
      <c r="V606" s="224"/>
      <c r="W606" s="224"/>
      <c r="X606" s="224"/>
      <c r="Y606" s="224"/>
      <c r="Z606" s="224"/>
      <c r="AA606" s="224"/>
      <c r="AB606" s="224"/>
      <c r="AC606" s="224"/>
      <c r="AD606" s="143" t="s">
        <v>2185</v>
      </c>
      <c r="AE606" s="143" t="s">
        <v>2254</v>
      </c>
    </row>
    <row r="607" spans="1:31" ht="24.95" customHeight="1" x14ac:dyDescent="0.2">
      <c r="A607" s="144">
        <v>2138</v>
      </c>
      <c r="B607" s="145" t="s">
        <v>2863</v>
      </c>
      <c r="C607" s="146" t="s">
        <v>2309</v>
      </c>
      <c r="D607" s="146" t="s">
        <v>2368</v>
      </c>
      <c r="E607" s="147" t="s">
        <v>2265</v>
      </c>
      <c r="F607" s="148">
        <f>345+3590</f>
        <v>3935</v>
      </c>
      <c r="G607" s="149">
        <f>5990-195-2015-45</f>
        <v>3735</v>
      </c>
      <c r="H607" s="149">
        <v>45</v>
      </c>
      <c r="I607" s="196"/>
      <c r="J607" s="149">
        <v>2903</v>
      </c>
      <c r="K607" s="149">
        <v>2345</v>
      </c>
      <c r="L607" s="149">
        <v>45</v>
      </c>
      <c r="M607" s="149">
        <v>3561</v>
      </c>
      <c r="N607" s="149">
        <v>4</v>
      </c>
      <c r="O607" s="149">
        <v>4628</v>
      </c>
      <c r="P607" s="224"/>
      <c r="Q607" s="224"/>
      <c r="R607" s="224"/>
      <c r="S607" s="224"/>
      <c r="T607" s="224"/>
      <c r="U607" s="224"/>
      <c r="V607" s="224"/>
      <c r="W607" s="224"/>
      <c r="X607" s="224"/>
      <c r="Y607" s="224"/>
      <c r="Z607" s="224"/>
      <c r="AA607" s="224"/>
      <c r="AB607" s="224"/>
      <c r="AC607" s="224"/>
      <c r="AD607" s="143" t="s">
        <v>2185</v>
      </c>
      <c r="AE607" s="143" t="s">
        <v>2254</v>
      </c>
    </row>
    <row r="608" spans="1:31" ht="24.95" customHeight="1" x14ac:dyDescent="0.2">
      <c r="A608" s="144">
        <v>2139</v>
      </c>
      <c r="B608" s="145" t="s">
        <v>2864</v>
      </c>
      <c r="C608" s="146" t="s">
        <v>2250</v>
      </c>
      <c r="D608" s="146" t="s">
        <v>2285</v>
      </c>
      <c r="E608" s="147" t="s">
        <v>2310</v>
      </c>
      <c r="F608" s="148">
        <v>3465</v>
      </c>
      <c r="G608" s="149">
        <f>20+30+200+235+275+310+340+370+1095+11+1</f>
        <v>2887</v>
      </c>
      <c r="H608" s="149">
        <v>0</v>
      </c>
      <c r="I608" s="196"/>
      <c r="J608" s="149">
        <v>3500</v>
      </c>
      <c r="K608" s="149">
        <v>3505</v>
      </c>
      <c r="L608" s="149">
        <v>0</v>
      </c>
      <c r="M608" s="149">
        <v>1678</v>
      </c>
      <c r="N608" s="149">
        <v>0</v>
      </c>
      <c r="O608" s="149">
        <v>2278</v>
      </c>
      <c r="P608" s="224"/>
      <c r="Q608" s="224"/>
      <c r="R608" s="224"/>
      <c r="S608" s="224"/>
      <c r="T608" s="224"/>
      <c r="U608" s="224"/>
      <c r="V608" s="224"/>
      <c r="W608" s="224"/>
      <c r="X608" s="224"/>
      <c r="Y608" s="224"/>
      <c r="Z608" s="224"/>
      <c r="AA608" s="224"/>
      <c r="AB608" s="224"/>
      <c r="AC608" s="224"/>
      <c r="AD608" s="143" t="s">
        <v>2185</v>
      </c>
      <c r="AE608" s="143" t="s">
        <v>2254</v>
      </c>
    </row>
    <row r="609" spans="1:31" ht="24.95" customHeight="1" x14ac:dyDescent="0.2">
      <c r="A609" s="144">
        <v>2140</v>
      </c>
      <c r="B609" s="145" t="s">
        <v>2865</v>
      </c>
      <c r="C609" s="146" t="s">
        <v>2309</v>
      </c>
      <c r="D609" s="146" t="s">
        <v>2368</v>
      </c>
      <c r="E609" s="147" t="s">
        <v>2265</v>
      </c>
      <c r="F609" s="148">
        <v>5330</v>
      </c>
      <c r="G609" s="149">
        <f>465+17+5027</f>
        <v>5509</v>
      </c>
      <c r="H609" s="149">
        <v>100</v>
      </c>
      <c r="I609" s="196"/>
      <c r="J609" s="149">
        <v>9573</v>
      </c>
      <c r="K609" s="149">
        <v>5505</v>
      </c>
      <c r="L609" s="149">
        <v>0</v>
      </c>
      <c r="M609" s="149">
        <v>1</v>
      </c>
      <c r="N609" s="149">
        <v>4385</v>
      </c>
      <c r="O609" s="149">
        <v>6313</v>
      </c>
      <c r="P609" s="224"/>
      <c r="Q609" s="224"/>
      <c r="R609" s="224"/>
      <c r="S609" s="224"/>
      <c r="T609" s="224"/>
      <c r="U609" s="224"/>
      <c r="V609" s="224"/>
      <c r="W609" s="224"/>
      <c r="X609" s="224"/>
      <c r="Y609" s="224"/>
      <c r="Z609" s="224"/>
      <c r="AA609" s="224"/>
      <c r="AB609" s="224"/>
      <c r="AC609" s="224"/>
      <c r="AD609" s="143" t="s">
        <v>2185</v>
      </c>
      <c r="AE609" s="143" t="s">
        <v>2254</v>
      </c>
    </row>
    <row r="610" spans="1:31" ht="24.95" customHeight="1" x14ac:dyDescent="0.2">
      <c r="A610" s="144">
        <v>2142</v>
      </c>
      <c r="B610" s="145" t="s">
        <v>2866</v>
      </c>
      <c r="C610" s="146" t="s">
        <v>2215</v>
      </c>
      <c r="D610" s="146" t="s">
        <v>2215</v>
      </c>
      <c r="E610" s="147" t="s">
        <v>2265</v>
      </c>
      <c r="F610" s="148">
        <v>0</v>
      </c>
      <c r="G610" s="149">
        <f>290+300+380+2525+311+1</f>
        <v>3807</v>
      </c>
      <c r="H610" s="149">
        <v>0</v>
      </c>
      <c r="I610" s="196"/>
      <c r="J610" s="149">
        <v>1898</v>
      </c>
      <c r="K610" s="149">
        <v>3842</v>
      </c>
      <c r="L610" s="149">
        <v>0</v>
      </c>
      <c r="M610" s="149">
        <v>1736</v>
      </c>
      <c r="N610" s="149">
        <v>0</v>
      </c>
      <c r="O610" s="149">
        <v>1617</v>
      </c>
      <c r="P610" s="224"/>
      <c r="Q610" s="224"/>
      <c r="R610" s="224"/>
      <c r="S610" s="224"/>
      <c r="T610" s="224"/>
      <c r="U610" s="224"/>
      <c r="V610" s="224"/>
      <c r="W610" s="224"/>
      <c r="X610" s="224"/>
      <c r="Y610" s="224"/>
      <c r="Z610" s="224"/>
      <c r="AA610" s="224"/>
      <c r="AB610" s="224"/>
      <c r="AC610" s="224"/>
      <c r="AD610" s="143" t="s">
        <v>2185</v>
      </c>
      <c r="AE610" s="143" t="s">
        <v>2254</v>
      </c>
    </row>
    <row r="611" spans="1:31" ht="24.95" customHeight="1" x14ac:dyDescent="0.2">
      <c r="A611" s="144">
        <v>2143</v>
      </c>
      <c r="B611" s="145" t="s">
        <v>2867</v>
      </c>
      <c r="C611" s="146" t="s">
        <v>2183</v>
      </c>
      <c r="D611" s="146" t="s">
        <v>2183</v>
      </c>
      <c r="E611" s="147" t="s">
        <v>2265</v>
      </c>
      <c r="F611" s="148">
        <f>1705+6720</f>
        <v>8425</v>
      </c>
      <c r="G611" s="149">
        <f>225+335+500+1330+2565+2680+1+1</f>
        <v>7637</v>
      </c>
      <c r="H611" s="149">
        <v>76</v>
      </c>
      <c r="I611" s="196"/>
      <c r="J611" s="149">
        <v>0</v>
      </c>
      <c r="K611" s="149">
        <v>0</v>
      </c>
      <c r="L611" s="149">
        <v>0</v>
      </c>
      <c r="M611" s="149">
        <v>0</v>
      </c>
      <c r="N611" s="149">
        <v>0</v>
      </c>
      <c r="O611" s="149">
        <v>0</v>
      </c>
      <c r="P611" s="224"/>
      <c r="Q611" s="224"/>
      <c r="R611" s="224"/>
      <c r="S611" s="224"/>
      <c r="T611" s="224"/>
      <c r="U611" s="224"/>
      <c r="V611" s="224"/>
      <c r="W611" s="224"/>
      <c r="X611" s="224"/>
      <c r="Y611" s="224"/>
      <c r="Z611" s="224"/>
      <c r="AA611" s="224"/>
      <c r="AB611" s="224"/>
      <c r="AC611" s="224"/>
      <c r="AD611" s="143" t="s">
        <v>2598</v>
      </c>
      <c r="AE611" s="143" t="s">
        <v>2254</v>
      </c>
    </row>
    <row r="612" spans="1:31" ht="24.95" customHeight="1" x14ac:dyDescent="0.2">
      <c r="A612" s="144">
        <v>2144</v>
      </c>
      <c r="B612" s="145" t="s">
        <v>2868</v>
      </c>
      <c r="C612" s="146" t="s">
        <v>2222</v>
      </c>
      <c r="D612" s="146" t="s">
        <v>2222</v>
      </c>
      <c r="E612" s="147" t="s">
        <v>2310</v>
      </c>
      <c r="F612" s="148">
        <f>4140+1070</f>
        <v>5210</v>
      </c>
      <c r="G612" s="149">
        <f>50+50+780+1990+1+962</f>
        <v>3833</v>
      </c>
      <c r="H612" s="149">
        <v>1772</v>
      </c>
      <c r="I612" s="196"/>
      <c r="J612" s="149">
        <v>0</v>
      </c>
      <c r="K612" s="149">
        <v>0</v>
      </c>
      <c r="L612" s="149">
        <v>0</v>
      </c>
      <c r="M612" s="149">
        <v>0</v>
      </c>
      <c r="N612" s="149">
        <v>0</v>
      </c>
      <c r="O612" s="149">
        <v>0</v>
      </c>
      <c r="P612" s="224"/>
      <c r="Q612" s="224"/>
      <c r="R612" s="224"/>
      <c r="S612" s="224"/>
      <c r="T612" s="224"/>
      <c r="U612" s="224"/>
      <c r="V612" s="224"/>
      <c r="W612" s="224"/>
      <c r="X612" s="224"/>
      <c r="Y612" s="224"/>
      <c r="Z612" s="224"/>
      <c r="AA612" s="224"/>
      <c r="AB612" s="224"/>
      <c r="AC612" s="224"/>
      <c r="AD612" s="143" t="s">
        <v>2598</v>
      </c>
      <c r="AE612" s="143" t="s">
        <v>2186</v>
      </c>
    </row>
    <row r="613" spans="1:31" ht="24.95" customHeight="1" x14ac:dyDescent="0.2">
      <c r="A613" s="144">
        <v>2147</v>
      </c>
      <c r="B613" s="145" t="s">
        <v>2869</v>
      </c>
      <c r="C613" s="146" t="s">
        <v>2215</v>
      </c>
      <c r="D613" s="146" t="s">
        <v>2253</v>
      </c>
      <c r="E613" s="147" t="s">
        <v>2564</v>
      </c>
      <c r="F613" s="148">
        <f>3035+620</f>
        <v>3655</v>
      </c>
      <c r="G613" s="149">
        <f>595+2270+1+307+2</f>
        <v>3175</v>
      </c>
      <c r="H613" s="149">
        <v>47</v>
      </c>
      <c r="I613" s="196"/>
      <c r="J613" s="149">
        <v>3582</v>
      </c>
      <c r="K613" s="149">
        <v>3170</v>
      </c>
      <c r="L613" s="149">
        <v>50</v>
      </c>
      <c r="M613" s="149">
        <v>3464</v>
      </c>
      <c r="N613" s="149">
        <v>0</v>
      </c>
      <c r="O613" s="149">
        <v>2580</v>
      </c>
      <c r="P613" s="224"/>
      <c r="Q613" s="224"/>
      <c r="R613" s="224"/>
      <c r="S613" s="224"/>
      <c r="T613" s="224"/>
      <c r="U613" s="224"/>
      <c r="V613" s="224"/>
      <c r="W613" s="224"/>
      <c r="X613" s="224"/>
      <c r="Y613" s="224"/>
      <c r="Z613" s="224"/>
      <c r="AA613" s="224"/>
      <c r="AB613" s="224"/>
      <c r="AC613" s="224"/>
      <c r="AD613" s="143" t="s">
        <v>2185</v>
      </c>
      <c r="AE613" s="143" t="s">
        <v>2254</v>
      </c>
    </row>
    <row r="614" spans="1:31" ht="24.95" customHeight="1" x14ac:dyDescent="0.2">
      <c r="A614" s="144">
        <v>2148</v>
      </c>
      <c r="B614" s="145" t="s">
        <v>2870</v>
      </c>
      <c r="C614" s="146" t="s">
        <v>2215</v>
      </c>
      <c r="D614" s="146" t="s">
        <v>2253</v>
      </c>
      <c r="E614" s="147" t="s">
        <v>2265</v>
      </c>
      <c r="F614" s="148">
        <v>3050</v>
      </c>
      <c r="G614" s="149">
        <v>3380</v>
      </c>
      <c r="H614" s="149">
        <v>55</v>
      </c>
      <c r="I614" s="196"/>
      <c r="J614" s="149">
        <v>3164</v>
      </c>
      <c r="K614" s="149">
        <v>3380</v>
      </c>
      <c r="L614" s="149">
        <v>47</v>
      </c>
      <c r="M614" s="149">
        <v>1961</v>
      </c>
      <c r="N614" s="149">
        <v>0</v>
      </c>
      <c r="O614" s="149">
        <v>1993</v>
      </c>
      <c r="P614" s="224"/>
      <c r="Q614" s="224"/>
      <c r="R614" s="224"/>
      <c r="S614" s="224"/>
      <c r="T614" s="224"/>
      <c r="U614" s="224"/>
      <c r="V614" s="224"/>
      <c r="W614" s="224"/>
      <c r="X614" s="224"/>
      <c r="Y614" s="224"/>
      <c r="Z614" s="224"/>
      <c r="AA614" s="224"/>
      <c r="AB614" s="224"/>
      <c r="AC614" s="224"/>
      <c r="AD614" s="143" t="s">
        <v>2185</v>
      </c>
      <c r="AE614" s="143" t="s">
        <v>2254</v>
      </c>
    </row>
    <row r="615" spans="1:31" ht="24.95" customHeight="1" x14ac:dyDescent="0.2">
      <c r="A615" s="144">
        <v>2149</v>
      </c>
      <c r="B615" s="145" t="s">
        <v>2871</v>
      </c>
      <c r="C615" s="146" t="s">
        <v>2222</v>
      </c>
      <c r="D615" s="146" t="s">
        <v>2222</v>
      </c>
      <c r="E615" s="147" t="s">
        <v>2310</v>
      </c>
      <c r="F615" s="148">
        <f>3345+2565</f>
        <v>5910</v>
      </c>
      <c r="G615" s="149">
        <f>1110+1435+2010+1+1</f>
        <v>4557</v>
      </c>
      <c r="H615" s="149">
        <v>70</v>
      </c>
      <c r="I615" s="196"/>
      <c r="J615" s="149">
        <v>0</v>
      </c>
      <c r="K615" s="149">
        <v>0</v>
      </c>
      <c r="L615" s="149">
        <v>0</v>
      </c>
      <c r="M615" s="149">
        <v>0</v>
      </c>
      <c r="N615" s="149">
        <v>0</v>
      </c>
      <c r="O615" s="149">
        <v>0</v>
      </c>
      <c r="P615" s="224"/>
      <c r="Q615" s="224"/>
      <c r="R615" s="224"/>
      <c r="S615" s="224"/>
      <c r="T615" s="224"/>
      <c r="U615" s="224"/>
      <c r="V615" s="224"/>
      <c r="W615" s="224"/>
      <c r="X615" s="224"/>
      <c r="Y615" s="224"/>
      <c r="Z615" s="224"/>
      <c r="AA615" s="224"/>
      <c r="AB615" s="224"/>
      <c r="AC615" s="224"/>
      <c r="AD615" s="143" t="s">
        <v>2601</v>
      </c>
      <c r="AE615" s="143" t="s">
        <v>2254</v>
      </c>
    </row>
    <row r="616" spans="1:31" ht="24.95" customHeight="1" x14ac:dyDescent="0.2">
      <c r="A616" s="144">
        <v>2150</v>
      </c>
      <c r="B616" s="145" t="s">
        <v>2872</v>
      </c>
      <c r="C616" s="146" t="s">
        <v>2215</v>
      </c>
      <c r="D616" s="146" t="s">
        <v>2215</v>
      </c>
      <c r="E616" s="147" t="s">
        <v>2265</v>
      </c>
      <c r="F616" s="148">
        <v>4880</v>
      </c>
      <c r="G616" s="149">
        <f>1490+3455+51</f>
        <v>4996</v>
      </c>
      <c r="H616" s="149">
        <f>3+31</f>
        <v>34</v>
      </c>
      <c r="I616" s="196"/>
      <c r="J616" s="149">
        <v>4658</v>
      </c>
      <c r="K616" s="149">
        <v>4945</v>
      </c>
      <c r="L616" s="149">
        <v>0</v>
      </c>
      <c r="M616" s="149">
        <v>32</v>
      </c>
      <c r="N616" s="149">
        <v>38</v>
      </c>
      <c r="O616" s="149">
        <v>2251</v>
      </c>
      <c r="P616" s="224"/>
      <c r="Q616" s="224"/>
      <c r="R616" s="224"/>
      <c r="S616" s="224"/>
      <c r="T616" s="224"/>
      <c r="U616" s="224"/>
      <c r="V616" s="224"/>
      <c r="W616" s="224"/>
      <c r="X616" s="224"/>
      <c r="Y616" s="224"/>
      <c r="Z616" s="224"/>
      <c r="AA616" s="224"/>
      <c r="AB616" s="224"/>
      <c r="AC616" s="224"/>
      <c r="AD616" s="143" t="s">
        <v>2347</v>
      </c>
      <c r="AE616" s="143" t="s">
        <v>2254</v>
      </c>
    </row>
    <row r="617" spans="1:31" ht="24.95" customHeight="1" x14ac:dyDescent="0.2">
      <c r="A617" s="144">
        <v>2154</v>
      </c>
      <c r="B617" s="145" t="s">
        <v>2873</v>
      </c>
      <c r="C617" s="146" t="s">
        <v>2183</v>
      </c>
      <c r="D617" s="146" t="s">
        <v>2183</v>
      </c>
      <c r="E617" s="147" t="s">
        <v>2265</v>
      </c>
      <c r="F617" s="148">
        <v>3360</v>
      </c>
      <c r="G617" s="149">
        <f>120+320+355+580+1+1+1913</f>
        <v>3290</v>
      </c>
      <c r="H617" s="149">
        <v>1736</v>
      </c>
      <c r="I617" s="196"/>
      <c r="J617" s="149">
        <v>0</v>
      </c>
      <c r="K617" s="149">
        <v>0</v>
      </c>
      <c r="L617" s="149">
        <v>0</v>
      </c>
      <c r="M617" s="149">
        <v>0</v>
      </c>
      <c r="N617" s="149">
        <v>0</v>
      </c>
      <c r="O617" s="149">
        <v>0</v>
      </c>
      <c r="P617" s="224"/>
      <c r="Q617" s="224"/>
      <c r="R617" s="224"/>
      <c r="S617" s="224"/>
      <c r="T617" s="224"/>
      <c r="U617" s="224"/>
      <c r="V617" s="224"/>
      <c r="W617" s="224"/>
      <c r="X617" s="224"/>
      <c r="Y617" s="224"/>
      <c r="Z617" s="224"/>
      <c r="AA617" s="224"/>
      <c r="AB617" s="224"/>
      <c r="AC617" s="224"/>
      <c r="AD617" s="143" t="s">
        <v>2517</v>
      </c>
      <c r="AE617" s="143" t="s">
        <v>2186</v>
      </c>
    </row>
    <row r="618" spans="1:31" ht="24.95" customHeight="1" x14ac:dyDescent="0.2">
      <c r="A618" s="144">
        <v>2155</v>
      </c>
      <c r="B618" s="145" t="s">
        <v>2874</v>
      </c>
      <c r="C618" s="146" t="s">
        <v>2194</v>
      </c>
      <c r="D618" s="146" t="s">
        <v>2194</v>
      </c>
      <c r="E618" s="147" t="s">
        <v>2265</v>
      </c>
      <c r="F618" s="148">
        <f>60+225+2015</f>
        <v>2300</v>
      </c>
      <c r="G618" s="149">
        <f>395+1935+1+1+3</f>
        <v>2335</v>
      </c>
      <c r="H618" s="149">
        <v>6</v>
      </c>
      <c r="I618" s="196"/>
      <c r="J618" s="149">
        <v>0</v>
      </c>
      <c r="K618" s="149">
        <v>0</v>
      </c>
      <c r="L618" s="149">
        <v>0</v>
      </c>
      <c r="M618" s="149">
        <v>0</v>
      </c>
      <c r="N618" s="149">
        <v>0</v>
      </c>
      <c r="O618" s="149">
        <v>0</v>
      </c>
      <c r="P618" s="224"/>
      <c r="Q618" s="224"/>
      <c r="R618" s="224"/>
      <c r="S618" s="224"/>
      <c r="T618" s="224"/>
      <c r="U618" s="224"/>
      <c r="V618" s="224"/>
      <c r="W618" s="224"/>
      <c r="X618" s="224"/>
      <c r="Y618" s="224"/>
      <c r="Z618" s="224"/>
      <c r="AA618" s="224"/>
      <c r="AB618" s="224"/>
      <c r="AC618" s="224"/>
      <c r="AD618" s="143" t="s">
        <v>2598</v>
      </c>
      <c r="AE618" s="143" t="s">
        <v>2254</v>
      </c>
    </row>
    <row r="619" spans="1:31" ht="24.95" customHeight="1" x14ac:dyDescent="0.2">
      <c r="A619" s="144">
        <v>2157</v>
      </c>
      <c r="B619" s="145" t="s">
        <v>2875</v>
      </c>
      <c r="C619" s="146" t="s">
        <v>2183</v>
      </c>
      <c r="D619" s="146" t="s">
        <v>2546</v>
      </c>
      <c r="E619" s="147" t="s">
        <v>2265</v>
      </c>
      <c r="F619" s="148">
        <v>5325</v>
      </c>
      <c r="G619" s="149">
        <f>715+960+4571+2</f>
        <v>6248</v>
      </c>
      <c r="H619" s="149">
        <f>6+4346</f>
        <v>4352</v>
      </c>
      <c r="I619" s="196"/>
      <c r="J619" s="149">
        <v>0</v>
      </c>
      <c r="K619" s="149">
        <v>0</v>
      </c>
      <c r="L619" s="149">
        <v>0</v>
      </c>
      <c r="M619" s="149">
        <v>0</v>
      </c>
      <c r="N619" s="149">
        <v>0</v>
      </c>
      <c r="O619" s="149">
        <v>0</v>
      </c>
      <c r="P619" s="224"/>
      <c r="Q619" s="224"/>
      <c r="R619" s="224"/>
      <c r="S619" s="224"/>
      <c r="T619" s="224"/>
      <c r="U619" s="224"/>
      <c r="V619" s="224"/>
      <c r="W619" s="224"/>
      <c r="X619" s="224"/>
      <c r="Y619" s="224"/>
      <c r="Z619" s="224"/>
      <c r="AA619" s="224"/>
      <c r="AB619" s="224"/>
      <c r="AC619" s="224"/>
      <c r="AD619" s="143" t="s">
        <v>2598</v>
      </c>
      <c r="AE619" s="143" t="s">
        <v>2186</v>
      </c>
    </row>
    <row r="620" spans="1:31" ht="24.95" customHeight="1" x14ac:dyDescent="0.2">
      <c r="A620" s="144">
        <v>2158</v>
      </c>
      <c r="B620" s="145" t="s">
        <v>2876</v>
      </c>
      <c r="C620" s="146" t="s">
        <v>2723</v>
      </c>
      <c r="D620" s="146" t="s">
        <v>2368</v>
      </c>
      <c r="E620" s="147" t="s">
        <v>2265</v>
      </c>
      <c r="F620" s="148">
        <f>5515+885</f>
        <v>6400</v>
      </c>
      <c r="G620" s="149">
        <f>310+840+246+4918+2</f>
        <v>6316</v>
      </c>
      <c r="H620" s="149">
        <f>15+68</f>
        <v>83</v>
      </c>
      <c r="I620" s="196"/>
      <c r="J620" s="149">
        <v>0</v>
      </c>
      <c r="K620" s="149">
        <v>0</v>
      </c>
      <c r="L620" s="149">
        <v>0</v>
      </c>
      <c r="M620" s="149">
        <v>0</v>
      </c>
      <c r="N620" s="149">
        <v>0</v>
      </c>
      <c r="O620" s="149">
        <v>0</v>
      </c>
      <c r="P620" s="224"/>
      <c r="Q620" s="224"/>
      <c r="R620" s="224"/>
      <c r="S620" s="224"/>
      <c r="T620" s="224"/>
      <c r="U620" s="224"/>
      <c r="V620" s="224"/>
      <c r="W620" s="224"/>
      <c r="X620" s="224"/>
      <c r="Y620" s="224"/>
      <c r="Z620" s="224"/>
      <c r="AA620" s="224"/>
      <c r="AB620" s="224"/>
      <c r="AC620" s="224"/>
      <c r="AD620" s="143" t="s">
        <v>2347</v>
      </c>
      <c r="AE620" s="143" t="s">
        <v>2254</v>
      </c>
    </row>
    <row r="621" spans="1:31" ht="24.95" customHeight="1" x14ac:dyDescent="0.2">
      <c r="A621" s="144">
        <v>2159</v>
      </c>
      <c r="B621" s="145" t="s">
        <v>2877</v>
      </c>
      <c r="C621" s="146" t="s">
        <v>2723</v>
      </c>
      <c r="D621" s="146" t="s">
        <v>2368</v>
      </c>
      <c r="E621" s="147" t="s">
        <v>2265</v>
      </c>
      <c r="F621" s="148">
        <v>4350</v>
      </c>
      <c r="G621" s="149">
        <v>3960</v>
      </c>
      <c r="H621" s="149">
        <v>3420</v>
      </c>
      <c r="I621" s="196"/>
      <c r="J621" s="149">
        <v>0</v>
      </c>
      <c r="K621" s="149">
        <v>0</v>
      </c>
      <c r="L621" s="149">
        <v>0</v>
      </c>
      <c r="M621" s="149">
        <v>0</v>
      </c>
      <c r="N621" s="149">
        <v>0</v>
      </c>
      <c r="O621" s="149">
        <v>0</v>
      </c>
      <c r="P621" s="224"/>
      <c r="Q621" s="224"/>
      <c r="R621" s="224"/>
      <c r="S621" s="224"/>
      <c r="T621" s="224"/>
      <c r="U621" s="224"/>
      <c r="V621" s="224"/>
      <c r="W621" s="224"/>
      <c r="X621" s="224"/>
      <c r="Y621" s="224"/>
      <c r="Z621" s="224"/>
      <c r="AA621" s="224"/>
      <c r="AB621" s="224"/>
      <c r="AC621" s="224"/>
      <c r="AD621" s="143" t="s">
        <v>2598</v>
      </c>
      <c r="AE621" s="143" t="s">
        <v>2186</v>
      </c>
    </row>
    <row r="622" spans="1:31" ht="24.95" customHeight="1" x14ac:dyDescent="0.2">
      <c r="A622" s="144">
        <v>2160</v>
      </c>
      <c r="B622" s="145" t="s">
        <v>2878</v>
      </c>
      <c r="C622" s="146" t="s">
        <v>2309</v>
      </c>
      <c r="D622" s="146" t="s">
        <v>2368</v>
      </c>
      <c r="E622" s="147" t="s">
        <v>2184</v>
      </c>
      <c r="F622" s="148">
        <v>4005</v>
      </c>
      <c r="G622" s="149">
        <f>870+3394</f>
        <v>4264</v>
      </c>
      <c r="H622" s="149">
        <v>58</v>
      </c>
      <c r="I622" s="196"/>
      <c r="J622" s="149">
        <v>0</v>
      </c>
      <c r="K622" s="149">
        <v>0</v>
      </c>
      <c r="L622" s="149">
        <v>0</v>
      </c>
      <c r="M622" s="149">
        <v>0</v>
      </c>
      <c r="N622" s="149">
        <v>0</v>
      </c>
      <c r="O622" s="149">
        <v>0</v>
      </c>
      <c r="P622" s="224"/>
      <c r="Q622" s="224"/>
      <c r="R622" s="224"/>
      <c r="S622" s="224"/>
      <c r="T622" s="224"/>
      <c r="U622" s="224"/>
      <c r="V622" s="224"/>
      <c r="W622" s="224"/>
      <c r="X622" s="224"/>
      <c r="Y622" s="224"/>
      <c r="Z622" s="224"/>
      <c r="AA622" s="224"/>
      <c r="AB622" s="224"/>
      <c r="AC622" s="224"/>
      <c r="AD622" s="143" t="s">
        <v>2347</v>
      </c>
      <c r="AE622" s="143" t="s">
        <v>2254</v>
      </c>
    </row>
    <row r="623" spans="1:31" ht="24.95" customHeight="1" x14ac:dyDescent="0.2">
      <c r="A623" s="144">
        <v>2162</v>
      </c>
      <c r="B623" s="145" t="s">
        <v>2879</v>
      </c>
      <c r="C623" s="146" t="s">
        <v>2256</v>
      </c>
      <c r="D623" s="146" t="s">
        <v>2733</v>
      </c>
      <c r="E623" s="147" t="s">
        <v>2265</v>
      </c>
      <c r="F623" s="148">
        <v>4940</v>
      </c>
      <c r="G623" s="149">
        <f>145+445+2525+3775+2</f>
        <v>6892</v>
      </c>
      <c r="H623" s="149">
        <f>38+5</f>
        <v>43</v>
      </c>
      <c r="I623" s="196"/>
      <c r="J623" s="149">
        <v>0</v>
      </c>
      <c r="K623" s="149">
        <v>0</v>
      </c>
      <c r="L623" s="149">
        <v>0</v>
      </c>
      <c r="M623" s="149">
        <v>0</v>
      </c>
      <c r="N623" s="149">
        <v>0</v>
      </c>
      <c r="O623" s="149">
        <v>0</v>
      </c>
      <c r="P623" s="224"/>
      <c r="Q623" s="224"/>
      <c r="R623" s="224"/>
      <c r="S623" s="224"/>
      <c r="T623" s="224"/>
      <c r="U623" s="224"/>
      <c r="V623" s="224"/>
      <c r="W623" s="224"/>
      <c r="X623" s="224"/>
      <c r="Y623" s="224"/>
      <c r="Z623" s="224"/>
      <c r="AA623" s="224"/>
      <c r="AB623" s="224"/>
      <c r="AC623" s="224"/>
      <c r="AD623" s="143" t="s">
        <v>2347</v>
      </c>
      <c r="AE623" s="143" t="s">
        <v>2254</v>
      </c>
    </row>
    <row r="624" spans="1:31" ht="24.95" customHeight="1" x14ac:dyDescent="0.2">
      <c r="A624" s="144">
        <v>2164</v>
      </c>
      <c r="B624" s="145" t="s">
        <v>2880</v>
      </c>
      <c r="C624" s="146" t="s">
        <v>2183</v>
      </c>
      <c r="D624" s="146" t="s">
        <v>2183</v>
      </c>
      <c r="E624" s="147" t="s">
        <v>2310</v>
      </c>
      <c r="F624" s="148">
        <v>3160</v>
      </c>
      <c r="G624" s="149">
        <f>470+670+36+597+3277+111</f>
        <v>5161</v>
      </c>
      <c r="H624" s="149">
        <f>905+126</f>
        <v>1031</v>
      </c>
      <c r="I624" s="196"/>
      <c r="J624" s="149">
        <v>0</v>
      </c>
      <c r="K624" s="149">
        <v>0</v>
      </c>
      <c r="L624" s="149">
        <v>0</v>
      </c>
      <c r="M624" s="149">
        <v>0</v>
      </c>
      <c r="N624" s="149">
        <v>0</v>
      </c>
      <c r="O624" s="149">
        <v>0</v>
      </c>
      <c r="P624" s="224"/>
      <c r="Q624" s="224"/>
      <c r="R624" s="224"/>
      <c r="S624" s="224"/>
      <c r="T624" s="224"/>
      <c r="U624" s="224"/>
      <c r="V624" s="224"/>
      <c r="W624" s="224"/>
      <c r="X624" s="224"/>
      <c r="Y624" s="224"/>
      <c r="Z624" s="224"/>
      <c r="AA624" s="224"/>
      <c r="AB624" s="224"/>
      <c r="AC624" s="224"/>
      <c r="AD624" s="143" t="s">
        <v>2598</v>
      </c>
      <c r="AE624" s="143" t="s">
        <v>2186</v>
      </c>
    </row>
    <row r="625" spans="1:31" ht="24.95" customHeight="1" x14ac:dyDescent="0.2">
      <c r="A625" s="144">
        <v>2165</v>
      </c>
      <c r="B625" s="145" t="s">
        <v>2881</v>
      </c>
      <c r="C625" s="146" t="s">
        <v>2215</v>
      </c>
      <c r="D625" s="146" t="s">
        <v>2215</v>
      </c>
      <c r="E625" s="147" t="s">
        <v>2564</v>
      </c>
      <c r="F625" s="148">
        <v>4520</v>
      </c>
      <c r="G625" s="149">
        <f>3880+67</f>
        <v>3947</v>
      </c>
      <c r="H625" s="149">
        <v>56</v>
      </c>
      <c r="I625" s="196"/>
      <c r="J625" s="149">
        <v>4493</v>
      </c>
      <c r="K625" s="149">
        <v>2780</v>
      </c>
      <c r="L625" s="149">
        <v>0</v>
      </c>
      <c r="M625" s="149">
        <v>4737</v>
      </c>
      <c r="N625" s="149">
        <v>0</v>
      </c>
      <c r="O625" s="149">
        <v>3874</v>
      </c>
      <c r="P625" s="224"/>
      <c r="Q625" s="224"/>
      <c r="R625" s="224"/>
      <c r="S625" s="224"/>
      <c r="T625" s="224"/>
      <c r="U625" s="224"/>
      <c r="V625" s="224"/>
      <c r="W625" s="224"/>
      <c r="X625" s="224"/>
      <c r="Y625" s="224"/>
      <c r="Z625" s="224"/>
      <c r="AA625" s="224"/>
      <c r="AB625" s="224"/>
      <c r="AC625" s="224"/>
      <c r="AD625" s="143" t="s">
        <v>2185</v>
      </c>
      <c r="AE625" s="143" t="s">
        <v>2254</v>
      </c>
    </row>
    <row r="626" spans="1:31" ht="24.95" customHeight="1" x14ac:dyDescent="0.2">
      <c r="A626" s="144">
        <v>2166</v>
      </c>
      <c r="B626" s="145" t="s">
        <v>2882</v>
      </c>
      <c r="C626" s="146" t="s">
        <v>2215</v>
      </c>
      <c r="D626" s="146" t="s">
        <v>2215</v>
      </c>
      <c r="E626" s="147" t="s">
        <v>2564</v>
      </c>
      <c r="F626" s="148">
        <f>585+2190</f>
        <v>2775</v>
      </c>
      <c r="G626" s="149">
        <f>540+225+5+3</f>
        <v>773</v>
      </c>
      <c r="H626" s="149">
        <v>36</v>
      </c>
      <c r="I626" s="196"/>
      <c r="J626" s="149">
        <v>2808</v>
      </c>
      <c r="K626" s="149">
        <v>2795</v>
      </c>
      <c r="L626" s="149"/>
      <c r="M626" s="149">
        <v>2387</v>
      </c>
      <c r="N626" s="149"/>
      <c r="O626" s="149">
        <v>2589</v>
      </c>
      <c r="P626" s="224"/>
      <c r="Q626" s="224"/>
      <c r="R626" s="224"/>
      <c r="S626" s="224"/>
      <c r="T626" s="224"/>
      <c r="U626" s="224"/>
      <c r="V626" s="224"/>
      <c r="W626" s="224"/>
      <c r="X626" s="224"/>
      <c r="Y626" s="224"/>
      <c r="Z626" s="224"/>
      <c r="AA626" s="224"/>
      <c r="AB626" s="224"/>
      <c r="AC626" s="224"/>
      <c r="AD626" s="143" t="s">
        <v>2185</v>
      </c>
      <c r="AE626" s="143" t="s">
        <v>2254</v>
      </c>
    </row>
    <row r="627" spans="1:31" ht="24.95" customHeight="1" x14ac:dyDescent="0.2">
      <c r="A627" s="144">
        <v>2168</v>
      </c>
      <c r="B627" s="145" t="s">
        <v>2883</v>
      </c>
      <c r="C627" s="146" t="s">
        <v>2280</v>
      </c>
      <c r="D627" s="146" t="s">
        <v>2280</v>
      </c>
      <c r="E627" s="147" t="s">
        <v>2265</v>
      </c>
      <c r="F627" s="148">
        <v>4735</v>
      </c>
      <c r="G627" s="149">
        <f>21+4152</f>
        <v>4173</v>
      </c>
      <c r="H627" s="149">
        <v>76</v>
      </c>
      <c r="I627" s="196"/>
      <c r="J627" s="149">
        <v>0</v>
      </c>
      <c r="K627" s="149">
        <v>0</v>
      </c>
      <c r="L627" s="149">
        <v>0</v>
      </c>
      <c r="M627" s="149">
        <v>0</v>
      </c>
      <c r="N627" s="149">
        <v>0</v>
      </c>
      <c r="O627" s="149">
        <v>0</v>
      </c>
      <c r="P627" s="224"/>
      <c r="Q627" s="224"/>
      <c r="R627" s="224"/>
      <c r="S627" s="224"/>
      <c r="T627" s="224"/>
      <c r="U627" s="224"/>
      <c r="V627" s="224"/>
      <c r="W627" s="224"/>
      <c r="X627" s="224"/>
      <c r="Y627" s="224"/>
      <c r="Z627" s="224"/>
      <c r="AA627" s="224"/>
      <c r="AB627" s="224"/>
      <c r="AC627" s="224"/>
      <c r="AD627" s="143" t="s">
        <v>2185</v>
      </c>
      <c r="AE627" s="143" t="s">
        <v>2254</v>
      </c>
    </row>
    <row r="628" spans="1:31" ht="24.95" customHeight="1" x14ac:dyDescent="0.2">
      <c r="A628" s="144">
        <v>2180</v>
      </c>
      <c r="B628" s="145" t="s">
        <v>2884</v>
      </c>
      <c r="C628" s="146" t="s">
        <v>2215</v>
      </c>
      <c r="D628" s="146" t="s">
        <v>2823</v>
      </c>
      <c r="E628" s="147" t="s">
        <v>2265</v>
      </c>
      <c r="F628" s="148">
        <f>605+2420</f>
        <v>3025</v>
      </c>
      <c r="G628" s="149">
        <v>3155</v>
      </c>
      <c r="H628" s="149">
        <v>41</v>
      </c>
      <c r="I628" s="196"/>
      <c r="J628" s="149">
        <v>3008</v>
      </c>
      <c r="K628" s="149">
        <v>3150</v>
      </c>
      <c r="L628" s="149">
        <v>35</v>
      </c>
      <c r="M628" s="149">
        <v>1818</v>
      </c>
      <c r="N628" s="149">
        <f>41-35</f>
        <v>6</v>
      </c>
      <c r="O628" s="149">
        <v>2266</v>
      </c>
      <c r="P628" s="224"/>
      <c r="Q628" s="224"/>
      <c r="R628" s="224"/>
      <c r="S628" s="224"/>
      <c r="T628" s="224"/>
      <c r="U628" s="224"/>
      <c r="V628" s="224"/>
      <c r="W628" s="224"/>
      <c r="X628" s="224"/>
      <c r="Y628" s="224"/>
      <c r="Z628" s="224"/>
      <c r="AA628" s="224"/>
      <c r="AB628" s="224"/>
      <c r="AC628" s="224"/>
      <c r="AD628" s="143" t="s">
        <v>2185</v>
      </c>
      <c r="AE628" s="143" t="s">
        <v>2254</v>
      </c>
    </row>
    <row r="629" spans="1:31" ht="24.95" customHeight="1" x14ac:dyDescent="0.2">
      <c r="A629" s="144">
        <v>2181</v>
      </c>
      <c r="B629" s="145" t="s">
        <v>2885</v>
      </c>
      <c r="C629" s="146" t="s">
        <v>2215</v>
      </c>
      <c r="D629" s="146" t="s">
        <v>2215</v>
      </c>
      <c r="E629" s="147" t="s">
        <v>2265</v>
      </c>
      <c r="F629" s="148">
        <v>4880</v>
      </c>
      <c r="G629" s="149">
        <v>4850</v>
      </c>
      <c r="H629" s="149">
        <v>51</v>
      </c>
      <c r="I629" s="196"/>
      <c r="J629" s="149">
        <v>6279</v>
      </c>
      <c r="K629" s="149">
        <v>5450</v>
      </c>
      <c r="L629" s="149">
        <v>46</v>
      </c>
      <c r="M629" s="149">
        <v>3543</v>
      </c>
      <c r="N629" s="149">
        <f>52-46</f>
        <v>6</v>
      </c>
      <c r="O629" s="149">
        <v>1139</v>
      </c>
      <c r="P629" s="224"/>
      <c r="Q629" s="224"/>
      <c r="R629" s="224"/>
      <c r="S629" s="224"/>
      <c r="T629" s="224"/>
      <c r="U629" s="224"/>
      <c r="V629" s="224"/>
      <c r="W629" s="224"/>
      <c r="X629" s="224"/>
      <c r="Y629" s="224"/>
      <c r="Z629" s="224"/>
      <c r="AA629" s="224"/>
      <c r="AB629" s="224"/>
      <c r="AC629" s="224"/>
      <c r="AD629" s="143" t="s">
        <v>2185</v>
      </c>
      <c r="AE629" s="143" t="s">
        <v>2254</v>
      </c>
    </row>
    <row r="630" spans="1:31" ht="24.95" customHeight="1" x14ac:dyDescent="0.2">
      <c r="A630" s="144">
        <v>2182</v>
      </c>
      <c r="B630" s="145" t="s">
        <v>2886</v>
      </c>
      <c r="C630" s="146" t="s">
        <v>2258</v>
      </c>
      <c r="D630" s="146" t="s">
        <v>2258</v>
      </c>
      <c r="E630" s="147" t="s">
        <v>2184</v>
      </c>
      <c r="F630" s="148">
        <v>3750</v>
      </c>
      <c r="G630" s="149">
        <v>4665</v>
      </c>
      <c r="H630" s="149">
        <v>39</v>
      </c>
      <c r="I630" s="196"/>
      <c r="J630" s="149">
        <v>4261</v>
      </c>
      <c r="K630" s="149">
        <v>4934</v>
      </c>
      <c r="L630" s="149">
        <v>36</v>
      </c>
      <c r="M630" s="149">
        <v>1129</v>
      </c>
      <c r="N630" s="149">
        <f>42-36</f>
        <v>6</v>
      </c>
      <c r="O630" s="149">
        <v>1433</v>
      </c>
      <c r="P630" s="224"/>
      <c r="Q630" s="224"/>
      <c r="R630" s="224"/>
      <c r="S630" s="224"/>
      <c r="T630" s="224"/>
      <c r="U630" s="224"/>
      <c r="V630" s="224"/>
      <c r="W630" s="224"/>
      <c r="X630" s="224"/>
      <c r="Y630" s="224"/>
      <c r="Z630" s="224"/>
      <c r="AA630" s="224"/>
      <c r="AB630" s="224"/>
      <c r="AC630" s="224"/>
      <c r="AD630" s="143" t="s">
        <v>2185</v>
      </c>
      <c r="AE630" s="143" t="s">
        <v>2254</v>
      </c>
    </row>
    <row r="631" spans="1:31" ht="24.95" customHeight="1" x14ac:dyDescent="0.2">
      <c r="A631" s="144">
        <v>2184</v>
      </c>
      <c r="B631" s="145" t="s">
        <v>2887</v>
      </c>
      <c r="C631" s="146" t="s">
        <v>2258</v>
      </c>
      <c r="D631" s="146" t="s">
        <v>2258</v>
      </c>
      <c r="E631" s="147" t="s">
        <v>2265</v>
      </c>
      <c r="F631" s="148">
        <v>1680</v>
      </c>
      <c r="G631" s="149">
        <v>2910</v>
      </c>
      <c r="H631" s="149">
        <v>35</v>
      </c>
      <c r="I631" s="196"/>
      <c r="J631" s="149">
        <v>1707</v>
      </c>
      <c r="K631" s="149">
        <v>2948</v>
      </c>
      <c r="L631" s="149">
        <v>38</v>
      </c>
      <c r="M631" s="149">
        <v>1336</v>
      </c>
      <c r="N631" s="149">
        <v>0</v>
      </c>
      <c r="O631" s="149">
        <v>1321</v>
      </c>
      <c r="P631" s="224"/>
      <c r="Q631" s="224"/>
      <c r="R631" s="224"/>
      <c r="S631" s="224"/>
      <c r="T631" s="224"/>
      <c r="U631" s="224"/>
      <c r="V631" s="224"/>
      <c r="W631" s="224"/>
      <c r="X631" s="224"/>
      <c r="Y631" s="224"/>
      <c r="Z631" s="224"/>
      <c r="AA631" s="224"/>
      <c r="AB631" s="224"/>
      <c r="AC631" s="224"/>
      <c r="AD631" s="143" t="s">
        <v>2185</v>
      </c>
      <c r="AE631" s="143" t="s">
        <v>2254</v>
      </c>
    </row>
    <row r="632" spans="1:31" ht="24.95" customHeight="1" x14ac:dyDescent="0.2">
      <c r="A632" s="144">
        <v>2187</v>
      </c>
      <c r="B632" s="145" t="s">
        <v>2888</v>
      </c>
      <c r="C632" s="146" t="s">
        <v>2229</v>
      </c>
      <c r="D632" s="146" t="s">
        <v>2229</v>
      </c>
      <c r="E632" s="147" t="s">
        <v>2265</v>
      </c>
      <c r="F632" s="148">
        <f>3270+1105</f>
        <v>4375</v>
      </c>
      <c r="G632" s="149">
        <f>1085+1305+2+6</f>
        <v>2398</v>
      </c>
      <c r="H632" s="149">
        <f>37+4</f>
        <v>41</v>
      </c>
      <c r="I632" s="196"/>
      <c r="J632" s="149">
        <v>0</v>
      </c>
      <c r="K632" s="149">
        <v>0</v>
      </c>
      <c r="L632" s="149">
        <v>0</v>
      </c>
      <c r="M632" s="149">
        <v>0</v>
      </c>
      <c r="N632" s="149">
        <v>0</v>
      </c>
      <c r="O632" s="149">
        <v>0</v>
      </c>
      <c r="P632" s="224"/>
      <c r="Q632" s="224"/>
      <c r="R632" s="224"/>
      <c r="S632" s="224"/>
      <c r="T632" s="224"/>
      <c r="U632" s="224"/>
      <c r="V632" s="224"/>
      <c r="W632" s="224"/>
      <c r="X632" s="224"/>
      <c r="Y632" s="224"/>
      <c r="Z632" s="224"/>
      <c r="AA632" s="224"/>
      <c r="AB632" s="224"/>
      <c r="AC632" s="224"/>
      <c r="AD632" s="143" t="s">
        <v>2347</v>
      </c>
      <c r="AE632" s="143" t="s">
        <v>2254</v>
      </c>
    </row>
    <row r="633" spans="1:31" ht="24.95" customHeight="1" x14ac:dyDescent="0.2">
      <c r="A633" s="144">
        <v>2188</v>
      </c>
      <c r="B633" s="145" t="s">
        <v>2889</v>
      </c>
      <c r="C633" s="146" t="s">
        <v>2229</v>
      </c>
      <c r="D633" s="146" t="s">
        <v>2229</v>
      </c>
      <c r="E633" s="147" t="s">
        <v>2265</v>
      </c>
      <c r="F633" s="148">
        <f>3170+1490</f>
        <v>4660</v>
      </c>
      <c r="G633" s="149">
        <f>60+1615+1750+1+1+3</f>
        <v>3430</v>
      </c>
      <c r="H633" s="149">
        <v>55</v>
      </c>
      <c r="I633" s="196"/>
      <c r="J633" s="149">
        <v>0</v>
      </c>
      <c r="K633" s="149">
        <v>0</v>
      </c>
      <c r="L633" s="149">
        <v>0</v>
      </c>
      <c r="M633" s="149">
        <v>0</v>
      </c>
      <c r="N633" s="149">
        <v>0</v>
      </c>
      <c r="O633" s="149">
        <v>0</v>
      </c>
      <c r="P633" s="224"/>
      <c r="Q633" s="224"/>
      <c r="R633" s="224"/>
      <c r="S633" s="224"/>
      <c r="T633" s="224"/>
      <c r="U633" s="224"/>
      <c r="V633" s="224"/>
      <c r="W633" s="224"/>
      <c r="X633" s="224"/>
      <c r="Y633" s="224"/>
      <c r="Z633" s="224"/>
      <c r="AA633" s="224"/>
      <c r="AB633" s="224"/>
      <c r="AC633" s="224"/>
      <c r="AD633" s="143" t="s">
        <v>2347</v>
      </c>
      <c r="AE633" s="143" t="s">
        <v>2254</v>
      </c>
    </row>
    <row r="634" spans="1:31" ht="24.95" customHeight="1" x14ac:dyDescent="0.2">
      <c r="A634" s="144">
        <v>2189</v>
      </c>
      <c r="B634" s="145" t="s">
        <v>2890</v>
      </c>
      <c r="C634" s="146" t="s">
        <v>2194</v>
      </c>
      <c r="D634" s="146" t="s">
        <v>2288</v>
      </c>
      <c r="E634" s="147" t="s">
        <v>2184</v>
      </c>
      <c r="F634" s="148">
        <v>2520</v>
      </c>
      <c r="G634" s="149">
        <v>2605</v>
      </c>
      <c r="H634" s="149">
        <v>45</v>
      </c>
      <c r="I634" s="196"/>
      <c r="J634" s="149">
        <v>2756</v>
      </c>
      <c r="K634" s="149">
        <v>2545</v>
      </c>
      <c r="L634" s="149">
        <v>44</v>
      </c>
      <c r="M634" s="149">
        <v>3918</v>
      </c>
      <c r="N634" s="149">
        <v>0</v>
      </c>
      <c r="O634" s="149">
        <v>2369</v>
      </c>
      <c r="P634" s="224"/>
      <c r="Q634" s="224"/>
      <c r="R634" s="224"/>
      <c r="S634" s="224"/>
      <c r="T634" s="224"/>
      <c r="U634" s="224"/>
      <c r="V634" s="224"/>
      <c r="W634" s="224"/>
      <c r="X634" s="224"/>
      <c r="Y634" s="224"/>
      <c r="Z634" s="224"/>
      <c r="AA634" s="224"/>
      <c r="AB634" s="224"/>
      <c r="AC634" s="224"/>
      <c r="AD634" s="143" t="s">
        <v>2185</v>
      </c>
      <c r="AE634" s="143" t="s">
        <v>2254</v>
      </c>
    </row>
    <row r="635" spans="1:31" ht="24.95" customHeight="1" x14ac:dyDescent="0.2">
      <c r="A635" s="144">
        <v>2191</v>
      </c>
      <c r="B635" s="145" t="s">
        <v>2891</v>
      </c>
      <c r="C635" s="146" t="s">
        <v>2183</v>
      </c>
      <c r="D635" s="146" t="s">
        <v>2237</v>
      </c>
      <c r="E635" s="147" t="s">
        <v>2184</v>
      </c>
      <c r="F635" s="148">
        <v>3865</v>
      </c>
      <c r="G635" s="149">
        <v>5540</v>
      </c>
      <c r="H635" s="149">
        <v>42</v>
      </c>
      <c r="I635" s="196"/>
      <c r="J635" s="149">
        <v>0</v>
      </c>
      <c r="K635" s="149">
        <v>0</v>
      </c>
      <c r="L635" s="149">
        <v>0</v>
      </c>
      <c r="M635" s="149">
        <v>0</v>
      </c>
      <c r="N635" s="149">
        <v>0</v>
      </c>
      <c r="O635" s="149">
        <v>0</v>
      </c>
      <c r="P635" s="224"/>
      <c r="Q635" s="224"/>
      <c r="R635" s="224"/>
      <c r="S635" s="224"/>
      <c r="T635" s="224"/>
      <c r="U635" s="224"/>
      <c r="V635" s="224"/>
      <c r="W635" s="224"/>
      <c r="X635" s="224"/>
      <c r="Y635" s="224"/>
      <c r="Z635" s="224"/>
      <c r="AA635" s="224"/>
      <c r="AB635" s="224"/>
      <c r="AC635" s="224"/>
      <c r="AD635" s="143" t="s">
        <v>2185</v>
      </c>
      <c r="AE635" s="143" t="s">
        <v>2254</v>
      </c>
    </row>
    <row r="636" spans="1:31" ht="24.95" customHeight="1" x14ac:dyDescent="0.2">
      <c r="A636" s="144">
        <v>2193</v>
      </c>
      <c r="B636" s="145" t="s">
        <v>2892</v>
      </c>
      <c r="C636" s="146" t="s">
        <v>2183</v>
      </c>
      <c r="D636" s="146" t="s">
        <v>2237</v>
      </c>
      <c r="E636" s="147" t="s">
        <v>2184</v>
      </c>
      <c r="F636" s="148">
        <v>1910</v>
      </c>
      <c r="G636" s="149">
        <v>2375</v>
      </c>
      <c r="H636" s="149">
        <v>35</v>
      </c>
      <c r="I636" s="196"/>
      <c r="J636" s="149">
        <v>1191</v>
      </c>
      <c r="K636" s="149">
        <v>2375</v>
      </c>
      <c r="L636" s="149">
        <v>0</v>
      </c>
      <c r="M636" s="149">
        <v>2813</v>
      </c>
      <c r="N636" s="149">
        <v>0</v>
      </c>
      <c r="O636" s="149">
        <v>2751</v>
      </c>
      <c r="P636" s="224"/>
      <c r="Q636" s="224"/>
      <c r="R636" s="224"/>
      <c r="S636" s="224"/>
      <c r="T636" s="224"/>
      <c r="U636" s="224"/>
      <c r="V636" s="224"/>
      <c r="W636" s="224"/>
      <c r="X636" s="224"/>
      <c r="Y636" s="224"/>
      <c r="Z636" s="224"/>
      <c r="AA636" s="224"/>
      <c r="AB636" s="224"/>
      <c r="AC636" s="224"/>
      <c r="AD636" s="143" t="s">
        <v>2185</v>
      </c>
      <c r="AE636" s="143" t="s">
        <v>2254</v>
      </c>
    </row>
    <row r="637" spans="1:31" ht="24.95" customHeight="1" x14ac:dyDescent="0.2">
      <c r="A637" s="144">
        <v>2196</v>
      </c>
      <c r="B637" s="145" t="s">
        <v>2893</v>
      </c>
      <c r="C637" s="146" t="s">
        <v>2222</v>
      </c>
      <c r="D637" s="146" t="s">
        <v>2222</v>
      </c>
      <c r="E637" s="147" t="s">
        <v>2310</v>
      </c>
      <c r="F637" s="148">
        <v>5495</v>
      </c>
      <c r="G637" s="149">
        <v>2842</v>
      </c>
      <c r="H637" s="149">
        <v>2426</v>
      </c>
      <c r="I637" s="196"/>
      <c r="J637" s="149">
        <v>0</v>
      </c>
      <c r="K637" s="149">
        <v>0</v>
      </c>
      <c r="L637" s="149">
        <v>0</v>
      </c>
      <c r="M637" s="149">
        <v>0</v>
      </c>
      <c r="N637" s="149">
        <v>0</v>
      </c>
      <c r="O637" s="149">
        <v>0</v>
      </c>
      <c r="P637" s="224"/>
      <c r="Q637" s="224"/>
      <c r="R637" s="224"/>
      <c r="S637" s="224"/>
      <c r="T637" s="224"/>
      <c r="U637" s="224"/>
      <c r="V637" s="224"/>
      <c r="W637" s="224"/>
      <c r="X637" s="224"/>
      <c r="Y637" s="224"/>
      <c r="Z637" s="224"/>
      <c r="AA637" s="224"/>
      <c r="AB637" s="224"/>
      <c r="AC637" s="224"/>
      <c r="AD637" s="143" t="s">
        <v>2598</v>
      </c>
      <c r="AE637" s="143" t="s">
        <v>2186</v>
      </c>
    </row>
    <row r="638" spans="1:31" ht="24.95" customHeight="1" x14ac:dyDescent="0.2">
      <c r="A638" s="144">
        <v>2199</v>
      </c>
      <c r="B638" s="145" t="s">
        <v>2894</v>
      </c>
      <c r="C638" s="146" t="s">
        <v>2222</v>
      </c>
      <c r="D638" s="146" t="s">
        <v>2222</v>
      </c>
      <c r="E638" s="147" t="s">
        <v>2310</v>
      </c>
      <c r="F638" s="148">
        <f>50+2015</f>
        <v>2065</v>
      </c>
      <c r="G638" s="149">
        <f>55+75+185+1630+1</f>
        <v>1946</v>
      </c>
      <c r="H638" s="149">
        <v>497</v>
      </c>
      <c r="I638" s="196"/>
      <c r="J638" s="149">
        <v>0</v>
      </c>
      <c r="K638" s="149">
        <v>0</v>
      </c>
      <c r="L638" s="149">
        <v>0</v>
      </c>
      <c r="M638" s="149">
        <v>0</v>
      </c>
      <c r="N638" s="149">
        <v>0</v>
      </c>
      <c r="O638" s="149">
        <v>0</v>
      </c>
      <c r="P638" s="224"/>
      <c r="Q638" s="224"/>
      <c r="R638" s="224"/>
      <c r="S638" s="224"/>
      <c r="T638" s="224"/>
      <c r="U638" s="224"/>
      <c r="V638" s="224"/>
      <c r="W638" s="224"/>
      <c r="X638" s="224"/>
      <c r="Y638" s="224"/>
      <c r="Z638" s="224"/>
      <c r="AA638" s="224"/>
      <c r="AB638" s="224"/>
      <c r="AC638" s="224"/>
      <c r="AD638" s="143" t="s">
        <v>2517</v>
      </c>
      <c r="AE638" s="143" t="s">
        <v>2186</v>
      </c>
    </row>
    <row r="639" spans="1:31" ht="24.95" customHeight="1" x14ac:dyDescent="0.2">
      <c r="A639" s="144">
        <v>2202</v>
      </c>
      <c r="B639" s="145" t="s">
        <v>2895</v>
      </c>
      <c r="C639" s="146" t="s">
        <v>2215</v>
      </c>
      <c r="D639" s="146" t="s">
        <v>2215</v>
      </c>
      <c r="E639" s="147" t="s">
        <v>2265</v>
      </c>
      <c r="F639" s="148">
        <v>4140</v>
      </c>
      <c r="G639" s="149">
        <f>895+3220+1+4</f>
        <v>4120</v>
      </c>
      <c r="H639" s="149">
        <v>4145</v>
      </c>
      <c r="I639" s="196"/>
      <c r="J639" s="149">
        <v>0</v>
      </c>
      <c r="K639" s="149">
        <v>0</v>
      </c>
      <c r="L639" s="149">
        <v>0</v>
      </c>
      <c r="M639" s="149">
        <v>0</v>
      </c>
      <c r="N639" s="149">
        <v>0</v>
      </c>
      <c r="O639" s="149">
        <v>0</v>
      </c>
      <c r="P639" s="224"/>
      <c r="Q639" s="224"/>
      <c r="R639" s="224"/>
      <c r="S639" s="224"/>
      <c r="T639" s="224"/>
      <c r="U639" s="224"/>
      <c r="V639" s="224"/>
      <c r="W639" s="224"/>
      <c r="X639" s="224"/>
      <c r="Y639" s="224"/>
      <c r="Z639" s="224"/>
      <c r="AA639" s="224"/>
      <c r="AB639" s="224"/>
      <c r="AC639" s="224"/>
      <c r="AD639" s="143" t="s">
        <v>2598</v>
      </c>
      <c r="AE639" s="143" t="s">
        <v>2186</v>
      </c>
    </row>
    <row r="640" spans="1:31" ht="24.95" customHeight="1" x14ac:dyDescent="0.2">
      <c r="A640" s="144">
        <v>2203</v>
      </c>
      <c r="B640" s="145" t="s">
        <v>2896</v>
      </c>
      <c r="C640" s="146" t="s">
        <v>2215</v>
      </c>
      <c r="D640" s="146" t="s">
        <v>2215</v>
      </c>
      <c r="E640" s="147" t="s">
        <v>2265</v>
      </c>
      <c r="F640" s="148">
        <f>135+2885+1405+1465</f>
        <v>5890</v>
      </c>
      <c r="G640" s="149">
        <f>535+1425+2925+866+2+5</f>
        <v>5758</v>
      </c>
      <c r="H640" s="149">
        <v>29</v>
      </c>
      <c r="I640" s="196"/>
      <c r="J640" s="149">
        <v>0</v>
      </c>
      <c r="K640" s="149">
        <v>0</v>
      </c>
      <c r="L640" s="149">
        <v>0</v>
      </c>
      <c r="M640" s="149">
        <v>0</v>
      </c>
      <c r="N640" s="149">
        <v>0</v>
      </c>
      <c r="O640" s="149">
        <v>0</v>
      </c>
      <c r="P640" s="224"/>
      <c r="Q640" s="224"/>
      <c r="R640" s="224"/>
      <c r="S640" s="224"/>
      <c r="T640" s="224"/>
      <c r="U640" s="224"/>
      <c r="V640" s="224"/>
      <c r="W640" s="224"/>
      <c r="X640" s="224"/>
      <c r="Y640" s="224"/>
      <c r="Z640" s="224"/>
      <c r="AA640" s="224"/>
      <c r="AB640" s="224"/>
      <c r="AC640" s="224"/>
      <c r="AD640" s="143" t="s">
        <v>2601</v>
      </c>
      <c r="AE640" s="143" t="s">
        <v>2254</v>
      </c>
    </row>
    <row r="641" spans="1:31" ht="24.95" customHeight="1" x14ac:dyDescent="0.2">
      <c r="A641" s="144">
        <v>2207</v>
      </c>
      <c r="B641" s="145" t="s">
        <v>2897</v>
      </c>
      <c r="C641" s="146" t="s">
        <v>2222</v>
      </c>
      <c r="D641" s="146" t="s">
        <v>2222</v>
      </c>
      <c r="E641" s="147" t="s">
        <v>2310</v>
      </c>
      <c r="F641" s="148">
        <v>3455</v>
      </c>
      <c r="G641" s="149">
        <f>430+2515+826+2</f>
        <v>3773</v>
      </c>
      <c r="H641" s="149">
        <v>5022</v>
      </c>
      <c r="I641" s="196"/>
      <c r="J641" s="149">
        <v>0</v>
      </c>
      <c r="K641" s="149">
        <v>0</v>
      </c>
      <c r="L641" s="149">
        <v>0</v>
      </c>
      <c r="M641" s="149">
        <v>0</v>
      </c>
      <c r="N641" s="149">
        <v>0</v>
      </c>
      <c r="O641" s="149">
        <v>0</v>
      </c>
      <c r="P641" s="224"/>
      <c r="Q641" s="224"/>
      <c r="R641" s="224"/>
      <c r="S641" s="224"/>
      <c r="T641" s="224"/>
      <c r="U641" s="224"/>
      <c r="V641" s="224"/>
      <c r="W641" s="224"/>
      <c r="X641" s="224"/>
      <c r="Y641" s="224"/>
      <c r="Z641" s="224"/>
      <c r="AA641" s="224"/>
      <c r="AB641" s="224"/>
      <c r="AC641" s="224"/>
      <c r="AD641" s="143" t="s">
        <v>2517</v>
      </c>
      <c r="AE641" s="143" t="s">
        <v>2186</v>
      </c>
    </row>
    <row r="642" spans="1:31" ht="24.95" customHeight="1" x14ac:dyDescent="0.2">
      <c r="A642" s="144">
        <v>2210</v>
      </c>
      <c r="B642" s="145" t="s">
        <v>2898</v>
      </c>
      <c r="C642" s="146" t="s">
        <v>2222</v>
      </c>
      <c r="D642" s="146" t="s">
        <v>2222</v>
      </c>
      <c r="E642" s="147" t="s">
        <v>2223</v>
      </c>
      <c r="F642" s="148">
        <v>4620</v>
      </c>
      <c r="G642" s="149">
        <f>100+36+2247+1237</f>
        <v>3620</v>
      </c>
      <c r="H642" s="149">
        <v>53</v>
      </c>
      <c r="I642" s="196"/>
      <c r="J642" s="149">
        <v>0</v>
      </c>
      <c r="K642" s="149">
        <v>0</v>
      </c>
      <c r="L642" s="149">
        <v>0</v>
      </c>
      <c r="M642" s="149">
        <v>0</v>
      </c>
      <c r="N642" s="149">
        <v>0</v>
      </c>
      <c r="O642" s="149">
        <v>0</v>
      </c>
      <c r="P642" s="224"/>
      <c r="Q642" s="224"/>
      <c r="R642" s="224"/>
      <c r="S642" s="224"/>
      <c r="T642" s="224"/>
      <c r="U642" s="224"/>
      <c r="V642" s="224"/>
      <c r="W642" s="224"/>
      <c r="X642" s="224"/>
      <c r="Y642" s="224"/>
      <c r="Z642" s="224"/>
      <c r="AA642" s="224"/>
      <c r="AB642" s="224"/>
      <c r="AC642" s="224"/>
      <c r="AD642" s="143" t="s">
        <v>2347</v>
      </c>
      <c r="AE642" s="143" t="s">
        <v>2254</v>
      </c>
    </row>
    <row r="643" spans="1:31" ht="24.95" customHeight="1" x14ac:dyDescent="0.2">
      <c r="A643" s="144">
        <v>2211</v>
      </c>
      <c r="B643" s="145" t="s">
        <v>2899</v>
      </c>
      <c r="C643" s="146" t="s">
        <v>2222</v>
      </c>
      <c r="D643" s="146" t="s">
        <v>2222</v>
      </c>
      <c r="E643" s="147" t="s">
        <v>2310</v>
      </c>
      <c r="F643" s="148">
        <f>1705+2630</f>
        <v>4335</v>
      </c>
      <c r="G643" s="149">
        <f>130+841+2271</f>
        <v>3242</v>
      </c>
      <c r="H643" s="149">
        <v>1649</v>
      </c>
      <c r="I643" s="196"/>
      <c r="J643" s="149">
        <v>0</v>
      </c>
      <c r="K643" s="149">
        <v>0</v>
      </c>
      <c r="L643" s="149">
        <v>0</v>
      </c>
      <c r="M643" s="149">
        <v>0</v>
      </c>
      <c r="N643" s="149">
        <v>0</v>
      </c>
      <c r="O643" s="149">
        <v>0</v>
      </c>
      <c r="P643" s="224"/>
      <c r="Q643" s="224"/>
      <c r="R643" s="224"/>
      <c r="S643" s="224"/>
      <c r="T643" s="224"/>
      <c r="U643" s="224"/>
      <c r="V643" s="224"/>
      <c r="W643" s="224"/>
      <c r="X643" s="224"/>
      <c r="Y643" s="224"/>
      <c r="Z643" s="224"/>
      <c r="AA643" s="224"/>
      <c r="AB643" s="224"/>
      <c r="AC643" s="224"/>
      <c r="AD643" s="143" t="s">
        <v>2517</v>
      </c>
      <c r="AE643" s="143" t="s">
        <v>2186</v>
      </c>
    </row>
    <row r="644" spans="1:31" ht="24.95" customHeight="1" x14ac:dyDescent="0.2">
      <c r="A644" s="144">
        <v>2213</v>
      </c>
      <c r="B644" s="145" t="s">
        <v>2900</v>
      </c>
      <c r="C644" s="146" t="s">
        <v>2256</v>
      </c>
      <c r="D644" s="146" t="s">
        <v>2733</v>
      </c>
      <c r="E644" s="147" t="s">
        <v>2265</v>
      </c>
      <c r="F644" s="148">
        <v>3270</v>
      </c>
      <c r="G644" s="149">
        <f>6308-325-2275-48</f>
        <v>3660</v>
      </c>
      <c r="H644" s="149">
        <v>48</v>
      </c>
      <c r="I644" s="196"/>
      <c r="J644" s="149">
        <v>3736</v>
      </c>
      <c r="K644" s="149">
        <v>3660</v>
      </c>
      <c r="L644" s="149">
        <v>57</v>
      </c>
      <c r="M644" s="149">
        <v>2233</v>
      </c>
      <c r="N644" s="149">
        <v>0</v>
      </c>
      <c r="O644" s="149">
        <v>1973</v>
      </c>
      <c r="P644" s="224"/>
      <c r="Q644" s="224"/>
      <c r="R644" s="224"/>
      <c r="S644" s="224"/>
      <c r="T644" s="224"/>
      <c r="U644" s="224"/>
      <c r="V644" s="224"/>
      <c r="W644" s="224"/>
      <c r="X644" s="224"/>
      <c r="Y644" s="224"/>
      <c r="Z644" s="224"/>
      <c r="AA644" s="224"/>
      <c r="AB644" s="224"/>
      <c r="AC644" s="224"/>
      <c r="AD644" s="143" t="s">
        <v>2185</v>
      </c>
      <c r="AE644" s="143" t="s">
        <v>2254</v>
      </c>
    </row>
    <row r="645" spans="1:31" ht="24.95" customHeight="1" x14ac:dyDescent="0.2">
      <c r="A645" s="144">
        <v>2221</v>
      </c>
      <c r="B645" s="145" t="s">
        <v>2901</v>
      </c>
      <c r="C645" s="146" t="s">
        <v>2183</v>
      </c>
      <c r="D645" s="146" t="s">
        <v>2811</v>
      </c>
      <c r="E645" s="147" t="s">
        <v>2265</v>
      </c>
      <c r="F645" s="148">
        <v>5295</v>
      </c>
      <c r="G645" s="149">
        <v>4770</v>
      </c>
      <c r="H645" s="149"/>
      <c r="I645" s="196"/>
      <c r="J645" s="149">
        <v>5524</v>
      </c>
      <c r="K645" s="149">
        <v>4770</v>
      </c>
      <c r="L645" s="149">
        <v>0</v>
      </c>
      <c r="M645" s="149">
        <v>3416</v>
      </c>
      <c r="N645" s="149">
        <v>0</v>
      </c>
      <c r="O645" s="149">
        <v>2526</v>
      </c>
      <c r="P645" s="224"/>
      <c r="Q645" s="224"/>
      <c r="R645" s="224"/>
      <c r="S645" s="224"/>
      <c r="T645" s="224"/>
      <c r="U645" s="224"/>
      <c r="V645" s="224"/>
      <c r="W645" s="224"/>
      <c r="X645" s="224"/>
      <c r="Y645" s="224"/>
      <c r="Z645" s="224"/>
      <c r="AA645" s="224"/>
      <c r="AB645" s="224"/>
      <c r="AC645" s="224"/>
      <c r="AD645" s="143" t="s">
        <v>2185</v>
      </c>
      <c r="AE645" s="143" t="s">
        <v>2254</v>
      </c>
    </row>
    <row r="646" spans="1:31" ht="24.95" customHeight="1" x14ac:dyDescent="0.2">
      <c r="A646" s="144">
        <v>2230</v>
      </c>
      <c r="B646" s="145" t="s">
        <v>2902</v>
      </c>
      <c r="C646" s="146" t="s">
        <v>2194</v>
      </c>
      <c r="D646" s="146" t="s">
        <v>2752</v>
      </c>
      <c r="E646" s="147" t="s">
        <v>2265</v>
      </c>
      <c r="F646" s="148">
        <f>7175+7921</f>
        <v>15096</v>
      </c>
      <c r="G646" s="149">
        <f>4545+658+2</f>
        <v>5205</v>
      </c>
      <c r="H646" s="149">
        <v>0</v>
      </c>
      <c r="I646" s="196"/>
      <c r="J646" s="149">
        <v>0</v>
      </c>
      <c r="K646" s="149">
        <v>0</v>
      </c>
      <c r="L646" s="149">
        <v>0</v>
      </c>
      <c r="M646" s="149">
        <v>0</v>
      </c>
      <c r="N646" s="149">
        <v>0</v>
      </c>
      <c r="O646" s="149">
        <v>0</v>
      </c>
      <c r="P646" s="224"/>
      <c r="Q646" s="224"/>
      <c r="R646" s="224"/>
      <c r="S646" s="224"/>
      <c r="T646" s="224"/>
      <c r="U646" s="224"/>
      <c r="V646" s="224"/>
      <c r="W646" s="224"/>
      <c r="X646" s="224"/>
      <c r="Y646" s="224"/>
      <c r="Z646" s="224"/>
      <c r="AA646" s="224"/>
      <c r="AB646" s="224"/>
      <c r="AC646" s="224"/>
      <c r="AD646" s="143" t="s">
        <v>2517</v>
      </c>
      <c r="AE646" s="143" t="s">
        <v>2186</v>
      </c>
    </row>
    <row r="647" spans="1:31" ht="24.95" customHeight="1" x14ac:dyDescent="0.2">
      <c r="A647" s="144">
        <v>2235</v>
      </c>
      <c r="B647" s="145" t="s">
        <v>2903</v>
      </c>
      <c r="C647" s="146" t="s">
        <v>2215</v>
      </c>
      <c r="D647" s="146" t="s">
        <v>2904</v>
      </c>
      <c r="E647" s="147" t="s">
        <v>2265</v>
      </c>
      <c r="F647" s="148">
        <f>220+1695+1105</f>
        <v>3020</v>
      </c>
      <c r="G647" s="149">
        <f>255+1110+1515+17</f>
        <v>2897</v>
      </c>
      <c r="H647" s="149">
        <v>1719</v>
      </c>
      <c r="I647" s="196"/>
      <c r="J647" s="149">
        <v>0</v>
      </c>
      <c r="K647" s="149">
        <v>0</v>
      </c>
      <c r="L647" s="149">
        <v>0</v>
      </c>
      <c r="M647" s="149">
        <v>0</v>
      </c>
      <c r="N647" s="149">
        <v>0</v>
      </c>
      <c r="O647" s="149">
        <v>0</v>
      </c>
      <c r="P647" s="224"/>
      <c r="Q647" s="224"/>
      <c r="R647" s="224"/>
      <c r="S647" s="224"/>
      <c r="T647" s="224"/>
      <c r="U647" s="224"/>
      <c r="V647" s="224"/>
      <c r="W647" s="224"/>
      <c r="X647" s="224"/>
      <c r="Y647" s="224"/>
      <c r="Z647" s="224"/>
      <c r="AA647" s="224"/>
      <c r="AB647" s="224"/>
      <c r="AC647" s="224"/>
      <c r="AD647" s="143" t="s">
        <v>2517</v>
      </c>
      <c r="AE647" s="143" t="s">
        <v>2186</v>
      </c>
    </row>
    <row r="648" spans="1:31" ht="24.95" customHeight="1" x14ac:dyDescent="0.2">
      <c r="A648" s="144">
        <v>2239</v>
      </c>
      <c r="B648" s="145" t="s">
        <v>2905</v>
      </c>
      <c r="C648" s="146" t="s">
        <v>2215</v>
      </c>
      <c r="D648" s="146" t="s">
        <v>2906</v>
      </c>
      <c r="E648" s="147" t="s">
        <v>2265</v>
      </c>
      <c r="F648" s="148">
        <v>3040</v>
      </c>
      <c r="G648" s="149">
        <f>3650+1+4</f>
        <v>3655</v>
      </c>
      <c r="H648" s="149">
        <v>1765</v>
      </c>
      <c r="I648" s="196"/>
      <c r="J648" s="149">
        <v>0</v>
      </c>
      <c r="K648" s="149">
        <v>0</v>
      </c>
      <c r="L648" s="149">
        <v>0</v>
      </c>
      <c r="M648" s="149">
        <v>0</v>
      </c>
      <c r="N648" s="149">
        <v>0</v>
      </c>
      <c r="O648" s="149">
        <v>0</v>
      </c>
      <c r="P648" s="224"/>
      <c r="Q648" s="224"/>
      <c r="R648" s="224"/>
      <c r="S648" s="224"/>
      <c r="T648" s="224"/>
      <c r="U648" s="224"/>
      <c r="V648" s="224"/>
      <c r="W648" s="224"/>
      <c r="X648" s="224"/>
      <c r="Y648" s="224"/>
      <c r="Z648" s="224"/>
      <c r="AA648" s="224"/>
      <c r="AB648" s="224"/>
      <c r="AC648" s="224"/>
      <c r="AD648" s="143" t="s">
        <v>2598</v>
      </c>
      <c r="AE648" s="143" t="s">
        <v>2186</v>
      </c>
    </row>
    <row r="649" spans="1:31" ht="24.95" customHeight="1" x14ac:dyDescent="0.2">
      <c r="A649" s="144">
        <v>2260</v>
      </c>
      <c r="B649" s="145" t="s">
        <v>2907</v>
      </c>
      <c r="C649" s="146" t="s">
        <v>2256</v>
      </c>
      <c r="D649" s="146" t="s">
        <v>2256</v>
      </c>
      <c r="E649" s="147" t="s">
        <v>2265</v>
      </c>
      <c r="F649" s="148">
        <v>6030</v>
      </c>
      <c r="G649" s="149">
        <f>125+160+995+1735+2005+1+1</f>
        <v>5022</v>
      </c>
      <c r="H649" s="149">
        <v>49</v>
      </c>
      <c r="I649" s="196"/>
      <c r="J649" s="149">
        <v>0</v>
      </c>
      <c r="K649" s="149">
        <v>0</v>
      </c>
      <c r="L649" s="149">
        <v>0</v>
      </c>
      <c r="M649" s="149">
        <v>0</v>
      </c>
      <c r="N649" s="149">
        <v>0</v>
      </c>
      <c r="O649" s="149">
        <v>0</v>
      </c>
      <c r="P649" s="224"/>
      <c r="Q649" s="224"/>
      <c r="R649" s="224"/>
      <c r="S649" s="224"/>
      <c r="T649" s="224"/>
      <c r="U649" s="224"/>
      <c r="V649" s="224"/>
      <c r="W649" s="224"/>
      <c r="X649" s="224"/>
      <c r="Y649" s="224"/>
      <c r="Z649" s="224"/>
      <c r="AA649" s="224"/>
      <c r="AB649" s="224"/>
      <c r="AC649" s="224"/>
      <c r="AD649" s="143" t="s">
        <v>2347</v>
      </c>
      <c r="AE649" s="143" t="s">
        <v>2254</v>
      </c>
    </row>
    <row r="650" spans="1:31" ht="24.95" customHeight="1" x14ac:dyDescent="0.2">
      <c r="A650" s="144">
        <v>2262</v>
      </c>
      <c r="B650" s="145" t="s">
        <v>2908</v>
      </c>
      <c r="C650" s="146" t="s">
        <v>2723</v>
      </c>
      <c r="D650" s="146" t="s">
        <v>2368</v>
      </c>
      <c r="E650" s="147" t="s">
        <v>2265</v>
      </c>
      <c r="F650" s="148">
        <f>940+4190+1080</f>
        <v>6210</v>
      </c>
      <c r="G650" s="149">
        <f>750+1060+3550+1+17+11+3</f>
        <v>5392</v>
      </c>
      <c r="H650" s="149">
        <v>3450</v>
      </c>
      <c r="I650" s="196"/>
      <c r="J650" s="149">
        <v>0</v>
      </c>
      <c r="K650" s="149">
        <v>0</v>
      </c>
      <c r="L650" s="149">
        <v>0</v>
      </c>
      <c r="M650" s="149">
        <v>0</v>
      </c>
      <c r="N650" s="149">
        <v>0</v>
      </c>
      <c r="O650" s="149">
        <v>0</v>
      </c>
      <c r="P650" s="224"/>
      <c r="Q650" s="224"/>
      <c r="R650" s="224"/>
      <c r="S650" s="224"/>
      <c r="T650" s="224"/>
      <c r="U650" s="224"/>
      <c r="V650" s="224"/>
      <c r="W650" s="224"/>
      <c r="X650" s="224"/>
      <c r="Y650" s="224"/>
      <c r="Z650" s="224"/>
      <c r="AA650" s="224"/>
      <c r="AB650" s="224"/>
      <c r="AC650" s="224"/>
      <c r="AD650" s="143" t="s">
        <v>2517</v>
      </c>
      <c r="AE650" s="143" t="s">
        <v>2186</v>
      </c>
    </row>
    <row r="651" spans="1:31" ht="24.95" customHeight="1" x14ac:dyDescent="0.2">
      <c r="A651" s="144">
        <v>2263</v>
      </c>
      <c r="B651" s="145" t="s">
        <v>2909</v>
      </c>
      <c r="C651" s="146" t="s">
        <v>2723</v>
      </c>
      <c r="D651" s="146" t="s">
        <v>2368</v>
      </c>
      <c r="E651" s="147" t="s">
        <v>2265</v>
      </c>
      <c r="F651" s="148">
        <f>1360+6210</f>
        <v>7570</v>
      </c>
      <c r="G651" s="149">
        <f>1245+4505+1+1+74+82</f>
        <v>5908</v>
      </c>
      <c r="H651" s="149">
        <v>5005</v>
      </c>
      <c r="I651" s="196"/>
      <c r="J651" s="149">
        <v>0</v>
      </c>
      <c r="K651" s="149">
        <v>0</v>
      </c>
      <c r="L651" s="149">
        <v>0</v>
      </c>
      <c r="M651" s="149">
        <v>0</v>
      </c>
      <c r="N651" s="149">
        <v>0</v>
      </c>
      <c r="O651" s="149">
        <v>0</v>
      </c>
      <c r="P651" s="224"/>
      <c r="Q651" s="224"/>
      <c r="R651" s="224"/>
      <c r="S651" s="224"/>
      <c r="T651" s="224"/>
      <c r="U651" s="224"/>
      <c r="V651" s="224"/>
      <c r="W651" s="224"/>
      <c r="X651" s="224"/>
      <c r="Y651" s="224"/>
      <c r="Z651" s="224"/>
      <c r="AA651" s="224"/>
      <c r="AB651" s="224"/>
      <c r="AC651" s="224"/>
      <c r="AD651" s="143" t="s">
        <v>2517</v>
      </c>
      <c r="AE651" s="143" t="s">
        <v>2186</v>
      </c>
    </row>
    <row r="652" spans="1:31" ht="24.95" customHeight="1" x14ac:dyDescent="0.2">
      <c r="A652" s="144">
        <v>2275</v>
      </c>
      <c r="B652" s="145" t="s">
        <v>2910</v>
      </c>
      <c r="C652" s="146" t="s">
        <v>2471</v>
      </c>
      <c r="D652" s="146" t="s">
        <v>2222</v>
      </c>
      <c r="E652" s="147" t="s">
        <v>2265</v>
      </c>
      <c r="F652" s="148">
        <f>3430+3435</f>
        <v>6865</v>
      </c>
      <c r="G652" s="149">
        <f>1235+5525+2+62+3</f>
        <v>6827</v>
      </c>
      <c r="H652" s="149">
        <v>91</v>
      </c>
      <c r="I652" s="196"/>
      <c r="J652" s="149">
        <v>0</v>
      </c>
      <c r="K652" s="149">
        <v>0</v>
      </c>
      <c r="L652" s="149">
        <v>0</v>
      </c>
      <c r="M652" s="149">
        <v>0</v>
      </c>
      <c r="N652" s="149">
        <v>0</v>
      </c>
      <c r="O652" s="149">
        <v>0</v>
      </c>
      <c r="P652" s="224"/>
      <c r="Q652" s="224"/>
      <c r="R652" s="224"/>
      <c r="S652" s="224"/>
      <c r="T652" s="224"/>
      <c r="U652" s="224"/>
      <c r="V652" s="224"/>
      <c r="W652" s="224"/>
      <c r="X652" s="224"/>
      <c r="Y652" s="224"/>
      <c r="Z652" s="224"/>
      <c r="AA652" s="224"/>
      <c r="AB652" s="224"/>
      <c r="AC652" s="224"/>
      <c r="AD652" s="143" t="s">
        <v>2347</v>
      </c>
      <c r="AE652" s="143" t="s">
        <v>2254</v>
      </c>
    </row>
    <row r="653" spans="1:31" ht="24.95" customHeight="1" x14ac:dyDescent="0.2">
      <c r="A653" s="144">
        <v>2277</v>
      </c>
      <c r="B653" s="145" t="s">
        <v>2911</v>
      </c>
      <c r="C653" s="146" t="s">
        <v>2183</v>
      </c>
      <c r="D653" s="146" t="s">
        <v>2220</v>
      </c>
      <c r="E653" s="147" t="s">
        <v>2912</v>
      </c>
      <c r="F653" s="148">
        <v>6250</v>
      </c>
      <c r="G653" s="149">
        <v>6000</v>
      </c>
      <c r="H653" s="149">
        <v>5</v>
      </c>
      <c r="I653" s="196"/>
      <c r="J653" s="149">
        <v>5881</v>
      </c>
      <c r="K653" s="149">
        <v>5345</v>
      </c>
      <c r="L653" s="149">
        <v>0</v>
      </c>
      <c r="M653" s="149">
        <v>1320</v>
      </c>
      <c r="N653" s="149">
        <v>0</v>
      </c>
      <c r="O653" s="149">
        <v>897</v>
      </c>
      <c r="P653" s="224"/>
      <c r="Q653" s="224"/>
      <c r="R653" s="224"/>
      <c r="S653" s="224"/>
      <c r="T653" s="224"/>
      <c r="U653" s="224"/>
      <c r="V653" s="224"/>
      <c r="W653" s="224"/>
      <c r="X653" s="224"/>
      <c r="Y653" s="224"/>
      <c r="Z653" s="224"/>
      <c r="AA653" s="224"/>
      <c r="AB653" s="224"/>
      <c r="AC653" s="224"/>
      <c r="AD653" s="143" t="s">
        <v>2185</v>
      </c>
      <c r="AE653" s="143" t="s">
        <v>2254</v>
      </c>
    </row>
    <row r="654" spans="1:31" ht="24.95" customHeight="1" x14ac:dyDescent="0.2">
      <c r="A654" s="144">
        <v>2278</v>
      </c>
      <c r="B654" s="145" t="s">
        <v>2913</v>
      </c>
      <c r="C654" s="146" t="s">
        <v>2312</v>
      </c>
      <c r="D654" s="146" t="s">
        <v>2312</v>
      </c>
      <c r="E654" s="147" t="s">
        <v>2265</v>
      </c>
      <c r="F654" s="148">
        <v>10625</v>
      </c>
      <c r="G654" s="149">
        <f>235+7390+182+3669</f>
        <v>11476</v>
      </c>
      <c r="H654" s="149">
        <v>151</v>
      </c>
      <c r="I654" s="196"/>
      <c r="J654" s="149">
        <v>0</v>
      </c>
      <c r="K654" s="149">
        <v>0</v>
      </c>
      <c r="L654" s="149">
        <v>0</v>
      </c>
      <c r="M654" s="149">
        <v>0</v>
      </c>
      <c r="N654" s="149">
        <v>0</v>
      </c>
      <c r="O654" s="149">
        <v>0</v>
      </c>
      <c r="P654" s="224"/>
      <c r="Q654" s="224"/>
      <c r="R654" s="224"/>
      <c r="S654" s="224"/>
      <c r="T654" s="224"/>
      <c r="U654" s="224"/>
      <c r="V654" s="224"/>
      <c r="W654" s="224"/>
      <c r="X654" s="224"/>
      <c r="Y654" s="224"/>
      <c r="Z654" s="224"/>
      <c r="AA654" s="224"/>
      <c r="AB654" s="224"/>
      <c r="AC654" s="224"/>
      <c r="AD654" s="143" t="s">
        <v>2601</v>
      </c>
      <c r="AE654" s="143" t="s">
        <v>2254</v>
      </c>
    </row>
    <row r="655" spans="1:31" ht="24.95" customHeight="1" x14ac:dyDescent="0.2">
      <c r="A655" s="144">
        <v>2279</v>
      </c>
      <c r="B655" s="145" t="s">
        <v>2914</v>
      </c>
      <c r="C655" s="146" t="s">
        <v>2312</v>
      </c>
      <c r="D655" s="146" t="s">
        <v>2488</v>
      </c>
      <c r="E655" s="147" t="s">
        <v>2265</v>
      </c>
      <c r="F655" s="148">
        <v>5795</v>
      </c>
      <c r="G655" s="149">
        <f>775+4260+3</f>
        <v>5038</v>
      </c>
      <c r="H655" s="149">
        <v>3475</v>
      </c>
      <c r="I655" s="196"/>
      <c r="J655" s="149">
        <v>0</v>
      </c>
      <c r="K655" s="149">
        <v>0</v>
      </c>
      <c r="L655" s="149">
        <v>0</v>
      </c>
      <c r="M655" s="149">
        <v>0</v>
      </c>
      <c r="N655" s="149">
        <v>0</v>
      </c>
      <c r="O655" s="149">
        <v>0</v>
      </c>
      <c r="P655" s="224"/>
      <c r="Q655" s="224"/>
      <c r="R655" s="224"/>
      <c r="S655" s="224"/>
      <c r="T655" s="224"/>
      <c r="U655" s="224"/>
      <c r="V655" s="224"/>
      <c r="W655" s="224"/>
      <c r="X655" s="224"/>
      <c r="Y655" s="224"/>
      <c r="Z655" s="224"/>
      <c r="AA655" s="224"/>
      <c r="AB655" s="224"/>
      <c r="AC655" s="224"/>
      <c r="AD655" s="143" t="s">
        <v>2517</v>
      </c>
      <c r="AE655" s="143" t="s">
        <v>2186</v>
      </c>
    </row>
    <row r="656" spans="1:31" ht="24.95" customHeight="1" x14ac:dyDescent="0.2">
      <c r="A656" s="144">
        <v>2257</v>
      </c>
      <c r="B656" s="145" t="s">
        <v>2915</v>
      </c>
      <c r="C656" s="146" t="s">
        <v>2250</v>
      </c>
      <c r="D656" s="146" t="s">
        <v>2285</v>
      </c>
      <c r="E656" s="147" t="s">
        <v>2223</v>
      </c>
      <c r="F656" s="148">
        <v>4305</v>
      </c>
      <c r="G656" s="149">
        <v>1885</v>
      </c>
      <c r="H656" s="149">
        <v>61</v>
      </c>
      <c r="I656" s="196"/>
      <c r="J656" s="149">
        <v>0</v>
      </c>
      <c r="K656" s="149">
        <v>0</v>
      </c>
      <c r="L656" s="149">
        <v>0</v>
      </c>
      <c r="M656" s="149">
        <v>0</v>
      </c>
      <c r="N656" s="149">
        <v>0</v>
      </c>
      <c r="O656" s="149">
        <v>0</v>
      </c>
      <c r="P656" s="224"/>
      <c r="Q656" s="224"/>
      <c r="R656" s="224"/>
      <c r="S656" s="224"/>
      <c r="T656" s="224"/>
      <c r="U656" s="224"/>
      <c r="V656" s="224"/>
      <c r="W656" s="224"/>
      <c r="X656" s="224"/>
      <c r="Y656" s="224"/>
      <c r="Z656" s="224"/>
      <c r="AA656" s="224"/>
      <c r="AB656" s="224"/>
      <c r="AC656" s="224"/>
      <c r="AD656" s="143" t="s">
        <v>2185</v>
      </c>
      <c r="AE656" s="143" t="s">
        <v>2254</v>
      </c>
    </row>
    <row r="657" spans="1:31" ht="24.95" customHeight="1" x14ac:dyDescent="0.2">
      <c r="A657" s="144">
        <v>2280</v>
      </c>
      <c r="B657" s="145" t="s">
        <v>2916</v>
      </c>
      <c r="C657" s="146" t="s">
        <v>2312</v>
      </c>
      <c r="D657" s="146" t="s">
        <v>2488</v>
      </c>
      <c r="E657" s="147" t="s">
        <v>2265</v>
      </c>
      <c r="F657" s="148">
        <f>530+3635+1290</f>
        <v>5455</v>
      </c>
      <c r="G657" s="149">
        <f>640+4285+2+2+806</f>
        <v>5735</v>
      </c>
      <c r="H657" s="149">
        <v>34</v>
      </c>
      <c r="I657" s="196"/>
      <c r="J657" s="149">
        <v>0</v>
      </c>
      <c r="K657" s="149">
        <v>0</v>
      </c>
      <c r="L657" s="149">
        <v>0</v>
      </c>
      <c r="M657" s="149">
        <v>0</v>
      </c>
      <c r="N657" s="149">
        <v>0</v>
      </c>
      <c r="O657" s="149">
        <v>0</v>
      </c>
      <c r="P657" s="224"/>
      <c r="Q657" s="224"/>
      <c r="R657" s="224"/>
      <c r="S657" s="224"/>
      <c r="T657" s="224"/>
      <c r="U657" s="224"/>
      <c r="V657" s="224"/>
      <c r="W657" s="224"/>
      <c r="X657" s="224"/>
      <c r="Y657" s="224"/>
      <c r="Z657" s="224"/>
      <c r="AA657" s="224"/>
      <c r="AB657" s="224"/>
      <c r="AC657" s="224"/>
      <c r="AD657" s="143" t="s">
        <v>2347</v>
      </c>
      <c r="AE657" s="143" t="s">
        <v>2254</v>
      </c>
    </row>
    <row r="658" spans="1:31" ht="24.95" customHeight="1" x14ac:dyDescent="0.2">
      <c r="A658" s="144">
        <v>2281</v>
      </c>
      <c r="B658" s="145" t="s">
        <v>2917</v>
      </c>
      <c r="C658" s="146" t="s">
        <v>2312</v>
      </c>
      <c r="D658" s="146" t="s">
        <v>2488</v>
      </c>
      <c r="E658" s="147" t="s">
        <v>2265</v>
      </c>
      <c r="F658" s="148">
        <f>5245+3515</f>
        <v>8760</v>
      </c>
      <c r="G658" s="149">
        <f>565+770+2455+3000+32+1502</f>
        <v>8324</v>
      </c>
      <c r="H658" s="149">
        <f>30+68</f>
        <v>98</v>
      </c>
      <c r="I658" s="196"/>
      <c r="J658" s="149">
        <v>0</v>
      </c>
      <c r="K658" s="149">
        <v>0</v>
      </c>
      <c r="L658" s="149">
        <v>0</v>
      </c>
      <c r="M658" s="149">
        <v>0</v>
      </c>
      <c r="N658" s="149">
        <v>0</v>
      </c>
      <c r="O658" s="149">
        <v>0</v>
      </c>
      <c r="P658" s="224"/>
      <c r="Q658" s="224"/>
      <c r="R658" s="224"/>
      <c r="S658" s="224"/>
      <c r="T658" s="224"/>
      <c r="U658" s="224"/>
      <c r="V658" s="224"/>
      <c r="W658" s="224"/>
      <c r="X658" s="224"/>
      <c r="Y658" s="224"/>
      <c r="Z658" s="224"/>
      <c r="AA658" s="224"/>
      <c r="AB658" s="224"/>
      <c r="AC658" s="224"/>
      <c r="AD658" s="143" t="s">
        <v>2347</v>
      </c>
      <c r="AE658" s="143" t="s">
        <v>2254</v>
      </c>
    </row>
    <row r="659" spans="1:31" ht="24.95" customHeight="1" x14ac:dyDescent="0.2">
      <c r="A659" s="144">
        <v>2283</v>
      </c>
      <c r="B659" s="145" t="s">
        <v>2918</v>
      </c>
      <c r="C659" s="146" t="s">
        <v>2312</v>
      </c>
      <c r="D659" s="146" t="s">
        <v>2312</v>
      </c>
      <c r="E659" s="147" t="s">
        <v>2184</v>
      </c>
      <c r="F659" s="148">
        <v>610</v>
      </c>
      <c r="G659" s="149">
        <v>600</v>
      </c>
      <c r="H659" s="149">
        <v>5</v>
      </c>
      <c r="I659" s="196"/>
      <c r="J659" s="149">
        <v>0</v>
      </c>
      <c r="K659" s="149">
        <v>0</v>
      </c>
      <c r="L659" s="149">
        <v>0</v>
      </c>
      <c r="M659" s="149">
        <v>0</v>
      </c>
      <c r="N659" s="149">
        <v>0</v>
      </c>
      <c r="O659" s="149">
        <v>0</v>
      </c>
      <c r="P659" s="224"/>
      <c r="Q659" s="224"/>
      <c r="R659" s="224"/>
      <c r="S659" s="224"/>
      <c r="T659" s="224"/>
      <c r="U659" s="224"/>
      <c r="V659" s="224"/>
      <c r="W659" s="224"/>
      <c r="X659" s="224"/>
      <c r="Y659" s="224"/>
      <c r="Z659" s="224"/>
      <c r="AA659" s="224"/>
      <c r="AB659" s="224"/>
      <c r="AC659" s="224"/>
      <c r="AD659" s="143" t="s">
        <v>2185</v>
      </c>
      <c r="AE659" s="143" t="s">
        <v>2254</v>
      </c>
    </row>
    <row r="660" spans="1:31" ht="24.95" customHeight="1" x14ac:dyDescent="0.2">
      <c r="A660" s="144">
        <v>2286</v>
      </c>
      <c r="B660" s="145" t="s">
        <v>2919</v>
      </c>
      <c r="C660" s="146" t="s">
        <v>2309</v>
      </c>
      <c r="D660" s="146" t="s">
        <v>2920</v>
      </c>
      <c r="E660" s="147" t="s">
        <v>2265</v>
      </c>
      <c r="F660" s="148">
        <v>2955</v>
      </c>
      <c r="G660" s="149">
        <f>2705+12+3</f>
        <v>2720</v>
      </c>
      <c r="H660" s="149">
        <v>17</v>
      </c>
      <c r="I660" s="196"/>
      <c r="J660" s="149">
        <v>0</v>
      </c>
      <c r="K660" s="149">
        <v>0</v>
      </c>
      <c r="L660" s="149">
        <v>0</v>
      </c>
      <c r="M660" s="149">
        <v>0</v>
      </c>
      <c r="N660" s="149">
        <v>0</v>
      </c>
      <c r="O660" s="149">
        <v>0</v>
      </c>
      <c r="P660" s="224"/>
      <c r="Q660" s="224"/>
      <c r="R660" s="224"/>
      <c r="S660" s="224"/>
      <c r="T660" s="224"/>
      <c r="U660" s="224"/>
      <c r="V660" s="224"/>
      <c r="W660" s="224"/>
      <c r="X660" s="224"/>
      <c r="Y660" s="224"/>
      <c r="Z660" s="224"/>
      <c r="AA660" s="224"/>
      <c r="AB660" s="224"/>
      <c r="AC660" s="224"/>
      <c r="AD660" s="143" t="s">
        <v>2347</v>
      </c>
      <c r="AE660" s="143" t="s">
        <v>2254</v>
      </c>
    </row>
    <row r="661" spans="1:31" ht="24.95" customHeight="1" x14ac:dyDescent="0.2">
      <c r="A661" s="144">
        <v>2291</v>
      </c>
      <c r="B661" s="145" t="s">
        <v>2921</v>
      </c>
      <c r="C661" s="146" t="s">
        <v>2256</v>
      </c>
      <c r="D661" s="146" t="s">
        <v>2436</v>
      </c>
      <c r="E661" s="147" t="s">
        <v>2265</v>
      </c>
      <c r="F661" s="148">
        <v>8075</v>
      </c>
      <c r="G661" s="149">
        <v>8045</v>
      </c>
      <c r="H661" s="149">
        <v>5</v>
      </c>
      <c r="I661" s="196"/>
      <c r="J661" s="149">
        <v>8223</v>
      </c>
      <c r="K661" s="149">
        <v>8080</v>
      </c>
      <c r="L661" s="149">
        <v>2</v>
      </c>
      <c r="M661" s="149">
        <v>169</v>
      </c>
      <c r="N661" s="149">
        <v>0</v>
      </c>
      <c r="O661" s="149">
        <v>0</v>
      </c>
      <c r="P661" s="224"/>
      <c r="Q661" s="224"/>
      <c r="R661" s="224"/>
      <c r="S661" s="224"/>
      <c r="T661" s="224"/>
      <c r="U661" s="224"/>
      <c r="V661" s="224"/>
      <c r="W661" s="224"/>
      <c r="X661" s="224"/>
      <c r="Y661" s="224"/>
      <c r="Z661" s="224"/>
      <c r="AA661" s="224"/>
      <c r="AB661" s="224"/>
      <c r="AC661" s="224"/>
      <c r="AD661" s="143" t="s">
        <v>2185</v>
      </c>
      <c r="AE661" s="143" t="s">
        <v>2254</v>
      </c>
    </row>
    <row r="662" spans="1:31" ht="24.95" customHeight="1" x14ac:dyDescent="0.2">
      <c r="A662" s="144">
        <v>2300</v>
      </c>
      <c r="B662" s="145" t="s">
        <v>2922</v>
      </c>
      <c r="C662" s="146" t="s">
        <v>2222</v>
      </c>
      <c r="D662" s="146" t="s">
        <v>2322</v>
      </c>
      <c r="E662" s="147" t="s">
        <v>2265</v>
      </c>
      <c r="F662" s="148">
        <f>1395+4880</f>
        <v>6275</v>
      </c>
      <c r="G662" s="149">
        <f>2590+2710+1446+2+2+34</f>
        <v>6784</v>
      </c>
      <c r="H662" s="149">
        <v>5843</v>
      </c>
      <c r="I662" s="196"/>
      <c r="J662" s="149">
        <v>0</v>
      </c>
      <c r="K662" s="149">
        <v>0</v>
      </c>
      <c r="L662" s="149">
        <v>0</v>
      </c>
      <c r="M662" s="149">
        <v>0</v>
      </c>
      <c r="N662" s="149">
        <v>0</v>
      </c>
      <c r="O662" s="149">
        <v>0</v>
      </c>
      <c r="P662" s="224"/>
      <c r="Q662" s="224"/>
      <c r="R662" s="224"/>
      <c r="S662" s="224"/>
      <c r="T662" s="224"/>
      <c r="U662" s="224"/>
      <c r="V662" s="224"/>
      <c r="W662" s="224"/>
      <c r="X662" s="224"/>
      <c r="Y662" s="224"/>
      <c r="Z662" s="224"/>
      <c r="AA662" s="224"/>
      <c r="AB662" s="224"/>
      <c r="AC662" s="224"/>
      <c r="AD662" s="143" t="s">
        <v>2517</v>
      </c>
      <c r="AE662" s="143" t="s">
        <v>2186</v>
      </c>
    </row>
    <row r="663" spans="1:31" ht="24.95" customHeight="1" x14ac:dyDescent="0.2">
      <c r="A663" s="144">
        <v>2301</v>
      </c>
      <c r="B663" s="145" t="s">
        <v>2923</v>
      </c>
      <c r="C663" s="146" t="s">
        <v>2525</v>
      </c>
      <c r="D663" s="146" t="s">
        <v>2312</v>
      </c>
      <c r="E663" s="147" t="s">
        <v>2265</v>
      </c>
      <c r="F663" s="148">
        <f>790+1690+2215+5165</f>
        <v>9860</v>
      </c>
      <c r="G663" s="149">
        <f>1105+1785+6670+1+3+3+5+122</f>
        <v>9694</v>
      </c>
      <c r="H663" s="149">
        <v>79</v>
      </c>
      <c r="I663" s="196"/>
      <c r="J663" s="149">
        <v>0</v>
      </c>
      <c r="K663" s="149">
        <v>0</v>
      </c>
      <c r="L663" s="149">
        <v>0</v>
      </c>
      <c r="M663" s="149">
        <v>0</v>
      </c>
      <c r="N663" s="149">
        <v>0</v>
      </c>
      <c r="O663" s="149">
        <v>0</v>
      </c>
      <c r="P663" s="224"/>
      <c r="Q663" s="224"/>
      <c r="R663" s="224"/>
      <c r="S663" s="224"/>
      <c r="T663" s="224"/>
      <c r="U663" s="224"/>
      <c r="V663" s="224"/>
      <c r="W663" s="224"/>
      <c r="X663" s="224"/>
      <c r="Y663" s="224"/>
      <c r="Z663" s="224"/>
      <c r="AA663" s="224"/>
      <c r="AB663" s="224"/>
      <c r="AC663" s="224"/>
      <c r="AD663" s="143" t="s">
        <v>2347</v>
      </c>
      <c r="AE663" s="143" t="s">
        <v>2254</v>
      </c>
    </row>
    <row r="664" spans="1:31" ht="24.95" customHeight="1" x14ac:dyDescent="0.2">
      <c r="A664" s="144">
        <v>2306</v>
      </c>
      <c r="B664" s="145" t="s">
        <v>2924</v>
      </c>
      <c r="C664" s="146" t="s">
        <v>2525</v>
      </c>
      <c r="D664" s="146" t="s">
        <v>2312</v>
      </c>
      <c r="E664" s="147" t="s">
        <v>2265</v>
      </c>
      <c r="F664" s="148">
        <f>685+2650+2585</f>
        <v>5920</v>
      </c>
      <c r="G664" s="149">
        <f>80+2375+3240+1+1+52+40+2</f>
        <v>5791</v>
      </c>
      <c r="H664" s="149">
        <f>85+4024</f>
        <v>4109</v>
      </c>
      <c r="I664" s="196"/>
      <c r="J664" s="149">
        <v>0</v>
      </c>
      <c r="K664" s="149">
        <v>0</v>
      </c>
      <c r="L664" s="149">
        <v>0</v>
      </c>
      <c r="M664" s="149">
        <v>0</v>
      </c>
      <c r="N664" s="149">
        <v>0</v>
      </c>
      <c r="O664" s="149">
        <v>0</v>
      </c>
      <c r="P664" s="224"/>
      <c r="Q664" s="224"/>
      <c r="R664" s="224"/>
      <c r="S664" s="224"/>
      <c r="T664" s="224"/>
      <c r="U664" s="224"/>
      <c r="V664" s="224"/>
      <c r="W664" s="224"/>
      <c r="X664" s="224"/>
      <c r="Y664" s="224"/>
      <c r="Z664" s="224"/>
      <c r="AA664" s="224"/>
      <c r="AB664" s="224"/>
      <c r="AC664" s="224"/>
      <c r="AD664" s="143" t="s">
        <v>2517</v>
      </c>
      <c r="AE664" s="143" t="s">
        <v>2186</v>
      </c>
    </row>
    <row r="665" spans="1:31" ht="24.95" customHeight="1" x14ac:dyDescent="0.2">
      <c r="A665" s="144">
        <v>2307</v>
      </c>
      <c r="B665" s="145" t="s">
        <v>2925</v>
      </c>
      <c r="C665" s="146" t="s">
        <v>2525</v>
      </c>
      <c r="D665" s="146" t="s">
        <v>2312</v>
      </c>
      <c r="E665" s="147" t="s">
        <v>2265</v>
      </c>
      <c r="F665" s="148">
        <f>55+3100+1590+6227</f>
        <v>10972</v>
      </c>
      <c r="G665" s="149">
        <f>1865+2340+5110+42+1+42+3+3+202</f>
        <v>9608</v>
      </c>
      <c r="H665" s="149">
        <f>622+6045</f>
        <v>6667</v>
      </c>
      <c r="I665" s="196"/>
      <c r="J665" s="149">
        <v>0</v>
      </c>
      <c r="K665" s="149">
        <v>0</v>
      </c>
      <c r="L665" s="149">
        <v>0</v>
      </c>
      <c r="M665" s="149">
        <v>0</v>
      </c>
      <c r="N665" s="149">
        <v>0</v>
      </c>
      <c r="O665" s="149">
        <v>0</v>
      </c>
      <c r="P665" s="224"/>
      <c r="Q665" s="224"/>
      <c r="R665" s="224"/>
      <c r="S665" s="224"/>
      <c r="T665" s="224"/>
      <c r="U665" s="224"/>
      <c r="V665" s="224"/>
      <c r="W665" s="224"/>
      <c r="X665" s="224"/>
      <c r="Y665" s="224"/>
      <c r="Z665" s="224"/>
      <c r="AA665" s="224"/>
      <c r="AB665" s="224"/>
      <c r="AC665" s="224"/>
      <c r="AD665" s="143" t="s">
        <v>2517</v>
      </c>
      <c r="AE665" s="143" t="s">
        <v>2186</v>
      </c>
    </row>
    <row r="666" spans="1:31" ht="24.95" customHeight="1" x14ac:dyDescent="0.2">
      <c r="A666" s="144">
        <v>2308</v>
      </c>
      <c r="B666" s="145" t="s">
        <v>2926</v>
      </c>
      <c r="C666" s="146" t="s">
        <v>2525</v>
      </c>
      <c r="D666" s="146" t="s">
        <v>2312</v>
      </c>
      <c r="E666" s="147" t="s">
        <v>2265</v>
      </c>
      <c r="F666" s="148">
        <f>7330+3485</f>
        <v>10815</v>
      </c>
      <c r="G666" s="149">
        <f>3510+5325+1+2+5</f>
        <v>8843</v>
      </c>
      <c r="H666" s="149">
        <v>155</v>
      </c>
      <c r="I666" s="196"/>
      <c r="J666" s="149">
        <v>0</v>
      </c>
      <c r="K666" s="149">
        <v>0</v>
      </c>
      <c r="L666" s="149">
        <v>0</v>
      </c>
      <c r="M666" s="149">
        <v>0</v>
      </c>
      <c r="N666" s="149">
        <v>0</v>
      </c>
      <c r="O666" s="149">
        <v>0</v>
      </c>
      <c r="P666" s="224"/>
      <c r="Q666" s="224"/>
      <c r="R666" s="224"/>
      <c r="S666" s="224"/>
      <c r="T666" s="224"/>
      <c r="U666" s="224"/>
      <c r="V666" s="224"/>
      <c r="W666" s="224"/>
      <c r="X666" s="224"/>
      <c r="Y666" s="224"/>
      <c r="Z666" s="224"/>
      <c r="AA666" s="224"/>
      <c r="AB666" s="224"/>
      <c r="AC666" s="224"/>
      <c r="AD666" s="143" t="s">
        <v>2185</v>
      </c>
      <c r="AE666" s="143" t="s">
        <v>2254</v>
      </c>
    </row>
    <row r="667" spans="1:31" ht="24.95" customHeight="1" x14ac:dyDescent="0.2">
      <c r="A667" s="144">
        <v>2309</v>
      </c>
      <c r="B667" s="145" t="s">
        <v>2927</v>
      </c>
      <c r="C667" s="146" t="s">
        <v>2525</v>
      </c>
      <c r="D667" s="146" t="s">
        <v>2312</v>
      </c>
      <c r="E667" s="147" t="s">
        <v>2265</v>
      </c>
      <c r="F667" s="148">
        <f>5265+1500</f>
        <v>6765</v>
      </c>
      <c r="G667" s="149">
        <f>1170+1+526+5723</f>
        <v>7420</v>
      </c>
      <c r="H667" s="149">
        <v>6336</v>
      </c>
      <c r="I667" s="196"/>
      <c r="J667" s="149">
        <v>0</v>
      </c>
      <c r="K667" s="149">
        <v>0</v>
      </c>
      <c r="L667" s="149">
        <v>0</v>
      </c>
      <c r="M667" s="149">
        <v>0</v>
      </c>
      <c r="N667" s="149">
        <v>0</v>
      </c>
      <c r="O667" s="149">
        <v>0</v>
      </c>
      <c r="P667" s="224"/>
      <c r="Q667" s="224"/>
      <c r="R667" s="224"/>
      <c r="S667" s="224"/>
      <c r="T667" s="224"/>
      <c r="U667" s="224"/>
      <c r="V667" s="224"/>
      <c r="W667" s="224"/>
      <c r="X667" s="224"/>
      <c r="Y667" s="224"/>
      <c r="Z667" s="224"/>
      <c r="AA667" s="224"/>
      <c r="AB667" s="224"/>
      <c r="AC667" s="224"/>
      <c r="AD667" s="143" t="s">
        <v>2517</v>
      </c>
      <c r="AE667" s="143" t="s">
        <v>2186</v>
      </c>
    </row>
    <row r="668" spans="1:31" ht="24.95" customHeight="1" x14ac:dyDescent="0.2">
      <c r="A668" s="144">
        <v>2318</v>
      </c>
      <c r="B668" s="145" t="s">
        <v>2928</v>
      </c>
      <c r="C668" s="146" t="s">
        <v>2250</v>
      </c>
      <c r="D668" s="146" t="s">
        <v>2611</v>
      </c>
      <c r="E668" s="147" t="s">
        <v>2265</v>
      </c>
      <c r="F668" s="148">
        <f>1075+605+4395</f>
        <v>6075</v>
      </c>
      <c r="G668" s="149">
        <f>585+915+3800+1+1+129+595</f>
        <v>6026</v>
      </c>
      <c r="H668" s="149">
        <v>16</v>
      </c>
      <c r="I668" s="196"/>
      <c r="J668" s="149">
        <v>0</v>
      </c>
      <c r="K668" s="149">
        <v>0</v>
      </c>
      <c r="L668" s="149">
        <v>0</v>
      </c>
      <c r="M668" s="149">
        <v>0</v>
      </c>
      <c r="N668" s="149">
        <v>0</v>
      </c>
      <c r="O668" s="149">
        <v>0</v>
      </c>
      <c r="P668" s="224"/>
      <c r="Q668" s="224"/>
      <c r="R668" s="224"/>
      <c r="S668" s="224"/>
      <c r="T668" s="224"/>
      <c r="U668" s="224"/>
      <c r="V668" s="224"/>
      <c r="W668" s="224"/>
      <c r="X668" s="224"/>
      <c r="Y668" s="224"/>
      <c r="Z668" s="224"/>
      <c r="AA668" s="224"/>
      <c r="AB668" s="224"/>
      <c r="AC668" s="224"/>
      <c r="AD668" s="143" t="s">
        <v>2347</v>
      </c>
      <c r="AE668" s="143" t="s">
        <v>2254</v>
      </c>
    </row>
    <row r="669" spans="1:31" ht="24.95" customHeight="1" x14ac:dyDescent="0.2">
      <c r="A669" s="144">
        <v>2319</v>
      </c>
      <c r="B669" s="145" t="s">
        <v>2929</v>
      </c>
      <c r="C669" s="146" t="s">
        <v>2250</v>
      </c>
      <c r="D669" s="146" t="s">
        <v>2250</v>
      </c>
      <c r="E669" s="147" t="s">
        <v>2265</v>
      </c>
      <c r="F669" s="148">
        <f>55+5185+3600</f>
        <v>8840</v>
      </c>
      <c r="G669" s="149">
        <f>20+3000+5194+1+1+1+1+1+203</f>
        <v>8422</v>
      </c>
      <c r="H669" s="149">
        <f>15+5430</f>
        <v>5445</v>
      </c>
      <c r="I669" s="196"/>
      <c r="J669" s="149">
        <v>0</v>
      </c>
      <c r="K669" s="149">
        <v>0</v>
      </c>
      <c r="L669" s="149">
        <v>0</v>
      </c>
      <c r="M669" s="149">
        <v>0</v>
      </c>
      <c r="N669" s="149">
        <v>0</v>
      </c>
      <c r="O669" s="149">
        <v>0</v>
      </c>
      <c r="P669" s="224"/>
      <c r="Q669" s="224"/>
      <c r="R669" s="224"/>
      <c r="S669" s="224"/>
      <c r="T669" s="224"/>
      <c r="U669" s="224"/>
      <c r="V669" s="224"/>
      <c r="W669" s="224"/>
      <c r="X669" s="224"/>
      <c r="Y669" s="224"/>
      <c r="Z669" s="224"/>
      <c r="AA669" s="224"/>
      <c r="AB669" s="224"/>
      <c r="AC669" s="224"/>
      <c r="AD669" s="143" t="s">
        <v>2517</v>
      </c>
      <c r="AE669" s="143" t="s">
        <v>2186</v>
      </c>
    </row>
    <row r="670" spans="1:31" ht="24.95" customHeight="1" x14ac:dyDescent="0.2">
      <c r="A670" s="144">
        <v>2320</v>
      </c>
      <c r="B670" s="145" t="s">
        <v>2930</v>
      </c>
      <c r="C670" s="146" t="s">
        <v>2250</v>
      </c>
      <c r="D670" s="146" t="s">
        <v>2611</v>
      </c>
      <c r="E670" s="147" t="s">
        <v>2265</v>
      </c>
      <c r="F670" s="148">
        <f>4340+1890</f>
        <v>6230</v>
      </c>
      <c r="G670" s="149">
        <f>1905+3090+1+1</f>
        <v>4997</v>
      </c>
      <c r="H670" s="149">
        <v>54</v>
      </c>
      <c r="I670" s="196"/>
      <c r="J670" s="149">
        <v>0</v>
      </c>
      <c r="K670" s="149">
        <v>0</v>
      </c>
      <c r="L670" s="149">
        <v>0</v>
      </c>
      <c r="M670" s="149">
        <v>0</v>
      </c>
      <c r="N670" s="149">
        <v>0</v>
      </c>
      <c r="O670" s="149">
        <v>0</v>
      </c>
      <c r="P670" s="224"/>
      <c r="Q670" s="224"/>
      <c r="R670" s="224"/>
      <c r="S670" s="224"/>
      <c r="T670" s="224"/>
      <c r="U670" s="224"/>
      <c r="V670" s="224"/>
      <c r="W670" s="224"/>
      <c r="X670" s="224"/>
      <c r="Y670" s="224"/>
      <c r="Z670" s="224"/>
      <c r="AA670" s="224"/>
      <c r="AB670" s="224"/>
      <c r="AC670" s="224"/>
      <c r="AD670" s="143" t="s">
        <v>2598</v>
      </c>
      <c r="AE670" s="143" t="s">
        <v>2254</v>
      </c>
    </row>
    <row r="671" spans="1:31" ht="24.95" customHeight="1" x14ac:dyDescent="0.2">
      <c r="A671" s="144">
        <v>2322</v>
      </c>
      <c r="B671" s="145" t="s">
        <v>2931</v>
      </c>
      <c r="C671" s="146" t="s">
        <v>2280</v>
      </c>
      <c r="D671" s="146" t="s">
        <v>2280</v>
      </c>
      <c r="E671" s="147" t="s">
        <v>2265</v>
      </c>
      <c r="F671" s="148">
        <f>90+2655+1280</f>
        <v>4025</v>
      </c>
      <c r="G671" s="149">
        <f>1330+1390+11+36+2+3</f>
        <v>2772</v>
      </c>
      <c r="H671" s="149">
        <v>1765</v>
      </c>
      <c r="I671" s="196"/>
      <c r="J671" s="149">
        <v>0</v>
      </c>
      <c r="K671" s="149">
        <v>0</v>
      </c>
      <c r="L671" s="149">
        <v>0</v>
      </c>
      <c r="M671" s="149">
        <v>0</v>
      </c>
      <c r="N671" s="149">
        <v>0</v>
      </c>
      <c r="O671" s="149">
        <v>0</v>
      </c>
      <c r="P671" s="224"/>
      <c r="Q671" s="224"/>
      <c r="R671" s="224"/>
      <c r="S671" s="224"/>
      <c r="T671" s="224"/>
      <c r="U671" s="224"/>
      <c r="V671" s="224"/>
      <c r="W671" s="224"/>
      <c r="X671" s="224"/>
      <c r="Y671" s="224"/>
      <c r="Z671" s="224"/>
      <c r="AA671" s="224"/>
      <c r="AB671" s="224"/>
      <c r="AC671" s="224"/>
      <c r="AD671" s="143" t="s">
        <v>2517</v>
      </c>
      <c r="AE671" s="143" t="s">
        <v>2186</v>
      </c>
    </row>
    <row r="672" spans="1:31" ht="24.95" customHeight="1" x14ac:dyDescent="0.2">
      <c r="A672" s="144">
        <v>2324</v>
      </c>
      <c r="B672" s="145" t="s">
        <v>2932</v>
      </c>
      <c r="C672" s="146" t="s">
        <v>2280</v>
      </c>
      <c r="D672" s="146" t="s">
        <v>2280</v>
      </c>
      <c r="E672" s="147" t="s">
        <v>2265</v>
      </c>
      <c r="F672" s="148">
        <f>1485+9600</f>
        <v>11085</v>
      </c>
      <c r="G672" s="149">
        <f>770+6280+412+4</f>
        <v>7466</v>
      </c>
      <c r="H672" s="149">
        <v>10035</v>
      </c>
      <c r="I672" s="196"/>
      <c r="J672" s="149">
        <v>0</v>
      </c>
      <c r="K672" s="149">
        <v>0</v>
      </c>
      <c r="L672" s="149">
        <v>0</v>
      </c>
      <c r="M672" s="149">
        <v>0</v>
      </c>
      <c r="N672" s="149">
        <v>0</v>
      </c>
      <c r="O672" s="149">
        <v>0</v>
      </c>
      <c r="P672" s="224"/>
      <c r="Q672" s="224"/>
      <c r="R672" s="224"/>
      <c r="S672" s="224"/>
      <c r="T672" s="224"/>
      <c r="U672" s="224"/>
      <c r="V672" s="224"/>
      <c r="W672" s="224"/>
      <c r="X672" s="224"/>
      <c r="Y672" s="224"/>
      <c r="Z672" s="224"/>
      <c r="AA672" s="224"/>
      <c r="AB672" s="224"/>
      <c r="AC672" s="224"/>
      <c r="AD672" s="143" t="s">
        <v>2517</v>
      </c>
      <c r="AE672" s="143" t="s">
        <v>2186</v>
      </c>
    </row>
    <row r="673" spans="1:31" ht="24.95" customHeight="1" x14ac:dyDescent="0.2">
      <c r="A673" s="144">
        <v>2325</v>
      </c>
      <c r="B673" s="145" t="s">
        <v>2933</v>
      </c>
      <c r="C673" s="146" t="s">
        <v>2280</v>
      </c>
      <c r="D673" s="146" t="s">
        <v>2280</v>
      </c>
      <c r="E673" s="147" t="s">
        <v>2265</v>
      </c>
      <c r="F673" s="148">
        <f>3175+2355+1115</f>
        <v>6645</v>
      </c>
      <c r="G673" s="149">
        <f>1095+2620+26+1+1+1512</f>
        <v>5255</v>
      </c>
      <c r="H673" s="149">
        <f>260+3035</f>
        <v>3295</v>
      </c>
      <c r="I673" s="196"/>
      <c r="J673" s="149">
        <v>0</v>
      </c>
      <c r="K673" s="149">
        <v>0</v>
      </c>
      <c r="L673" s="149">
        <v>0</v>
      </c>
      <c r="M673" s="149">
        <v>0</v>
      </c>
      <c r="N673" s="149">
        <v>0</v>
      </c>
      <c r="O673" s="149">
        <v>0</v>
      </c>
      <c r="P673" s="224"/>
      <c r="Q673" s="224"/>
      <c r="R673" s="224"/>
      <c r="S673" s="224"/>
      <c r="T673" s="224"/>
      <c r="U673" s="224"/>
      <c r="V673" s="224"/>
      <c r="W673" s="224"/>
      <c r="X673" s="224"/>
      <c r="Y673" s="224"/>
      <c r="Z673" s="224"/>
      <c r="AA673" s="224"/>
      <c r="AB673" s="224"/>
      <c r="AC673" s="224"/>
      <c r="AD673" s="143" t="s">
        <v>2517</v>
      </c>
      <c r="AE673" s="143" t="s">
        <v>2186</v>
      </c>
    </row>
    <row r="674" spans="1:31" ht="24.95" customHeight="1" x14ac:dyDescent="0.2">
      <c r="A674" s="144">
        <v>2328</v>
      </c>
      <c r="B674" s="145" t="s">
        <v>2934</v>
      </c>
      <c r="C674" s="146" t="s">
        <v>2250</v>
      </c>
      <c r="D674" s="146" t="s">
        <v>2250</v>
      </c>
      <c r="E674" s="147" t="s">
        <v>2265</v>
      </c>
      <c r="F674" s="148">
        <f>90+30+30+1295</f>
        <v>1445</v>
      </c>
      <c r="G674" s="149">
        <f>20+75+90+2760+46+76+1+2+1</f>
        <v>3071</v>
      </c>
      <c r="H674" s="149">
        <f>1038+1556</f>
        <v>2594</v>
      </c>
      <c r="I674" s="196"/>
      <c r="J674" s="149">
        <v>0</v>
      </c>
      <c r="K674" s="149">
        <v>0</v>
      </c>
      <c r="L674" s="149">
        <v>0</v>
      </c>
      <c r="M674" s="149">
        <v>0</v>
      </c>
      <c r="N674" s="149">
        <v>0</v>
      </c>
      <c r="O674" s="149">
        <v>0</v>
      </c>
      <c r="P674" s="224"/>
      <c r="Q674" s="224"/>
      <c r="R674" s="224"/>
      <c r="S674" s="224"/>
      <c r="T674" s="224"/>
      <c r="U674" s="224"/>
      <c r="V674" s="224"/>
      <c r="W674" s="224"/>
      <c r="X674" s="224"/>
      <c r="Y674" s="224"/>
      <c r="Z674" s="224"/>
      <c r="AA674" s="224"/>
      <c r="AB674" s="224"/>
      <c r="AC674" s="224"/>
      <c r="AD674" s="143" t="s">
        <v>2517</v>
      </c>
      <c r="AE674" s="143" t="s">
        <v>2186</v>
      </c>
    </row>
    <row r="675" spans="1:31" ht="24.95" customHeight="1" x14ac:dyDescent="0.2">
      <c r="A675" s="144">
        <v>2326</v>
      </c>
      <c r="B675" s="145" t="s">
        <v>2935</v>
      </c>
      <c r="C675" s="146" t="s">
        <v>2280</v>
      </c>
      <c r="D675" s="146" t="s">
        <v>2280</v>
      </c>
      <c r="E675" s="147" t="s">
        <v>2265</v>
      </c>
      <c r="F675" s="148">
        <v>5630</v>
      </c>
      <c r="G675" s="149">
        <v>5355</v>
      </c>
      <c r="H675" s="149">
        <v>71</v>
      </c>
      <c r="I675" s="196"/>
      <c r="J675" s="149">
        <v>5789</v>
      </c>
      <c r="K675" s="149">
        <v>5934</v>
      </c>
      <c r="L675" s="149">
        <v>64</v>
      </c>
      <c r="M675" s="149">
        <v>5380</v>
      </c>
      <c r="N675" s="149">
        <v>0</v>
      </c>
      <c r="O675" s="149">
        <v>6043</v>
      </c>
      <c r="P675" s="224"/>
      <c r="Q675" s="224"/>
      <c r="R675" s="224"/>
      <c r="S675" s="224"/>
      <c r="T675" s="224"/>
      <c r="U675" s="224"/>
      <c r="V675" s="224"/>
      <c r="W675" s="224"/>
      <c r="X675" s="224"/>
      <c r="Y675" s="224"/>
      <c r="Z675" s="224"/>
      <c r="AA675" s="224"/>
      <c r="AB675" s="224"/>
      <c r="AC675" s="224"/>
      <c r="AD675" s="143" t="s">
        <v>2185</v>
      </c>
      <c r="AE675" s="143" t="s">
        <v>2254</v>
      </c>
    </row>
    <row r="676" spans="1:31" ht="24.95" customHeight="1" x14ac:dyDescent="0.2">
      <c r="A676" s="144">
        <v>2332</v>
      </c>
      <c r="B676" s="145" t="s">
        <v>2936</v>
      </c>
      <c r="C676" s="146" t="s">
        <v>2312</v>
      </c>
      <c r="D676" s="146" t="s">
        <v>2225</v>
      </c>
      <c r="E676" s="147" t="s">
        <v>2265</v>
      </c>
      <c r="F676" s="148">
        <f>825+895</f>
        <v>1720</v>
      </c>
      <c r="G676" s="149">
        <f>370+540+2</f>
        <v>912</v>
      </c>
      <c r="H676" s="149">
        <v>1352</v>
      </c>
      <c r="I676" s="196"/>
      <c r="J676" s="149">
        <v>0</v>
      </c>
      <c r="K676" s="149">
        <v>0</v>
      </c>
      <c r="L676" s="149">
        <v>0</v>
      </c>
      <c r="M676" s="149">
        <v>0</v>
      </c>
      <c r="N676" s="149">
        <v>0</v>
      </c>
      <c r="O676" s="149">
        <v>0</v>
      </c>
      <c r="P676" s="224"/>
      <c r="Q676" s="224"/>
      <c r="R676" s="224"/>
      <c r="S676" s="224"/>
      <c r="T676" s="224"/>
      <c r="U676" s="224"/>
      <c r="V676" s="224"/>
      <c r="W676" s="224"/>
      <c r="X676" s="224"/>
      <c r="Y676" s="224"/>
      <c r="Z676" s="224"/>
      <c r="AA676" s="224"/>
      <c r="AB676" s="224"/>
      <c r="AC676" s="224"/>
      <c r="AD676" s="143" t="s">
        <v>2517</v>
      </c>
      <c r="AE676" s="143" t="s">
        <v>2186</v>
      </c>
    </row>
    <row r="677" spans="1:31" ht="24.95" customHeight="1" x14ac:dyDescent="0.2">
      <c r="A677" s="144">
        <v>2333</v>
      </c>
      <c r="B677" s="145" t="s">
        <v>2937</v>
      </c>
      <c r="C677" s="146" t="s">
        <v>2222</v>
      </c>
      <c r="D677" s="146" t="s">
        <v>2471</v>
      </c>
      <c r="E677" s="147" t="s">
        <v>2265</v>
      </c>
      <c r="F677" s="148">
        <f>475+1755+1150</f>
        <v>3380</v>
      </c>
      <c r="G677" s="149">
        <f>1835+1+331+1+922</f>
        <v>3090</v>
      </c>
      <c r="H677" s="149">
        <f>491+543</f>
        <v>1034</v>
      </c>
      <c r="I677" s="196"/>
      <c r="J677" s="149">
        <v>0</v>
      </c>
      <c r="K677" s="149">
        <v>0</v>
      </c>
      <c r="L677" s="149">
        <v>0</v>
      </c>
      <c r="M677" s="149">
        <v>0</v>
      </c>
      <c r="N677" s="149">
        <v>0</v>
      </c>
      <c r="O677" s="149">
        <v>0</v>
      </c>
      <c r="P677" s="224"/>
      <c r="Q677" s="224"/>
      <c r="R677" s="224"/>
      <c r="S677" s="224"/>
      <c r="T677" s="224"/>
      <c r="U677" s="224"/>
      <c r="V677" s="224"/>
      <c r="W677" s="224"/>
      <c r="X677" s="224"/>
      <c r="Y677" s="224"/>
      <c r="Z677" s="224"/>
      <c r="AA677" s="224"/>
      <c r="AB677" s="224"/>
      <c r="AC677" s="224"/>
      <c r="AD677" s="143" t="s">
        <v>2517</v>
      </c>
      <c r="AE677" s="143" t="s">
        <v>2186</v>
      </c>
    </row>
    <row r="678" spans="1:31" ht="24.95" customHeight="1" x14ac:dyDescent="0.2">
      <c r="A678" s="144">
        <v>2339</v>
      </c>
      <c r="B678" s="145" t="s">
        <v>2938</v>
      </c>
      <c r="C678" s="146" t="s">
        <v>2250</v>
      </c>
      <c r="D678" s="146" t="s">
        <v>2250</v>
      </c>
      <c r="E678" s="147" t="s">
        <v>2265</v>
      </c>
      <c r="F678" s="148">
        <f>720+2825</f>
        <v>3545</v>
      </c>
      <c r="G678" s="149">
        <f>110+590+2665+76+36+63+1</f>
        <v>3541</v>
      </c>
      <c r="H678" s="149">
        <v>35</v>
      </c>
      <c r="I678" s="196"/>
      <c r="J678" s="149">
        <v>0</v>
      </c>
      <c r="K678" s="149">
        <v>0</v>
      </c>
      <c r="L678" s="149">
        <v>0</v>
      </c>
      <c r="M678" s="149">
        <v>0</v>
      </c>
      <c r="N678" s="149">
        <v>0</v>
      </c>
      <c r="O678" s="149">
        <v>0</v>
      </c>
      <c r="P678" s="224"/>
      <c r="Q678" s="224"/>
      <c r="R678" s="224"/>
      <c r="S678" s="224"/>
      <c r="T678" s="224"/>
      <c r="U678" s="224"/>
      <c r="V678" s="224"/>
      <c r="W678" s="224"/>
      <c r="X678" s="224"/>
      <c r="Y678" s="224"/>
      <c r="Z678" s="224"/>
      <c r="AA678" s="224"/>
      <c r="AB678" s="224"/>
      <c r="AC678" s="224"/>
      <c r="AD678" s="143" t="s">
        <v>2601</v>
      </c>
      <c r="AE678" s="143" t="s">
        <v>2254</v>
      </c>
    </row>
    <row r="679" spans="1:31" ht="24.95" customHeight="1" x14ac:dyDescent="0.2">
      <c r="A679" s="144">
        <v>2357</v>
      </c>
      <c r="B679" s="145" t="s">
        <v>2939</v>
      </c>
      <c r="C679" s="146" t="s">
        <v>2280</v>
      </c>
      <c r="D679" s="146" t="s">
        <v>2280</v>
      </c>
      <c r="E679" s="147" t="s">
        <v>2265</v>
      </c>
      <c r="F679" s="148">
        <v>6605</v>
      </c>
      <c r="G679" s="149">
        <f>140+1230+3390+1+4</f>
        <v>4765</v>
      </c>
      <c r="H679" s="149">
        <v>60</v>
      </c>
      <c r="I679" s="196"/>
      <c r="J679" s="149">
        <v>0</v>
      </c>
      <c r="K679" s="149">
        <v>0</v>
      </c>
      <c r="L679" s="149">
        <v>0</v>
      </c>
      <c r="M679" s="149">
        <v>0</v>
      </c>
      <c r="N679" s="149">
        <v>0</v>
      </c>
      <c r="O679" s="149">
        <v>0</v>
      </c>
      <c r="P679" s="224"/>
      <c r="Q679" s="224"/>
      <c r="R679" s="224"/>
      <c r="S679" s="224"/>
      <c r="T679" s="224"/>
      <c r="U679" s="224"/>
      <c r="V679" s="224"/>
      <c r="W679" s="224"/>
      <c r="X679" s="224"/>
      <c r="Y679" s="224"/>
      <c r="Z679" s="224"/>
      <c r="AA679" s="224"/>
      <c r="AB679" s="224"/>
      <c r="AC679" s="224"/>
      <c r="AD679" s="143" t="s">
        <v>2347</v>
      </c>
      <c r="AE679" s="143" t="s">
        <v>2254</v>
      </c>
    </row>
    <row r="680" spans="1:31" ht="24.95" customHeight="1" x14ac:dyDescent="0.2">
      <c r="A680" s="144">
        <v>2360</v>
      </c>
      <c r="B680" s="145" t="s">
        <v>2940</v>
      </c>
      <c r="C680" s="146" t="s">
        <v>2309</v>
      </c>
      <c r="D680" s="146" t="s">
        <v>2483</v>
      </c>
      <c r="E680" s="147" t="s">
        <v>2265</v>
      </c>
      <c r="F680" s="148">
        <f>4015+1140+4190+1195</f>
        <v>10540</v>
      </c>
      <c r="G680" s="149">
        <f>25+65+500+4145+5845+1+2+2+95+4</f>
        <v>10684</v>
      </c>
      <c r="H680" s="149">
        <v>4685</v>
      </c>
      <c r="I680" s="196"/>
      <c r="J680" s="149">
        <v>0</v>
      </c>
      <c r="K680" s="149">
        <v>0</v>
      </c>
      <c r="L680" s="149">
        <v>0</v>
      </c>
      <c r="M680" s="149">
        <v>0</v>
      </c>
      <c r="N680" s="149">
        <v>0</v>
      </c>
      <c r="O680" s="149">
        <v>0</v>
      </c>
      <c r="P680" s="224"/>
      <c r="Q680" s="224"/>
      <c r="R680" s="224"/>
      <c r="S680" s="224"/>
      <c r="T680" s="224"/>
      <c r="U680" s="224"/>
      <c r="V680" s="224"/>
      <c r="W680" s="224"/>
      <c r="X680" s="224"/>
      <c r="Y680" s="224"/>
      <c r="Z680" s="224"/>
      <c r="AA680" s="224"/>
      <c r="AB680" s="224"/>
      <c r="AC680" s="224"/>
      <c r="AD680" s="143" t="s">
        <v>2598</v>
      </c>
      <c r="AE680" s="143" t="s">
        <v>2186</v>
      </c>
    </row>
    <row r="681" spans="1:31" ht="24.95" customHeight="1" x14ac:dyDescent="0.2">
      <c r="A681" s="144">
        <v>2364</v>
      </c>
      <c r="B681" s="145" t="s">
        <v>2941</v>
      </c>
      <c r="C681" s="146" t="s">
        <v>2309</v>
      </c>
      <c r="D681" s="146" t="s">
        <v>2483</v>
      </c>
      <c r="E681" s="147" t="s">
        <v>2265</v>
      </c>
      <c r="F681" s="148">
        <f>5625+270</f>
        <v>5895</v>
      </c>
      <c r="G681" s="149">
        <f>855+16595+1+1+85</f>
        <v>17537</v>
      </c>
      <c r="H681" s="149">
        <v>4361</v>
      </c>
      <c r="I681" s="196"/>
      <c r="J681" s="149">
        <v>0</v>
      </c>
      <c r="K681" s="149">
        <v>0</v>
      </c>
      <c r="L681" s="149">
        <v>0</v>
      </c>
      <c r="M681" s="149">
        <v>0</v>
      </c>
      <c r="N681" s="149">
        <v>0</v>
      </c>
      <c r="O681" s="149">
        <v>0</v>
      </c>
      <c r="P681" s="224"/>
      <c r="Q681" s="224"/>
      <c r="R681" s="224"/>
      <c r="S681" s="224"/>
      <c r="T681" s="224"/>
      <c r="U681" s="224"/>
      <c r="V681" s="224"/>
      <c r="W681" s="224"/>
      <c r="X681" s="224"/>
      <c r="Y681" s="224"/>
      <c r="Z681" s="224"/>
      <c r="AA681" s="224"/>
      <c r="AB681" s="224"/>
      <c r="AC681" s="224"/>
      <c r="AD681" s="143" t="s">
        <v>2517</v>
      </c>
      <c r="AE681" s="143" t="s">
        <v>2186</v>
      </c>
    </row>
    <row r="682" spans="1:31" ht="24.95" customHeight="1" x14ac:dyDescent="0.2">
      <c r="A682" s="144">
        <v>2369</v>
      </c>
      <c r="B682" s="145" t="s">
        <v>2942</v>
      </c>
      <c r="C682" s="146" t="s">
        <v>2774</v>
      </c>
      <c r="D682" s="146" t="s">
        <v>2309</v>
      </c>
      <c r="E682" s="147" t="s">
        <v>2265</v>
      </c>
      <c r="F682" s="148">
        <v>3440</v>
      </c>
      <c r="G682" s="149">
        <f>3100+1+289+3</f>
        <v>3393</v>
      </c>
      <c r="H682" s="149">
        <v>1545</v>
      </c>
      <c r="I682" s="196"/>
      <c r="J682" s="149">
        <v>0</v>
      </c>
      <c r="K682" s="149">
        <v>0</v>
      </c>
      <c r="L682" s="149">
        <v>0</v>
      </c>
      <c r="M682" s="149">
        <v>0</v>
      </c>
      <c r="N682" s="149">
        <v>0</v>
      </c>
      <c r="O682" s="149">
        <v>0</v>
      </c>
      <c r="P682" s="224"/>
      <c r="Q682" s="224"/>
      <c r="R682" s="224"/>
      <c r="S682" s="224"/>
      <c r="T682" s="224"/>
      <c r="U682" s="224"/>
      <c r="V682" s="224"/>
      <c r="W682" s="224"/>
      <c r="X682" s="224"/>
      <c r="Y682" s="224"/>
      <c r="Z682" s="224"/>
      <c r="AA682" s="224"/>
      <c r="AB682" s="224"/>
      <c r="AC682" s="224"/>
      <c r="AD682" s="143" t="s">
        <v>2598</v>
      </c>
      <c r="AE682" s="143" t="s">
        <v>2186</v>
      </c>
    </row>
    <row r="683" spans="1:31" ht="24.95" customHeight="1" x14ac:dyDescent="0.2">
      <c r="A683" s="144">
        <v>2370</v>
      </c>
      <c r="B683" s="145" t="s">
        <v>2943</v>
      </c>
      <c r="C683" s="146" t="s">
        <v>2774</v>
      </c>
      <c r="D683" s="146" t="s">
        <v>2309</v>
      </c>
      <c r="E683" s="147" t="s">
        <v>2265</v>
      </c>
      <c r="F683" s="148">
        <f>2805+6310+5195</f>
        <v>14310</v>
      </c>
      <c r="G683" s="149">
        <f>3310+5145+6780+1+17+109+2+2</f>
        <v>15366</v>
      </c>
      <c r="H683" s="149">
        <v>2880</v>
      </c>
      <c r="I683" s="196"/>
      <c r="J683" s="149">
        <v>0</v>
      </c>
      <c r="K683" s="149">
        <v>0</v>
      </c>
      <c r="L683" s="149">
        <v>0</v>
      </c>
      <c r="M683" s="149">
        <v>0</v>
      </c>
      <c r="N683" s="149">
        <v>0</v>
      </c>
      <c r="O683" s="149">
        <v>0</v>
      </c>
      <c r="P683" s="224"/>
      <c r="Q683" s="224"/>
      <c r="R683" s="224"/>
      <c r="S683" s="224"/>
      <c r="T683" s="224"/>
      <c r="U683" s="224"/>
      <c r="V683" s="224"/>
      <c r="W683" s="224"/>
      <c r="X683" s="224"/>
      <c r="Y683" s="224"/>
      <c r="Z683" s="224"/>
      <c r="AA683" s="224"/>
      <c r="AB683" s="224"/>
      <c r="AC683" s="224"/>
      <c r="AD683" s="143" t="s">
        <v>2517</v>
      </c>
      <c r="AE683" s="143" t="s">
        <v>2186</v>
      </c>
    </row>
    <row r="684" spans="1:31" ht="24.95" customHeight="1" x14ac:dyDescent="0.2">
      <c r="A684" s="144">
        <v>2374</v>
      </c>
      <c r="B684" s="145" t="s">
        <v>2944</v>
      </c>
      <c r="C684" s="146" t="s">
        <v>2309</v>
      </c>
      <c r="D684" s="146" t="s">
        <v>2309</v>
      </c>
      <c r="E684" s="147" t="s">
        <v>2265</v>
      </c>
      <c r="F684" s="148">
        <f>25+70+2715</f>
        <v>2810</v>
      </c>
      <c r="G684" s="149">
        <f>2510+1+71+1</f>
        <v>2583</v>
      </c>
      <c r="H684" s="149">
        <v>8</v>
      </c>
      <c r="I684" s="196"/>
      <c r="J684" s="149">
        <v>0</v>
      </c>
      <c r="K684" s="149">
        <v>0</v>
      </c>
      <c r="L684" s="149">
        <v>0</v>
      </c>
      <c r="M684" s="149">
        <v>0</v>
      </c>
      <c r="N684" s="149">
        <v>0</v>
      </c>
      <c r="O684" s="149">
        <v>0</v>
      </c>
      <c r="P684" s="224"/>
      <c r="Q684" s="224"/>
      <c r="R684" s="224"/>
      <c r="S684" s="224"/>
      <c r="T684" s="224"/>
      <c r="U684" s="224"/>
      <c r="V684" s="224"/>
      <c r="W684" s="224"/>
      <c r="X684" s="224"/>
      <c r="Y684" s="224"/>
      <c r="Z684" s="224"/>
      <c r="AA684" s="224"/>
      <c r="AB684" s="224"/>
      <c r="AC684" s="224"/>
      <c r="AD684" s="143" t="s">
        <v>2598</v>
      </c>
      <c r="AE684" s="143" t="s">
        <v>2254</v>
      </c>
    </row>
    <row r="685" spans="1:31" ht="24.95" customHeight="1" x14ac:dyDescent="0.2">
      <c r="A685" s="144">
        <v>2376</v>
      </c>
      <c r="B685" s="145" t="s">
        <v>2945</v>
      </c>
      <c r="C685" s="146" t="s">
        <v>2256</v>
      </c>
      <c r="D685" s="146" t="s">
        <v>2436</v>
      </c>
      <c r="E685" s="147" t="s">
        <v>2265</v>
      </c>
      <c r="F685" s="148">
        <f>1310+990</f>
        <v>2300</v>
      </c>
      <c r="G685" s="149">
        <f>1055+1750+311+1+2+2</f>
        <v>3121</v>
      </c>
      <c r="H685" s="149">
        <v>28</v>
      </c>
      <c r="I685" s="196"/>
      <c r="J685" s="149">
        <v>3229</v>
      </c>
      <c r="K685" s="149">
        <v>3113</v>
      </c>
      <c r="L685" s="149">
        <v>1</v>
      </c>
      <c r="M685" s="149">
        <v>1219</v>
      </c>
      <c r="N685" s="149">
        <v>0</v>
      </c>
      <c r="O685" s="149">
        <v>3141</v>
      </c>
      <c r="P685" s="224"/>
      <c r="Q685" s="224"/>
      <c r="R685" s="224"/>
      <c r="S685" s="224"/>
      <c r="T685" s="224"/>
      <c r="U685" s="224"/>
      <c r="V685" s="224"/>
      <c r="W685" s="224"/>
      <c r="X685" s="224"/>
      <c r="Y685" s="224"/>
      <c r="Z685" s="224"/>
      <c r="AA685" s="224"/>
      <c r="AB685" s="224"/>
      <c r="AC685" s="224"/>
      <c r="AD685" s="143" t="s">
        <v>2185</v>
      </c>
      <c r="AE685" s="143" t="s">
        <v>2254</v>
      </c>
    </row>
    <row r="686" spans="1:31" ht="24.95" customHeight="1" x14ac:dyDescent="0.2">
      <c r="A686" s="144">
        <v>2379</v>
      </c>
      <c r="B686" s="145" t="s">
        <v>2946</v>
      </c>
      <c r="C686" s="146" t="s">
        <v>2256</v>
      </c>
      <c r="D686" s="146" t="s">
        <v>2436</v>
      </c>
      <c r="E686" s="147" t="s">
        <v>2265</v>
      </c>
      <c r="F686" s="148">
        <f>6970+2420</f>
        <v>9390</v>
      </c>
      <c r="G686" s="149">
        <f>2430+6270+1+57</f>
        <v>8758</v>
      </c>
      <c r="H686" s="149">
        <v>9</v>
      </c>
      <c r="I686" s="196"/>
      <c r="J686" s="149">
        <v>9362</v>
      </c>
      <c r="K686" s="149">
        <v>9477</v>
      </c>
      <c r="L686" s="149">
        <v>0</v>
      </c>
      <c r="M686" s="149">
        <v>1456</v>
      </c>
      <c r="N686" s="149">
        <v>0</v>
      </c>
      <c r="O686" s="149">
        <v>1309</v>
      </c>
      <c r="P686" s="224"/>
      <c r="Q686" s="224"/>
      <c r="R686" s="224"/>
      <c r="S686" s="224"/>
      <c r="T686" s="224"/>
      <c r="U686" s="224"/>
      <c r="V686" s="224"/>
      <c r="W686" s="224"/>
      <c r="X686" s="224"/>
      <c r="Y686" s="224"/>
      <c r="Z686" s="224"/>
      <c r="AA686" s="224"/>
      <c r="AB686" s="224"/>
      <c r="AC686" s="224"/>
      <c r="AD686" s="143" t="s">
        <v>2185</v>
      </c>
      <c r="AE686" s="143" t="s">
        <v>2254</v>
      </c>
    </row>
    <row r="687" spans="1:31" ht="24.95" customHeight="1" x14ac:dyDescent="0.2">
      <c r="A687" s="144">
        <v>2380</v>
      </c>
      <c r="B687" s="145" t="s">
        <v>2947</v>
      </c>
      <c r="C687" s="146" t="s">
        <v>2256</v>
      </c>
      <c r="D687" s="146" t="s">
        <v>2256</v>
      </c>
      <c r="E687" s="147" t="s">
        <v>2265</v>
      </c>
      <c r="F687" s="148">
        <f>4970+2565</f>
        <v>7535</v>
      </c>
      <c r="G687" s="149">
        <f>650+3625+82+1+2010</f>
        <v>6368</v>
      </c>
      <c r="H687" s="149">
        <f>35+3840</f>
        <v>3875</v>
      </c>
      <c r="I687" s="196"/>
      <c r="J687" s="149">
        <v>0</v>
      </c>
      <c r="K687" s="149">
        <v>0</v>
      </c>
      <c r="L687" s="149">
        <v>0</v>
      </c>
      <c r="M687" s="149">
        <v>0</v>
      </c>
      <c r="N687" s="149">
        <v>0</v>
      </c>
      <c r="O687" s="149">
        <v>0</v>
      </c>
      <c r="P687" s="224"/>
      <c r="Q687" s="224"/>
      <c r="R687" s="224"/>
      <c r="S687" s="224"/>
      <c r="T687" s="224"/>
      <c r="U687" s="224"/>
      <c r="V687" s="224"/>
      <c r="W687" s="224"/>
      <c r="X687" s="224"/>
      <c r="Y687" s="224"/>
      <c r="Z687" s="224"/>
      <c r="AA687" s="224"/>
      <c r="AB687" s="224"/>
      <c r="AC687" s="224"/>
      <c r="AD687" s="143" t="s">
        <v>2598</v>
      </c>
      <c r="AE687" s="143" t="s">
        <v>2186</v>
      </c>
    </row>
    <row r="688" spans="1:31" ht="24.95" customHeight="1" x14ac:dyDescent="0.2">
      <c r="A688" s="144">
        <v>2381</v>
      </c>
      <c r="B688" s="145" t="s">
        <v>2948</v>
      </c>
      <c r="C688" s="146" t="s">
        <v>2949</v>
      </c>
      <c r="D688" s="146" t="s">
        <v>2309</v>
      </c>
      <c r="E688" s="147" t="s">
        <v>2265</v>
      </c>
      <c r="F688" s="148">
        <v>5900</v>
      </c>
      <c r="G688" s="149">
        <f>205+5550+1</f>
        <v>5756</v>
      </c>
      <c r="H688" s="149">
        <v>5335</v>
      </c>
      <c r="I688" s="196"/>
      <c r="J688" s="149">
        <v>0</v>
      </c>
      <c r="K688" s="149">
        <v>0</v>
      </c>
      <c r="L688" s="149">
        <v>0</v>
      </c>
      <c r="M688" s="149">
        <v>0</v>
      </c>
      <c r="N688" s="149">
        <v>0</v>
      </c>
      <c r="O688" s="149">
        <v>0</v>
      </c>
      <c r="P688" s="224"/>
      <c r="Q688" s="224"/>
      <c r="R688" s="224"/>
      <c r="S688" s="224"/>
      <c r="T688" s="224"/>
      <c r="U688" s="224"/>
      <c r="V688" s="224"/>
      <c r="W688" s="224"/>
      <c r="X688" s="224"/>
      <c r="Y688" s="224"/>
      <c r="Z688" s="224"/>
      <c r="AA688" s="224"/>
      <c r="AB688" s="224"/>
      <c r="AC688" s="224"/>
      <c r="AD688" s="143" t="s">
        <v>2598</v>
      </c>
      <c r="AE688" s="143" t="s">
        <v>2186</v>
      </c>
    </row>
    <row r="689" spans="1:31" ht="24.95" customHeight="1" x14ac:dyDescent="0.2">
      <c r="A689" s="144">
        <v>2385</v>
      </c>
      <c r="B689" s="145" t="s">
        <v>2950</v>
      </c>
      <c r="C689" s="146" t="s">
        <v>2280</v>
      </c>
      <c r="D689" s="146" t="s">
        <v>2298</v>
      </c>
      <c r="E689" s="147" t="s">
        <v>2265</v>
      </c>
      <c r="F689" s="148">
        <v>405</v>
      </c>
      <c r="G689" s="149">
        <f>70+135+1+77</f>
        <v>283</v>
      </c>
      <c r="H689" s="149">
        <v>6</v>
      </c>
      <c r="I689" s="196"/>
      <c r="J689" s="149">
        <v>0</v>
      </c>
      <c r="K689" s="149">
        <v>0</v>
      </c>
      <c r="L689" s="149">
        <v>0</v>
      </c>
      <c r="M689" s="149">
        <v>0</v>
      </c>
      <c r="N689" s="149">
        <v>0</v>
      </c>
      <c r="O689" s="149">
        <v>0</v>
      </c>
      <c r="P689" s="224"/>
      <c r="Q689" s="224"/>
      <c r="R689" s="224"/>
      <c r="S689" s="224"/>
      <c r="T689" s="224"/>
      <c r="U689" s="224"/>
      <c r="V689" s="224"/>
      <c r="W689" s="224"/>
      <c r="X689" s="224"/>
      <c r="Y689" s="224"/>
      <c r="Z689" s="224"/>
      <c r="AA689" s="224"/>
      <c r="AB689" s="224"/>
      <c r="AC689" s="224"/>
      <c r="AD689" s="143" t="s">
        <v>2347</v>
      </c>
      <c r="AE689" s="143" t="s">
        <v>2254</v>
      </c>
    </row>
    <row r="690" spans="1:31" ht="24.95" customHeight="1" x14ac:dyDescent="0.2">
      <c r="A690" s="144">
        <v>2389</v>
      </c>
      <c r="B690" s="145" t="s">
        <v>2951</v>
      </c>
      <c r="C690" s="146" t="s">
        <v>2280</v>
      </c>
      <c r="D690" s="146" t="s">
        <v>2275</v>
      </c>
      <c r="E690" s="147" t="s">
        <v>2265</v>
      </c>
      <c r="F690" s="148">
        <f>565+580</f>
        <v>1145</v>
      </c>
      <c r="G690" s="149">
        <f>1475+123+2</f>
        <v>1600</v>
      </c>
      <c r="H690" s="149">
        <v>190</v>
      </c>
      <c r="I690" s="196"/>
      <c r="J690" s="149">
        <v>0</v>
      </c>
      <c r="K690" s="149">
        <v>0</v>
      </c>
      <c r="L690" s="149">
        <v>0</v>
      </c>
      <c r="M690" s="149">
        <v>0</v>
      </c>
      <c r="N690" s="149">
        <v>0</v>
      </c>
      <c r="O690" s="149">
        <v>0</v>
      </c>
      <c r="P690" s="224"/>
      <c r="Q690" s="224"/>
      <c r="R690" s="224"/>
      <c r="S690" s="224"/>
      <c r="T690" s="224"/>
      <c r="U690" s="224"/>
      <c r="V690" s="224"/>
      <c r="W690" s="224"/>
      <c r="X690" s="224"/>
      <c r="Y690" s="224"/>
      <c r="Z690" s="224"/>
      <c r="AA690" s="224"/>
      <c r="AB690" s="224"/>
      <c r="AC690" s="224"/>
      <c r="AD690" s="143" t="s">
        <v>2598</v>
      </c>
      <c r="AE690" s="143" t="s">
        <v>2186</v>
      </c>
    </row>
    <row r="691" spans="1:31" ht="24.95" customHeight="1" x14ac:dyDescent="0.2">
      <c r="A691" s="144">
        <v>2391</v>
      </c>
      <c r="B691" s="145" t="s">
        <v>2952</v>
      </c>
      <c r="C691" s="146" t="s">
        <v>2229</v>
      </c>
      <c r="D691" s="146" t="s">
        <v>2363</v>
      </c>
      <c r="E691" s="147" t="s">
        <v>2265</v>
      </c>
      <c r="F691" s="148">
        <v>1480</v>
      </c>
      <c r="G691" s="149">
        <f>10+230+1625+2+4</f>
        <v>1871</v>
      </c>
      <c r="H691" s="149">
        <v>475</v>
      </c>
      <c r="I691" s="196"/>
      <c r="J691" s="149">
        <v>0</v>
      </c>
      <c r="K691" s="149">
        <v>0</v>
      </c>
      <c r="L691" s="149">
        <v>0</v>
      </c>
      <c r="M691" s="149">
        <v>0</v>
      </c>
      <c r="N691" s="149">
        <v>0</v>
      </c>
      <c r="O691" s="149">
        <v>0</v>
      </c>
      <c r="P691" s="224"/>
      <c r="Q691" s="224"/>
      <c r="R691" s="224"/>
      <c r="S691" s="224"/>
      <c r="T691" s="224"/>
      <c r="U691" s="224"/>
      <c r="V691" s="224"/>
      <c r="W691" s="224"/>
      <c r="X691" s="224"/>
      <c r="Y691" s="224"/>
      <c r="Z691" s="224"/>
      <c r="AA691" s="224"/>
      <c r="AB691" s="224"/>
      <c r="AC691" s="224"/>
      <c r="AD691" s="143" t="s">
        <v>2598</v>
      </c>
      <c r="AE691" s="143" t="s">
        <v>2186</v>
      </c>
    </row>
    <row r="692" spans="1:31" ht="24.95" customHeight="1" x14ac:dyDescent="0.2">
      <c r="A692" s="144">
        <v>2392</v>
      </c>
      <c r="B692" s="145" t="s">
        <v>2953</v>
      </c>
      <c r="C692" s="146" t="s">
        <v>2229</v>
      </c>
      <c r="D692" s="146" t="s">
        <v>2363</v>
      </c>
      <c r="E692" s="147" t="s">
        <v>2265</v>
      </c>
      <c r="F692" s="148">
        <v>2795</v>
      </c>
      <c r="G692" s="149">
        <f>1545+1+3</f>
        <v>1549</v>
      </c>
      <c r="H692" s="149">
        <v>1655</v>
      </c>
      <c r="I692" s="196"/>
      <c r="J692" s="149">
        <v>0</v>
      </c>
      <c r="K692" s="149">
        <v>0</v>
      </c>
      <c r="L692" s="149">
        <v>0</v>
      </c>
      <c r="M692" s="149">
        <v>0</v>
      </c>
      <c r="N692" s="149">
        <v>0</v>
      </c>
      <c r="O692" s="149">
        <v>0</v>
      </c>
      <c r="P692" s="224"/>
      <c r="Q692" s="224"/>
      <c r="R692" s="224"/>
      <c r="S692" s="224"/>
      <c r="T692" s="224"/>
      <c r="U692" s="224"/>
      <c r="V692" s="224"/>
      <c r="W692" s="224"/>
      <c r="X692" s="224"/>
      <c r="Y692" s="224"/>
      <c r="Z692" s="224"/>
      <c r="AA692" s="224"/>
      <c r="AB692" s="224"/>
      <c r="AC692" s="224"/>
      <c r="AD692" s="143" t="s">
        <v>2598</v>
      </c>
      <c r="AE692" s="143" t="s">
        <v>2186</v>
      </c>
    </row>
    <row r="693" spans="1:31" ht="24.95" customHeight="1" x14ac:dyDescent="0.2">
      <c r="A693" s="152" t="s">
        <v>2954</v>
      </c>
      <c r="B693" s="145" t="s">
        <v>2955</v>
      </c>
      <c r="C693" s="146" t="s">
        <v>2229</v>
      </c>
      <c r="D693" s="146" t="s">
        <v>2363</v>
      </c>
      <c r="E693" s="147" t="s">
        <v>2265</v>
      </c>
      <c r="F693" s="148">
        <v>11630</v>
      </c>
      <c r="G693" s="149">
        <f>10690+1+1+134+6</f>
        <v>10832</v>
      </c>
      <c r="H693" s="149">
        <v>12445</v>
      </c>
      <c r="I693" s="196"/>
      <c r="J693" s="149">
        <v>0</v>
      </c>
      <c r="K693" s="149">
        <v>0</v>
      </c>
      <c r="L693" s="149">
        <v>0</v>
      </c>
      <c r="M693" s="149">
        <v>0</v>
      </c>
      <c r="N693" s="149">
        <v>0</v>
      </c>
      <c r="O693" s="149">
        <v>0</v>
      </c>
      <c r="P693" s="224"/>
      <c r="Q693" s="224"/>
      <c r="R693" s="224"/>
      <c r="S693" s="224"/>
      <c r="T693" s="224"/>
      <c r="U693" s="224"/>
      <c r="V693" s="224"/>
      <c r="W693" s="224"/>
      <c r="X693" s="224"/>
      <c r="Y693" s="224"/>
      <c r="Z693" s="224"/>
      <c r="AA693" s="224"/>
      <c r="AB693" s="224"/>
      <c r="AC693" s="224"/>
      <c r="AD693" s="143" t="s">
        <v>2517</v>
      </c>
      <c r="AE693" s="143" t="s">
        <v>2186</v>
      </c>
    </row>
    <row r="694" spans="1:31" ht="24.95" customHeight="1" x14ac:dyDescent="0.2">
      <c r="A694" s="144">
        <v>2396</v>
      </c>
      <c r="B694" s="145" t="s">
        <v>2956</v>
      </c>
      <c r="C694" s="146" t="s">
        <v>2280</v>
      </c>
      <c r="D694" s="146" t="s">
        <v>2280</v>
      </c>
      <c r="E694" s="147" t="s">
        <v>2265</v>
      </c>
      <c r="F694" s="148">
        <f>2580+2590</f>
        <v>5170</v>
      </c>
      <c r="G694" s="149">
        <f>1970+2555+744+4</f>
        <v>5273</v>
      </c>
      <c r="H694" s="149">
        <v>29</v>
      </c>
      <c r="I694" s="196"/>
      <c r="J694" s="149">
        <v>0</v>
      </c>
      <c r="K694" s="149">
        <v>0</v>
      </c>
      <c r="L694" s="149">
        <v>0</v>
      </c>
      <c r="M694" s="149">
        <v>0</v>
      </c>
      <c r="N694" s="149">
        <v>0</v>
      </c>
      <c r="O694" s="149">
        <v>0</v>
      </c>
      <c r="P694" s="224"/>
      <c r="Q694" s="224"/>
      <c r="R694" s="224"/>
      <c r="S694" s="224"/>
      <c r="T694" s="224"/>
      <c r="U694" s="224"/>
      <c r="V694" s="224"/>
      <c r="W694" s="224"/>
      <c r="X694" s="224"/>
      <c r="Y694" s="224"/>
      <c r="Z694" s="224"/>
      <c r="AA694" s="224"/>
      <c r="AB694" s="224"/>
      <c r="AC694" s="224"/>
      <c r="AD694" s="143" t="s">
        <v>2598</v>
      </c>
      <c r="AE694" s="143" t="s">
        <v>2254</v>
      </c>
    </row>
    <row r="695" spans="1:31" ht="24.95" customHeight="1" x14ac:dyDescent="0.2">
      <c r="A695" s="144">
        <v>2400</v>
      </c>
      <c r="B695" s="145" t="s">
        <v>2957</v>
      </c>
      <c r="C695" s="146" t="s">
        <v>2280</v>
      </c>
      <c r="D695" s="146" t="s">
        <v>2280</v>
      </c>
      <c r="E695" s="147" t="s">
        <v>2223</v>
      </c>
      <c r="F695" s="148">
        <f>195+3560</f>
        <v>3755</v>
      </c>
      <c r="G695" s="149">
        <f>15+50+120+165+2831+2</f>
        <v>3183</v>
      </c>
      <c r="H695" s="149">
        <v>58</v>
      </c>
      <c r="I695" s="196"/>
      <c r="J695" s="149">
        <v>4095</v>
      </c>
      <c r="K695" s="149">
        <v>3180</v>
      </c>
      <c r="L695" s="149">
        <f>55-49</f>
        <v>6</v>
      </c>
      <c r="M695" s="149">
        <v>3165</v>
      </c>
      <c r="N695" s="149">
        <v>0</v>
      </c>
      <c r="O695" s="149">
        <v>3443</v>
      </c>
      <c r="P695" s="224"/>
      <c r="Q695" s="224"/>
      <c r="R695" s="224"/>
      <c r="S695" s="224"/>
      <c r="T695" s="224"/>
      <c r="U695" s="224"/>
      <c r="V695" s="224"/>
      <c r="W695" s="224"/>
      <c r="X695" s="224"/>
      <c r="Y695" s="224"/>
      <c r="Z695" s="224"/>
      <c r="AA695" s="224"/>
      <c r="AB695" s="224"/>
      <c r="AC695" s="224"/>
      <c r="AD695" s="143" t="s">
        <v>2185</v>
      </c>
      <c r="AE695" s="143" t="s">
        <v>2254</v>
      </c>
    </row>
    <row r="696" spans="1:31" ht="24.95" customHeight="1" x14ac:dyDescent="0.2">
      <c r="A696" s="144">
        <v>2401</v>
      </c>
      <c r="B696" s="145" t="s">
        <v>2958</v>
      </c>
      <c r="C696" s="146" t="s">
        <v>2280</v>
      </c>
      <c r="D696" s="146" t="s">
        <v>2280</v>
      </c>
      <c r="E696" s="147" t="s">
        <v>2223</v>
      </c>
      <c r="F696" s="148">
        <f>1705+1170+1700</f>
        <v>4575</v>
      </c>
      <c r="G696" s="149">
        <f>1625+1910+40+30</f>
        <v>3605</v>
      </c>
      <c r="H696" s="149">
        <v>3315</v>
      </c>
      <c r="I696" s="196"/>
      <c r="J696" s="149">
        <v>0</v>
      </c>
      <c r="K696" s="149">
        <v>0</v>
      </c>
      <c r="L696" s="149">
        <v>0</v>
      </c>
      <c r="M696" s="149">
        <v>0</v>
      </c>
      <c r="N696" s="149">
        <v>0</v>
      </c>
      <c r="O696" s="149">
        <v>0</v>
      </c>
      <c r="P696" s="224"/>
      <c r="Q696" s="224"/>
      <c r="R696" s="224"/>
      <c r="S696" s="224"/>
      <c r="T696" s="224"/>
      <c r="U696" s="224"/>
      <c r="V696" s="224"/>
      <c r="W696" s="224"/>
      <c r="X696" s="224"/>
      <c r="Y696" s="224"/>
      <c r="Z696" s="224"/>
      <c r="AA696" s="224"/>
      <c r="AB696" s="224"/>
      <c r="AC696" s="224"/>
      <c r="AD696" s="143" t="s">
        <v>2598</v>
      </c>
      <c r="AE696" s="143" t="s">
        <v>2254</v>
      </c>
    </row>
    <row r="697" spans="1:31" ht="24.95" customHeight="1" x14ac:dyDescent="0.2">
      <c r="A697" s="144">
        <v>2413</v>
      </c>
      <c r="B697" s="145" t="s">
        <v>2959</v>
      </c>
      <c r="C697" s="146" t="s">
        <v>2688</v>
      </c>
      <c r="D697" s="146" t="s">
        <v>2688</v>
      </c>
      <c r="E697" s="147" t="s">
        <v>2265</v>
      </c>
      <c r="F697" s="148">
        <f>1060+2330</f>
        <v>3390</v>
      </c>
      <c r="G697" s="149">
        <f>4+1355+2305+61+1+103+4</f>
        <v>3833</v>
      </c>
      <c r="H697" s="149">
        <v>2695</v>
      </c>
      <c r="I697" s="196"/>
      <c r="J697" s="149">
        <v>0</v>
      </c>
      <c r="K697" s="149">
        <v>0</v>
      </c>
      <c r="L697" s="149">
        <v>0</v>
      </c>
      <c r="M697" s="149">
        <v>0</v>
      </c>
      <c r="N697" s="149">
        <v>0</v>
      </c>
      <c r="O697" s="149">
        <v>0</v>
      </c>
      <c r="P697" s="224"/>
      <c r="Q697" s="224"/>
      <c r="R697" s="224"/>
      <c r="S697" s="224"/>
      <c r="T697" s="224"/>
      <c r="U697" s="224"/>
      <c r="V697" s="224"/>
      <c r="W697" s="224"/>
      <c r="X697" s="224"/>
      <c r="Y697" s="224"/>
      <c r="Z697" s="224"/>
      <c r="AA697" s="224"/>
      <c r="AB697" s="224"/>
      <c r="AC697" s="224"/>
      <c r="AD697" s="143" t="s">
        <v>2598</v>
      </c>
      <c r="AE697" s="143" t="s">
        <v>2186</v>
      </c>
    </row>
    <row r="698" spans="1:31" ht="24.95" customHeight="1" x14ac:dyDescent="0.2">
      <c r="A698" s="144">
        <v>2417</v>
      </c>
      <c r="B698" s="145" t="s">
        <v>2960</v>
      </c>
      <c r="C698" s="146" t="s">
        <v>2194</v>
      </c>
      <c r="D698" s="146" t="s">
        <v>2194</v>
      </c>
      <c r="E698" s="147" t="s">
        <v>2265</v>
      </c>
      <c r="F698" s="148">
        <v>1790</v>
      </c>
      <c r="G698" s="149">
        <v>1769</v>
      </c>
      <c r="H698" s="149">
        <v>0</v>
      </c>
      <c r="I698" s="196"/>
      <c r="J698" s="149">
        <v>1320</v>
      </c>
      <c r="K698" s="149">
        <v>1295</v>
      </c>
      <c r="L698" s="149">
        <v>0</v>
      </c>
      <c r="M698" s="149">
        <v>704</v>
      </c>
      <c r="N698" s="149">
        <v>3</v>
      </c>
      <c r="O698" s="149">
        <v>815</v>
      </c>
      <c r="P698" s="224"/>
      <c r="Q698" s="224"/>
      <c r="R698" s="224"/>
      <c r="S698" s="224"/>
      <c r="T698" s="224"/>
      <c r="U698" s="224"/>
      <c r="V698" s="224"/>
      <c r="W698" s="224"/>
      <c r="X698" s="224"/>
      <c r="Y698" s="224"/>
      <c r="Z698" s="224"/>
      <c r="AA698" s="224"/>
      <c r="AB698" s="224"/>
      <c r="AC698" s="224"/>
      <c r="AD698" s="143" t="s">
        <v>2347</v>
      </c>
      <c r="AE698" s="143" t="s">
        <v>2254</v>
      </c>
    </row>
    <row r="699" spans="1:31" ht="24.95" customHeight="1" x14ac:dyDescent="0.2">
      <c r="A699" s="144">
        <v>2421</v>
      </c>
      <c r="B699" s="145" t="s">
        <v>2961</v>
      </c>
      <c r="C699" s="146" t="s">
        <v>2183</v>
      </c>
      <c r="D699" s="146" t="s">
        <v>2183</v>
      </c>
      <c r="E699" s="147" t="s">
        <v>2223</v>
      </c>
      <c r="F699" s="148">
        <v>2840</v>
      </c>
      <c r="G699" s="149">
        <v>5357</v>
      </c>
      <c r="H699" s="149">
        <v>54</v>
      </c>
      <c r="I699" s="196"/>
      <c r="J699" s="149">
        <v>3095</v>
      </c>
      <c r="K699" s="149">
        <v>5355</v>
      </c>
      <c r="L699" s="149">
        <v>49</v>
      </c>
      <c r="M699" s="149">
        <v>3206</v>
      </c>
      <c r="N699" s="149">
        <f>52-49</f>
        <v>3</v>
      </c>
      <c r="O699" s="149">
        <v>3614</v>
      </c>
      <c r="P699" s="224"/>
      <c r="Q699" s="224"/>
      <c r="R699" s="224"/>
      <c r="S699" s="224"/>
      <c r="T699" s="224"/>
      <c r="U699" s="224"/>
      <c r="V699" s="224"/>
      <c r="W699" s="224"/>
      <c r="X699" s="224"/>
      <c r="Y699" s="224"/>
      <c r="Z699" s="224"/>
      <c r="AA699" s="224"/>
      <c r="AB699" s="224"/>
      <c r="AC699" s="224"/>
      <c r="AD699" s="143" t="s">
        <v>2185</v>
      </c>
      <c r="AE699" s="143" t="s">
        <v>2254</v>
      </c>
    </row>
    <row r="700" spans="1:31" ht="24.95" customHeight="1" x14ac:dyDescent="0.2">
      <c r="A700" s="144">
        <v>2426</v>
      </c>
      <c r="B700" s="145" t="s">
        <v>2962</v>
      </c>
      <c r="C700" s="146" t="s">
        <v>2258</v>
      </c>
      <c r="D700" s="146" t="s">
        <v>2258</v>
      </c>
      <c r="E700" s="147" t="s">
        <v>2265</v>
      </c>
      <c r="F700" s="148">
        <f>3800+1715</f>
        <v>5515</v>
      </c>
      <c r="G700" s="149">
        <f>300+2930+5425+426+762+51+1+576+5</f>
        <v>10476</v>
      </c>
      <c r="H700" s="149">
        <f>16+23</f>
        <v>39</v>
      </c>
      <c r="I700" s="196"/>
      <c r="J700" s="149">
        <v>0</v>
      </c>
      <c r="K700" s="149">
        <v>0</v>
      </c>
      <c r="L700" s="149">
        <v>0</v>
      </c>
      <c r="M700" s="149">
        <v>0</v>
      </c>
      <c r="N700" s="149">
        <v>0</v>
      </c>
      <c r="O700" s="149">
        <v>0</v>
      </c>
      <c r="P700" s="224"/>
      <c r="Q700" s="224"/>
      <c r="R700" s="224"/>
      <c r="S700" s="224"/>
      <c r="T700" s="224"/>
      <c r="U700" s="224"/>
      <c r="V700" s="224"/>
      <c r="W700" s="224"/>
      <c r="X700" s="224"/>
      <c r="Y700" s="224"/>
      <c r="Z700" s="224"/>
      <c r="AA700" s="224"/>
      <c r="AB700" s="224"/>
      <c r="AC700" s="224"/>
      <c r="AD700" s="143" t="s">
        <v>2598</v>
      </c>
      <c r="AE700" s="143" t="s">
        <v>2186</v>
      </c>
    </row>
    <row r="701" spans="1:31" ht="24.95" customHeight="1" x14ac:dyDescent="0.2">
      <c r="A701" s="144">
        <v>2432</v>
      </c>
      <c r="B701" s="145" t="s">
        <v>2963</v>
      </c>
      <c r="C701" s="146" t="s">
        <v>2280</v>
      </c>
      <c r="D701" s="146" t="s">
        <v>2280</v>
      </c>
      <c r="E701" s="147" t="s">
        <v>2265</v>
      </c>
      <c r="F701" s="148">
        <v>1015</v>
      </c>
      <c r="G701" s="149">
        <f>1030+1077</f>
        <v>2107</v>
      </c>
      <c r="H701" s="149">
        <v>8</v>
      </c>
      <c r="I701" s="196"/>
      <c r="J701" s="149">
        <v>935</v>
      </c>
      <c r="K701" s="149">
        <v>1510</v>
      </c>
      <c r="L701" s="149">
        <v>0</v>
      </c>
      <c r="M701" s="149">
        <v>497</v>
      </c>
      <c r="N701" s="149">
        <v>0</v>
      </c>
      <c r="O701" s="149">
        <v>824</v>
      </c>
      <c r="P701" s="224"/>
      <c r="Q701" s="224"/>
      <c r="R701" s="224"/>
      <c r="S701" s="224"/>
      <c r="T701" s="224"/>
      <c r="U701" s="224"/>
      <c r="V701" s="224"/>
      <c r="W701" s="224"/>
      <c r="X701" s="224"/>
      <c r="Y701" s="224"/>
      <c r="Z701" s="224"/>
      <c r="AA701" s="224"/>
      <c r="AB701" s="224"/>
      <c r="AC701" s="224"/>
      <c r="AD701" s="143" t="s">
        <v>2185</v>
      </c>
      <c r="AE701" s="143" t="s">
        <v>2254</v>
      </c>
    </row>
    <row r="702" spans="1:31" ht="24.95" customHeight="1" x14ac:dyDescent="0.2">
      <c r="A702" s="144">
        <v>2450</v>
      </c>
      <c r="B702" s="145" t="s">
        <v>2964</v>
      </c>
      <c r="C702" s="146" t="s">
        <v>2309</v>
      </c>
      <c r="D702" s="146" t="s">
        <v>2309</v>
      </c>
      <c r="E702" s="147" t="s">
        <v>2265</v>
      </c>
      <c r="F702" s="148">
        <v>1650</v>
      </c>
      <c r="G702" s="149">
        <f>1625+1</f>
        <v>1626</v>
      </c>
      <c r="H702" s="149">
        <v>195</v>
      </c>
      <c r="I702" s="196"/>
      <c r="J702" s="149">
        <v>1240</v>
      </c>
      <c r="K702" s="149">
        <v>1625</v>
      </c>
      <c r="L702" s="149">
        <v>0</v>
      </c>
      <c r="M702" s="149">
        <v>951</v>
      </c>
      <c r="N702" s="149">
        <v>0</v>
      </c>
      <c r="O702" s="149">
        <v>275</v>
      </c>
      <c r="P702" s="224"/>
      <c r="Q702" s="224"/>
      <c r="R702" s="224"/>
      <c r="S702" s="224"/>
      <c r="T702" s="224"/>
      <c r="U702" s="224"/>
      <c r="V702" s="224"/>
      <c r="W702" s="224"/>
      <c r="X702" s="224"/>
      <c r="Y702" s="224"/>
      <c r="Z702" s="224"/>
      <c r="AA702" s="224"/>
      <c r="AB702" s="224"/>
      <c r="AC702" s="224"/>
      <c r="AD702" s="143" t="s">
        <v>2185</v>
      </c>
      <c r="AE702" s="143" t="s">
        <v>2254</v>
      </c>
    </row>
    <row r="703" spans="1:31" ht="24.95" customHeight="1" x14ac:dyDescent="0.2">
      <c r="A703" s="144">
        <v>2459</v>
      </c>
      <c r="B703" s="145" t="s">
        <v>2965</v>
      </c>
      <c r="C703" s="146" t="s">
        <v>2183</v>
      </c>
      <c r="D703" s="146" t="s">
        <v>2183</v>
      </c>
      <c r="E703" s="147" t="s">
        <v>2265</v>
      </c>
      <c r="F703" s="148">
        <f>15+1330</f>
        <v>1345</v>
      </c>
      <c r="G703" s="149">
        <f>30+1280+26+21+1</f>
        <v>1358</v>
      </c>
      <c r="H703" s="149">
        <v>385</v>
      </c>
      <c r="I703" s="196"/>
      <c r="J703" s="149">
        <v>0</v>
      </c>
      <c r="K703" s="149">
        <v>0</v>
      </c>
      <c r="L703" s="149">
        <v>0</v>
      </c>
      <c r="M703" s="149">
        <v>0</v>
      </c>
      <c r="N703" s="149">
        <v>0</v>
      </c>
      <c r="O703" s="149">
        <v>0</v>
      </c>
      <c r="P703" s="224"/>
      <c r="Q703" s="224"/>
      <c r="R703" s="224"/>
      <c r="S703" s="224"/>
      <c r="T703" s="224"/>
      <c r="U703" s="224"/>
      <c r="V703" s="224"/>
      <c r="W703" s="224"/>
      <c r="X703" s="224"/>
      <c r="Y703" s="224"/>
      <c r="Z703" s="224"/>
      <c r="AA703" s="224"/>
      <c r="AB703" s="224"/>
      <c r="AC703" s="224"/>
      <c r="AD703" s="143" t="s">
        <v>2598</v>
      </c>
      <c r="AE703" s="143" t="s">
        <v>2186</v>
      </c>
    </row>
    <row r="704" spans="1:31" ht="24.95" customHeight="1" x14ac:dyDescent="0.2">
      <c r="A704" s="144">
        <v>2487</v>
      </c>
      <c r="B704" s="145" t="s">
        <v>2966</v>
      </c>
      <c r="C704" s="146" t="s">
        <v>2194</v>
      </c>
      <c r="D704" s="146" t="s">
        <v>2288</v>
      </c>
      <c r="E704" s="147" t="s">
        <v>2265</v>
      </c>
      <c r="F704" s="148">
        <v>3920</v>
      </c>
      <c r="G704" s="149">
        <f>120+785+2235+126</f>
        <v>3266</v>
      </c>
      <c r="H704" s="149">
        <f>12+2886</f>
        <v>2898</v>
      </c>
      <c r="I704" s="196"/>
      <c r="J704" s="149">
        <v>0</v>
      </c>
      <c r="K704" s="149">
        <v>0</v>
      </c>
      <c r="L704" s="149">
        <v>0</v>
      </c>
      <c r="M704" s="149">
        <v>0</v>
      </c>
      <c r="N704" s="149">
        <v>0</v>
      </c>
      <c r="O704" s="149">
        <v>0</v>
      </c>
      <c r="P704" s="224"/>
      <c r="Q704" s="224"/>
      <c r="R704" s="224"/>
      <c r="S704" s="224"/>
      <c r="T704" s="224"/>
      <c r="U704" s="224"/>
      <c r="V704" s="224"/>
      <c r="W704" s="224"/>
      <c r="X704" s="224"/>
      <c r="Y704" s="224"/>
      <c r="Z704" s="224"/>
      <c r="AA704" s="224"/>
      <c r="AB704" s="224"/>
      <c r="AC704" s="224"/>
      <c r="AD704" s="143" t="s">
        <v>2598</v>
      </c>
      <c r="AE704" s="143" t="s">
        <v>2186</v>
      </c>
    </row>
    <row r="705" spans="1:32" ht="24.95" customHeight="1" x14ac:dyDescent="0.2">
      <c r="A705" s="144">
        <v>2496</v>
      </c>
      <c r="B705" s="145" t="s">
        <v>2967</v>
      </c>
      <c r="C705" s="146" t="s">
        <v>2250</v>
      </c>
      <c r="D705" s="146" t="s">
        <v>2285</v>
      </c>
      <c r="E705" s="147" t="s">
        <v>2265</v>
      </c>
      <c r="F705" s="148">
        <f>1510+1360</f>
        <v>2870</v>
      </c>
      <c r="G705" s="149">
        <f>515+1100+1+797+198+1</f>
        <v>2612</v>
      </c>
      <c r="H705" s="149">
        <v>11</v>
      </c>
      <c r="I705" s="196"/>
      <c r="J705" s="149">
        <v>0</v>
      </c>
      <c r="K705" s="149">
        <v>0</v>
      </c>
      <c r="L705" s="149">
        <v>0</v>
      </c>
      <c r="M705" s="149">
        <v>0</v>
      </c>
      <c r="N705" s="149">
        <v>0</v>
      </c>
      <c r="O705" s="149">
        <v>0</v>
      </c>
      <c r="P705" s="224"/>
      <c r="Q705" s="224"/>
      <c r="R705" s="224"/>
      <c r="S705" s="224"/>
      <c r="T705" s="224"/>
      <c r="U705" s="224"/>
      <c r="V705" s="224"/>
      <c r="W705" s="224"/>
      <c r="X705" s="224"/>
      <c r="Y705" s="224"/>
      <c r="Z705" s="224"/>
      <c r="AA705" s="224"/>
      <c r="AB705" s="224"/>
      <c r="AC705" s="224"/>
      <c r="AD705" s="143" t="s">
        <v>2347</v>
      </c>
      <c r="AE705" s="143" t="s">
        <v>2254</v>
      </c>
    </row>
    <row r="706" spans="1:32" ht="24.95" customHeight="1" x14ac:dyDescent="0.2">
      <c r="A706" s="144">
        <v>2512</v>
      </c>
      <c r="B706" s="145" t="s">
        <v>2968</v>
      </c>
      <c r="C706" s="146" t="s">
        <v>2250</v>
      </c>
      <c r="D706" s="146" t="s">
        <v>2250</v>
      </c>
      <c r="E706" s="147" t="s">
        <v>2265</v>
      </c>
      <c r="F706" s="148">
        <f>115+7115</f>
        <v>7230</v>
      </c>
      <c r="G706" s="149">
        <f>35+50+95+2655+21+1+1</f>
        <v>2858</v>
      </c>
      <c r="H706" s="149">
        <v>0</v>
      </c>
      <c r="I706" s="196"/>
      <c r="J706" s="149">
        <v>0</v>
      </c>
      <c r="K706" s="149">
        <v>0</v>
      </c>
      <c r="L706" s="149">
        <v>0</v>
      </c>
      <c r="M706" s="149">
        <v>0</v>
      </c>
      <c r="N706" s="149">
        <v>0</v>
      </c>
      <c r="O706" s="149">
        <v>0</v>
      </c>
      <c r="P706" s="224"/>
      <c r="Q706" s="224"/>
      <c r="R706" s="224"/>
      <c r="S706" s="224"/>
      <c r="T706" s="224"/>
      <c r="U706" s="224"/>
      <c r="V706" s="224"/>
      <c r="W706" s="224"/>
      <c r="X706" s="224"/>
      <c r="Y706" s="224"/>
      <c r="Z706" s="224"/>
      <c r="AA706" s="224"/>
      <c r="AB706" s="224"/>
      <c r="AC706" s="224"/>
      <c r="AD706" s="143" t="s">
        <v>2598</v>
      </c>
      <c r="AE706" s="143" t="s">
        <v>2254</v>
      </c>
    </row>
    <row r="707" spans="1:32" ht="24.95" customHeight="1" x14ac:dyDescent="0.2">
      <c r="A707" s="144">
        <v>2531</v>
      </c>
      <c r="B707" s="145" t="s">
        <v>2969</v>
      </c>
      <c r="C707" s="146" t="s">
        <v>2222</v>
      </c>
      <c r="D707" s="146" t="s">
        <v>2970</v>
      </c>
      <c r="E707" s="147" t="s">
        <v>2265</v>
      </c>
      <c r="F707" s="148">
        <f>2255+10595</f>
        <v>12850</v>
      </c>
      <c r="G707" s="149">
        <f>2155+11440+340</f>
        <v>13935</v>
      </c>
      <c r="H707" s="149">
        <v>1430</v>
      </c>
      <c r="I707" s="196"/>
      <c r="J707" s="149">
        <v>0</v>
      </c>
      <c r="K707" s="149">
        <v>0</v>
      </c>
      <c r="L707" s="149">
        <v>0</v>
      </c>
      <c r="M707" s="149">
        <v>0</v>
      </c>
      <c r="N707" s="149">
        <v>0</v>
      </c>
      <c r="O707" s="149">
        <v>0</v>
      </c>
      <c r="P707" s="224"/>
      <c r="Q707" s="224"/>
      <c r="R707" s="224"/>
      <c r="S707" s="224"/>
      <c r="T707" s="224"/>
      <c r="U707" s="224"/>
      <c r="V707" s="224"/>
      <c r="W707" s="224"/>
      <c r="X707" s="224"/>
      <c r="Y707" s="224"/>
      <c r="Z707" s="224"/>
      <c r="AA707" s="224"/>
      <c r="AB707" s="224"/>
      <c r="AC707" s="224"/>
      <c r="AD707" s="143" t="s">
        <v>2598</v>
      </c>
      <c r="AE707" s="143" t="s">
        <v>2186</v>
      </c>
    </row>
    <row r="708" spans="1:32" ht="24.95" customHeight="1" thickBot="1" x14ac:dyDescent="0.25">
      <c r="A708" s="144">
        <v>2532</v>
      </c>
      <c r="B708" s="145" t="s">
        <v>2971</v>
      </c>
      <c r="C708" s="146" t="s">
        <v>2222</v>
      </c>
      <c r="D708" s="146" t="s">
        <v>2471</v>
      </c>
      <c r="E708" s="147" t="s">
        <v>2265</v>
      </c>
      <c r="F708" s="148">
        <f>12015+425</f>
        <v>12440</v>
      </c>
      <c r="G708" s="149">
        <f>3685+8945+50+95</f>
        <v>12775</v>
      </c>
      <c r="H708" s="149">
        <v>650</v>
      </c>
      <c r="I708" s="196"/>
      <c r="J708" s="149">
        <v>0</v>
      </c>
      <c r="K708" s="149">
        <v>0</v>
      </c>
      <c r="L708" s="149">
        <v>0</v>
      </c>
      <c r="M708" s="149" t="s">
        <v>2372</v>
      </c>
      <c r="N708" s="149">
        <v>0</v>
      </c>
      <c r="O708" s="149">
        <v>0</v>
      </c>
      <c r="P708" s="224"/>
      <c r="Q708" s="224"/>
      <c r="R708" s="224"/>
      <c r="S708" s="224"/>
      <c r="T708" s="224"/>
      <c r="U708" s="224"/>
      <c r="V708" s="224"/>
      <c r="W708" s="224"/>
      <c r="X708" s="224"/>
      <c r="Y708" s="224"/>
      <c r="Z708" s="224"/>
      <c r="AA708" s="224"/>
      <c r="AB708" s="224"/>
      <c r="AC708" s="224"/>
      <c r="AD708" s="143" t="s">
        <v>2598</v>
      </c>
      <c r="AE708" s="143" t="s">
        <v>2186</v>
      </c>
    </row>
    <row r="709" spans="1:32" s="154" customFormat="1" ht="13.5" thickBot="1" x14ac:dyDescent="0.25">
      <c r="A709" s="110"/>
      <c r="B709" s="153"/>
      <c r="C709" s="110"/>
      <c r="E709" s="155" t="s">
        <v>2972</v>
      </c>
      <c r="F709" s="156">
        <f>SUM(F7:F708)</f>
        <v>3717261</v>
      </c>
      <c r="G709" s="156">
        <f t="shared" ref="G709:I709" si="0">SUM(G7:G708)</f>
        <v>3939587</v>
      </c>
      <c r="H709" s="156">
        <f t="shared" si="0"/>
        <v>310127</v>
      </c>
      <c r="I709" s="156">
        <f t="shared" si="0"/>
        <v>0</v>
      </c>
      <c r="AA709" s="105"/>
      <c r="AB709" s="105"/>
      <c r="AE709" s="143"/>
      <c r="AF709" s="105"/>
    </row>
    <row r="710" spans="1:32" s="154" customFormat="1" ht="26.25" thickBot="1" x14ac:dyDescent="0.25">
      <c r="A710" s="110"/>
      <c r="B710" s="153"/>
      <c r="C710" s="110"/>
      <c r="E710" s="157" t="s">
        <v>2973</v>
      </c>
      <c r="F710" s="158">
        <f>SUMIF($AD$7:$AD$708,"in service",F7:F708)+SUMIF($AD$7:$AD$708,"completed",F7:F708)</f>
        <v>388790</v>
      </c>
      <c r="G710" s="158">
        <f>SUMIF($AD$7:$AD$708,"in service",G7:G708)+SUMIF($AD$7:$AD$708,"completed",G7:G708)</f>
        <v>374820</v>
      </c>
      <c r="H710" s="158">
        <f>SUMIF($AD$7:$AD$708,"in service",H7:H708)+SUMIF($AD$7:$AD$708,"completed",H7:H708)</f>
        <v>7579</v>
      </c>
      <c r="I710" s="158">
        <f>SUMIF($AD$7:$AD$708,"in service",I7:I708)+SUMIF($AD$7:$AD$708,"completed",I7:I708)</f>
        <v>0</v>
      </c>
      <c r="J710" s="159">
        <f t="shared" ref="J710:AC710" si="1">SUM(J7:J708)</f>
        <v>2707790</v>
      </c>
      <c r="K710" s="159">
        <f t="shared" si="1"/>
        <v>2863211</v>
      </c>
      <c r="L710" s="159">
        <f t="shared" si="1"/>
        <v>41316</v>
      </c>
      <c r="M710" s="159">
        <f t="shared" si="1"/>
        <v>2111653</v>
      </c>
      <c r="N710" s="159">
        <f t="shared" si="1"/>
        <v>18656</v>
      </c>
      <c r="O710" s="159">
        <f t="shared" si="1"/>
        <v>2123401</v>
      </c>
      <c r="P710" s="184">
        <f t="shared" si="1"/>
        <v>0</v>
      </c>
      <c r="Q710" s="184">
        <f t="shared" si="1"/>
        <v>0</v>
      </c>
      <c r="R710" s="184">
        <f t="shared" si="1"/>
        <v>0</v>
      </c>
      <c r="S710" s="184">
        <f t="shared" si="1"/>
        <v>0</v>
      </c>
      <c r="T710" s="184">
        <f t="shared" si="1"/>
        <v>0</v>
      </c>
      <c r="U710" s="184">
        <f t="shared" si="1"/>
        <v>0</v>
      </c>
      <c r="V710" s="184">
        <f t="shared" si="1"/>
        <v>0</v>
      </c>
      <c r="W710" s="184">
        <f t="shared" si="1"/>
        <v>0</v>
      </c>
      <c r="X710" s="184">
        <f t="shared" si="1"/>
        <v>0</v>
      </c>
      <c r="Y710" s="184">
        <f t="shared" si="1"/>
        <v>0</v>
      </c>
      <c r="Z710" s="184">
        <f t="shared" si="1"/>
        <v>0</v>
      </c>
      <c r="AA710" s="184">
        <f t="shared" si="1"/>
        <v>0</v>
      </c>
      <c r="AB710" s="184">
        <f t="shared" si="1"/>
        <v>0</v>
      </c>
      <c r="AC710" s="184">
        <f t="shared" si="1"/>
        <v>0</v>
      </c>
      <c r="AD710" s="105"/>
      <c r="AF710" s="105"/>
    </row>
    <row r="711" spans="1:32" ht="15" customHeight="1" x14ac:dyDescent="0.25">
      <c r="J711" s="160"/>
      <c r="K711" s="160"/>
      <c r="L711" s="160"/>
      <c r="M711" s="160"/>
      <c r="N711" s="160"/>
      <c r="O711" s="160"/>
      <c r="P711" s="105"/>
      <c r="Q711" s="105"/>
      <c r="R711" s="105"/>
      <c r="S711" s="105"/>
      <c r="T711" s="105"/>
      <c r="U711" s="105"/>
      <c r="V711" s="105"/>
      <c r="W711" s="105"/>
      <c r="X711" s="105"/>
      <c r="Y711" s="161"/>
      <c r="Z711" s="105"/>
      <c r="AA711" s="105"/>
      <c r="AB711" s="105"/>
      <c r="AC711" s="105"/>
    </row>
    <row r="712" spans="1:32" x14ac:dyDescent="0.2">
      <c r="P712" s="105"/>
      <c r="Q712" s="105"/>
      <c r="R712" s="105"/>
      <c r="S712" s="105"/>
      <c r="T712" s="105"/>
      <c r="U712" s="105"/>
      <c r="V712" s="105"/>
      <c r="W712" s="105"/>
      <c r="X712" s="105"/>
      <c r="Y712" s="105"/>
      <c r="Z712" s="105"/>
      <c r="AA712" s="105"/>
      <c r="AB712" s="105"/>
      <c r="AC712" s="105"/>
    </row>
    <row r="713" spans="1:32" ht="15" x14ac:dyDescent="0.2">
      <c r="A713" s="162" t="s">
        <v>2974</v>
      </c>
      <c r="P713" s="105"/>
      <c r="Q713" s="105"/>
      <c r="R713" s="105"/>
      <c r="S713" s="105"/>
      <c r="T713" s="105"/>
      <c r="U713" s="105"/>
      <c r="V713" s="105"/>
      <c r="W713" s="105"/>
      <c r="X713" s="105"/>
      <c r="Y713" s="105"/>
      <c r="Z713" s="105"/>
      <c r="AA713" s="105"/>
      <c r="AB713" s="105"/>
      <c r="AC713" s="105"/>
    </row>
    <row r="714" spans="1:32" ht="15" hidden="1" customHeight="1" x14ac:dyDescent="0.2">
      <c r="A714" s="163" t="s">
        <v>2975</v>
      </c>
      <c r="P714" s="105"/>
      <c r="Q714" s="105"/>
      <c r="R714" s="105"/>
      <c r="S714" s="105"/>
      <c r="T714" s="105"/>
      <c r="U714" s="105"/>
      <c r="V714" s="105"/>
      <c r="W714" s="105"/>
      <c r="X714" s="105"/>
      <c r="Y714" s="105"/>
      <c r="Z714" s="105"/>
      <c r="AA714" s="105"/>
      <c r="AB714" s="105"/>
      <c r="AC714" s="105"/>
    </row>
    <row r="715" spans="1:32" ht="15" x14ac:dyDescent="0.2">
      <c r="A715" s="162" t="s">
        <v>2976</v>
      </c>
      <c r="P715" s="105"/>
      <c r="Q715" s="105"/>
      <c r="R715" s="105"/>
      <c r="S715" s="105"/>
      <c r="T715" s="105"/>
      <c r="U715" s="105"/>
      <c r="V715" s="105"/>
      <c r="W715" s="105"/>
      <c r="X715" s="105"/>
      <c r="Y715" s="105"/>
      <c r="Z715" s="105"/>
      <c r="AA715" s="105"/>
      <c r="AB715" s="105"/>
      <c r="AC715" s="105"/>
    </row>
    <row r="716" spans="1:32" ht="15" x14ac:dyDescent="0.2">
      <c r="A716" s="162" t="s">
        <v>2977</v>
      </c>
      <c r="P716" s="105"/>
      <c r="Q716" s="105"/>
      <c r="R716" s="105"/>
      <c r="S716" s="105"/>
      <c r="T716" s="105"/>
      <c r="U716" s="105"/>
      <c r="V716" s="105"/>
      <c r="W716" s="105"/>
      <c r="X716" s="105"/>
      <c r="Y716" s="105"/>
      <c r="Z716" s="105"/>
      <c r="AA716" s="105"/>
      <c r="AB716" s="105"/>
      <c r="AC716" s="105"/>
    </row>
    <row r="717" spans="1:32" ht="15" x14ac:dyDescent="0.2">
      <c r="A717" s="163" t="s">
        <v>2978</v>
      </c>
      <c r="P717" s="105"/>
      <c r="Q717" s="105"/>
      <c r="R717" s="105"/>
      <c r="S717" s="105"/>
      <c r="T717" s="105"/>
      <c r="U717" s="105"/>
      <c r="V717" s="105"/>
      <c r="W717" s="105"/>
      <c r="X717" s="105"/>
      <c r="Y717" s="105"/>
      <c r="Z717" s="105"/>
      <c r="AA717" s="105"/>
      <c r="AB717" s="105"/>
      <c r="AC717" s="105"/>
    </row>
    <row r="718" spans="1:32" ht="15" x14ac:dyDescent="0.2">
      <c r="A718" s="163" t="s">
        <v>2979</v>
      </c>
      <c r="P718" s="164"/>
    </row>
    <row r="719" spans="1:32" ht="15" x14ac:dyDescent="0.2">
      <c r="A719" s="163" t="s">
        <v>2980</v>
      </c>
      <c r="P719" s="164"/>
    </row>
    <row r="720" spans="1:32" ht="15" x14ac:dyDescent="0.2">
      <c r="A720" s="162" t="s">
        <v>2981</v>
      </c>
      <c r="P720" s="164"/>
    </row>
    <row r="721" spans="1:3" ht="15" x14ac:dyDescent="0.2">
      <c r="A721" s="162" t="s">
        <v>2982</v>
      </c>
      <c r="C721" s="105"/>
    </row>
    <row r="722" spans="1:3" ht="15" x14ac:dyDescent="0.2">
      <c r="A722" s="162" t="s">
        <v>2983</v>
      </c>
      <c r="C722" s="105"/>
    </row>
    <row r="723" spans="1:3" ht="15" x14ac:dyDescent="0.2">
      <c r="A723" s="162" t="s">
        <v>2984</v>
      </c>
      <c r="C723" s="105"/>
    </row>
    <row r="724" spans="1:3" ht="15" x14ac:dyDescent="0.2">
      <c r="A724" s="162" t="s">
        <v>2985</v>
      </c>
      <c r="C724" s="105"/>
    </row>
    <row r="725" spans="1:3" ht="15" x14ac:dyDescent="0.2">
      <c r="A725" s="162" t="s">
        <v>2986</v>
      </c>
    </row>
    <row r="726" spans="1:3" ht="15" x14ac:dyDescent="0.2">
      <c r="A726" s="162" t="s">
        <v>2987</v>
      </c>
    </row>
    <row r="727" spans="1:3" ht="15" x14ac:dyDescent="0.2">
      <c r="A727" s="162" t="s">
        <v>2988</v>
      </c>
    </row>
    <row r="733" spans="1:3" x14ac:dyDescent="0.2">
      <c r="B733" s="165"/>
      <c r="C733" s="166"/>
    </row>
    <row r="734" spans="1:3" x14ac:dyDescent="0.2">
      <c r="B734" s="165"/>
      <c r="C734" s="166"/>
    </row>
    <row r="735" spans="1:3" x14ac:dyDescent="0.2">
      <c r="B735" s="165"/>
      <c r="C735" s="166"/>
    </row>
  </sheetData>
  <mergeCells count="3">
    <mergeCell ref="A2:AD2"/>
    <mergeCell ref="A3:AD3"/>
    <mergeCell ref="P5:AC5"/>
  </mergeCells>
  <printOptions horizontalCentered="1"/>
  <pageMargins left="0.75" right="0.75" top="1" bottom="1" header="0.5" footer="0.5"/>
  <pageSetup scale="21" fitToHeight="0" orientation="landscape" r:id="rId1"/>
  <headerFooter scaleWithDoc="0">
    <oddHeader>&amp;RPetitioner's Exhibit No. 2
Attachment  &amp;A
CEI North
Page &amp;P of &amp;N</oddHeader>
  </headerFooter>
  <rowBreaks count="1" manualBreakCount="1">
    <brk id="636" max="3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78304-F871-4403-A67A-E127B0B22068}">
  <sheetPr codeName="Sheet9">
    <pageSetUpPr fitToPage="1"/>
  </sheetPr>
  <dimension ref="A1:M277"/>
  <sheetViews>
    <sheetView view="pageBreakPreview" zoomScale="90" zoomScaleNormal="66" zoomScaleSheetLayoutView="90" zoomScalePageLayoutView="90" workbookViewId="0">
      <pane ySplit="6" topLeftCell="A7" activePane="bottomLeft" state="frozen"/>
      <selection pane="bottomLeft" activeCell="A7" sqref="A7"/>
    </sheetView>
  </sheetViews>
  <sheetFormatPr defaultColWidth="9.140625" defaultRowHeight="12.75" x14ac:dyDescent="0.2"/>
  <cols>
    <col min="1" max="1" width="18" style="198" customWidth="1"/>
    <col min="2" max="2" width="23.140625" style="220" bestFit="1" customWidth="1"/>
    <col min="3" max="3" width="23" style="218" bestFit="1" customWidth="1"/>
    <col min="4" max="4" width="55.140625" style="216" bestFit="1" customWidth="1"/>
    <col min="5" max="5" width="10.42578125" style="217" bestFit="1" customWidth="1"/>
    <col min="6" max="6" width="23.5703125" style="217" bestFit="1" customWidth="1"/>
    <col min="7" max="7" width="58.140625" style="218" customWidth="1"/>
    <col min="8" max="8" width="13.5703125" style="197" customWidth="1"/>
    <col min="9" max="9" width="14.85546875" style="197" bestFit="1" customWidth="1"/>
    <col min="10" max="10" width="14.42578125" style="222" bestFit="1" customWidth="1"/>
    <col min="11" max="16384" width="9.140625" style="197"/>
  </cols>
  <sheetData>
    <row r="1" spans="1:13" ht="18" x14ac:dyDescent="0.25">
      <c r="A1" s="241" t="s">
        <v>1</v>
      </c>
      <c r="B1" s="241"/>
      <c r="C1" s="241"/>
      <c r="D1" s="241"/>
      <c r="E1" s="241"/>
      <c r="F1" s="241"/>
      <c r="G1" s="241"/>
      <c r="H1" s="241"/>
      <c r="I1" s="241"/>
      <c r="J1" s="241"/>
    </row>
    <row r="2" spans="1:13" ht="18" x14ac:dyDescent="0.25">
      <c r="A2" s="242" t="s">
        <v>2989</v>
      </c>
      <c r="B2" s="242"/>
      <c r="C2" s="242"/>
      <c r="D2" s="242"/>
      <c r="E2" s="242"/>
      <c r="F2" s="242"/>
      <c r="G2" s="242"/>
      <c r="H2" s="242"/>
      <c r="I2" s="242"/>
      <c r="J2" s="242"/>
    </row>
    <row r="3" spans="1:13" ht="18" x14ac:dyDescent="0.2">
      <c r="B3" s="199"/>
      <c r="C3" s="200"/>
      <c r="D3" s="201"/>
      <c r="E3" s="202"/>
      <c r="F3" s="203"/>
      <c r="G3" s="204"/>
      <c r="H3" s="205"/>
      <c r="I3" s="205"/>
      <c r="J3" s="206"/>
    </row>
    <row r="4" spans="1:13" ht="18" x14ac:dyDescent="0.25">
      <c r="A4" s="207"/>
      <c r="B4" s="208"/>
      <c r="C4" s="209"/>
      <c r="D4" s="229"/>
      <c r="E4" s="202"/>
      <c r="F4" s="210"/>
      <c r="G4" s="211"/>
      <c r="H4" s="212"/>
      <c r="I4" s="212"/>
      <c r="J4" s="213"/>
    </row>
    <row r="5" spans="1:13" ht="18" x14ac:dyDescent="0.25">
      <c r="A5" s="98"/>
      <c r="B5" s="214"/>
      <c r="C5" s="215"/>
      <c r="H5" s="212"/>
      <c r="I5" s="212"/>
      <c r="J5" s="219"/>
    </row>
    <row r="6" spans="1:13" s="68" customFormat="1" ht="42" customHeight="1" x14ac:dyDescent="0.2">
      <c r="A6" s="60" t="s">
        <v>19</v>
      </c>
      <c r="B6" s="60" t="s">
        <v>20</v>
      </c>
      <c r="C6" s="60" t="s">
        <v>21</v>
      </c>
      <c r="D6" s="60" t="s">
        <v>22</v>
      </c>
      <c r="E6" s="60" t="s">
        <v>23</v>
      </c>
      <c r="F6" s="60" t="s">
        <v>24</v>
      </c>
      <c r="G6" s="60" t="s">
        <v>25</v>
      </c>
      <c r="H6" s="60" t="s">
        <v>26</v>
      </c>
      <c r="I6" s="60" t="s">
        <v>27</v>
      </c>
      <c r="J6" s="61" t="s">
        <v>28</v>
      </c>
      <c r="K6" s="25"/>
      <c r="L6" s="25"/>
      <c r="M6" s="25"/>
    </row>
    <row r="7" spans="1:13" ht="60" x14ac:dyDescent="0.2">
      <c r="A7" s="96" t="s">
        <v>29</v>
      </c>
      <c r="B7" s="93">
        <v>14929034</v>
      </c>
      <c r="C7" s="71" t="s">
        <v>2990</v>
      </c>
      <c r="D7" s="93" t="s">
        <v>2991</v>
      </c>
      <c r="E7" s="96" t="s">
        <v>51</v>
      </c>
      <c r="F7" s="96" t="s">
        <v>120</v>
      </c>
      <c r="G7" s="93" t="s">
        <v>2992</v>
      </c>
      <c r="H7" s="97">
        <v>2022</v>
      </c>
      <c r="I7" s="188"/>
      <c r="J7" s="185"/>
    </row>
    <row r="8" spans="1:13" ht="60" x14ac:dyDescent="0.2">
      <c r="A8" s="96" t="s">
        <v>29</v>
      </c>
      <c r="B8" s="93">
        <v>16299341</v>
      </c>
      <c r="C8" s="71" t="s">
        <v>2993</v>
      </c>
      <c r="D8" s="93" t="s">
        <v>2991</v>
      </c>
      <c r="E8" s="96" t="s">
        <v>37</v>
      </c>
      <c r="F8" s="96" t="s">
        <v>156</v>
      </c>
      <c r="G8" s="93" t="s">
        <v>2994</v>
      </c>
      <c r="H8" s="97">
        <v>2022</v>
      </c>
      <c r="I8" s="188"/>
      <c r="J8" s="185"/>
    </row>
    <row r="9" spans="1:13" ht="60" x14ac:dyDescent="0.2">
      <c r="A9" s="96" t="s">
        <v>29</v>
      </c>
      <c r="B9" s="93">
        <v>16299366</v>
      </c>
      <c r="C9" s="71" t="s">
        <v>2995</v>
      </c>
      <c r="D9" s="93" t="s">
        <v>2991</v>
      </c>
      <c r="E9" s="96" t="s">
        <v>37</v>
      </c>
      <c r="F9" s="96" t="s">
        <v>156</v>
      </c>
      <c r="G9" s="93" t="s">
        <v>2996</v>
      </c>
      <c r="H9" s="97">
        <v>2022</v>
      </c>
      <c r="I9" s="188"/>
      <c r="J9" s="185"/>
    </row>
    <row r="10" spans="1:13" ht="60" x14ac:dyDescent="0.2">
      <c r="A10" s="96" t="s">
        <v>29</v>
      </c>
      <c r="B10" s="93">
        <v>16542367</v>
      </c>
      <c r="C10" s="71">
        <v>19592402061219</v>
      </c>
      <c r="D10" s="93" t="s">
        <v>2991</v>
      </c>
      <c r="E10" s="96" t="s">
        <v>37</v>
      </c>
      <c r="F10" s="96" t="s">
        <v>255</v>
      </c>
      <c r="G10" s="93" t="s">
        <v>2997</v>
      </c>
      <c r="H10" s="97">
        <v>2022</v>
      </c>
      <c r="I10" s="188"/>
      <c r="J10" s="185"/>
    </row>
    <row r="11" spans="1:13" ht="60" x14ac:dyDescent="0.2">
      <c r="A11" s="96" t="s">
        <v>29</v>
      </c>
      <c r="B11" s="93">
        <v>16623863</v>
      </c>
      <c r="C11" s="71" t="s">
        <v>2998</v>
      </c>
      <c r="D11" s="93" t="s">
        <v>2991</v>
      </c>
      <c r="E11" s="96" t="s">
        <v>37</v>
      </c>
      <c r="F11" s="96" t="s">
        <v>677</v>
      </c>
      <c r="G11" s="93" t="s">
        <v>2999</v>
      </c>
      <c r="H11" s="97">
        <v>2022</v>
      </c>
      <c r="I11" s="188"/>
      <c r="J11" s="185"/>
    </row>
    <row r="12" spans="1:13" ht="60" x14ac:dyDescent="0.2">
      <c r="A12" s="96" t="s">
        <v>29</v>
      </c>
      <c r="B12" s="93">
        <v>16623868</v>
      </c>
      <c r="C12" s="71" t="s">
        <v>3000</v>
      </c>
      <c r="D12" s="93" t="s">
        <v>2991</v>
      </c>
      <c r="E12" s="96" t="s">
        <v>37</v>
      </c>
      <c r="F12" s="96" t="s">
        <v>38</v>
      </c>
      <c r="G12" s="93" t="s">
        <v>3001</v>
      </c>
      <c r="H12" s="97">
        <v>2022</v>
      </c>
      <c r="I12" s="188"/>
      <c r="J12" s="185"/>
    </row>
    <row r="13" spans="1:13" ht="60" x14ac:dyDescent="0.2">
      <c r="A13" s="96" t="s">
        <v>29</v>
      </c>
      <c r="B13" s="93">
        <v>16623878</v>
      </c>
      <c r="C13" s="71" t="s">
        <v>3002</v>
      </c>
      <c r="D13" s="93" t="s">
        <v>2991</v>
      </c>
      <c r="E13" s="96" t="s">
        <v>37</v>
      </c>
      <c r="F13" s="96" t="s">
        <v>38</v>
      </c>
      <c r="G13" s="93" t="s">
        <v>3003</v>
      </c>
      <c r="H13" s="97">
        <v>2022</v>
      </c>
      <c r="I13" s="188"/>
      <c r="J13" s="185"/>
    </row>
    <row r="14" spans="1:13" ht="60" x14ac:dyDescent="0.2">
      <c r="A14" s="96" t="s">
        <v>29</v>
      </c>
      <c r="B14" s="93">
        <v>16881738</v>
      </c>
      <c r="C14" s="71" t="s">
        <v>3004</v>
      </c>
      <c r="D14" s="93" t="s">
        <v>2991</v>
      </c>
      <c r="E14" s="96" t="s">
        <v>37</v>
      </c>
      <c r="F14" s="96" t="s">
        <v>38</v>
      </c>
      <c r="G14" s="93" t="s">
        <v>3005</v>
      </c>
      <c r="H14" s="97">
        <v>2022</v>
      </c>
      <c r="I14" s="188"/>
      <c r="J14" s="185"/>
    </row>
    <row r="15" spans="1:13" ht="75" x14ac:dyDescent="0.2">
      <c r="A15" s="96" t="s">
        <v>29</v>
      </c>
      <c r="B15" s="93">
        <v>17619497</v>
      </c>
      <c r="C15" s="71" t="s">
        <v>3006</v>
      </c>
      <c r="D15" s="93" t="s">
        <v>2991</v>
      </c>
      <c r="E15" s="96" t="s">
        <v>51</v>
      </c>
      <c r="F15" s="96" t="s">
        <v>3007</v>
      </c>
      <c r="G15" s="93" t="s">
        <v>3008</v>
      </c>
      <c r="H15" s="97">
        <v>2022</v>
      </c>
      <c r="I15" s="188"/>
      <c r="J15" s="185"/>
    </row>
    <row r="16" spans="1:13" ht="75" x14ac:dyDescent="0.2">
      <c r="A16" s="96" t="s">
        <v>29</v>
      </c>
      <c r="B16" s="93">
        <v>17619503</v>
      </c>
      <c r="C16" s="71" t="s">
        <v>3009</v>
      </c>
      <c r="D16" s="93" t="s">
        <v>2991</v>
      </c>
      <c r="E16" s="96" t="s">
        <v>51</v>
      </c>
      <c r="F16" s="96" t="s">
        <v>393</v>
      </c>
      <c r="G16" s="93" t="s">
        <v>3010</v>
      </c>
      <c r="H16" s="97">
        <v>2022</v>
      </c>
      <c r="I16" s="188"/>
      <c r="J16" s="185"/>
    </row>
    <row r="17" spans="1:10" ht="75" x14ac:dyDescent="0.2">
      <c r="A17" s="96" t="s">
        <v>29</v>
      </c>
      <c r="B17" s="93">
        <v>17619514</v>
      </c>
      <c r="C17" s="71" t="s">
        <v>3011</v>
      </c>
      <c r="D17" s="93" t="s">
        <v>2991</v>
      </c>
      <c r="E17" s="96" t="s">
        <v>51</v>
      </c>
      <c r="F17" s="96" t="s">
        <v>103</v>
      </c>
      <c r="G17" s="93" t="s">
        <v>3012</v>
      </c>
      <c r="H17" s="97">
        <v>2022</v>
      </c>
      <c r="I17" s="188"/>
      <c r="J17" s="185"/>
    </row>
    <row r="18" spans="1:10" ht="75" x14ac:dyDescent="0.2">
      <c r="A18" s="96" t="s">
        <v>29</v>
      </c>
      <c r="B18" s="93">
        <v>17619523</v>
      </c>
      <c r="C18" s="71" t="s">
        <v>3013</v>
      </c>
      <c r="D18" s="93" t="s">
        <v>2991</v>
      </c>
      <c r="E18" s="96" t="s">
        <v>51</v>
      </c>
      <c r="F18" s="96" t="s">
        <v>173</v>
      </c>
      <c r="G18" s="93" t="s">
        <v>3014</v>
      </c>
      <c r="H18" s="97">
        <v>2022</v>
      </c>
      <c r="I18" s="188"/>
      <c r="J18" s="185"/>
    </row>
    <row r="19" spans="1:10" ht="75" x14ac:dyDescent="0.2">
      <c r="A19" s="96" t="s">
        <v>29</v>
      </c>
      <c r="B19" s="93">
        <v>17619553</v>
      </c>
      <c r="C19" s="71" t="s">
        <v>3015</v>
      </c>
      <c r="D19" s="93" t="s">
        <v>2991</v>
      </c>
      <c r="E19" s="96" t="s">
        <v>51</v>
      </c>
      <c r="F19" s="96" t="s">
        <v>95</v>
      </c>
      <c r="G19" s="93" t="s">
        <v>3016</v>
      </c>
      <c r="H19" s="97">
        <v>2022</v>
      </c>
      <c r="I19" s="188"/>
      <c r="J19" s="185"/>
    </row>
    <row r="20" spans="1:10" ht="75" x14ac:dyDescent="0.2">
      <c r="A20" s="96" t="s">
        <v>29</v>
      </c>
      <c r="B20" s="93">
        <v>17619921</v>
      </c>
      <c r="C20" s="71" t="s">
        <v>3017</v>
      </c>
      <c r="D20" s="93" t="s">
        <v>2991</v>
      </c>
      <c r="E20" s="96" t="s">
        <v>37</v>
      </c>
      <c r="F20" s="96" t="s">
        <v>1775</v>
      </c>
      <c r="G20" s="93" t="s">
        <v>3018</v>
      </c>
      <c r="H20" s="97">
        <v>2022</v>
      </c>
      <c r="I20" s="188"/>
      <c r="J20" s="185"/>
    </row>
    <row r="21" spans="1:10" ht="75" x14ac:dyDescent="0.2">
      <c r="A21" s="96" t="s">
        <v>29</v>
      </c>
      <c r="B21" s="93">
        <v>17620008</v>
      </c>
      <c r="C21" s="71" t="s">
        <v>3019</v>
      </c>
      <c r="D21" s="93" t="s">
        <v>2991</v>
      </c>
      <c r="E21" s="96" t="s">
        <v>51</v>
      </c>
      <c r="F21" s="96" t="s">
        <v>178</v>
      </c>
      <c r="G21" s="93" t="s">
        <v>3020</v>
      </c>
      <c r="H21" s="97">
        <v>2022</v>
      </c>
      <c r="I21" s="188"/>
      <c r="J21" s="185"/>
    </row>
    <row r="22" spans="1:10" ht="15" x14ac:dyDescent="0.2">
      <c r="A22" s="96" t="s">
        <v>29</v>
      </c>
      <c r="B22" s="93">
        <v>17620009</v>
      </c>
      <c r="C22" s="71" t="s">
        <v>3021</v>
      </c>
      <c r="D22" s="93" t="s">
        <v>2991</v>
      </c>
      <c r="E22" s="96" t="s">
        <v>37</v>
      </c>
      <c r="F22" s="96" t="s">
        <v>329</v>
      </c>
      <c r="G22" s="93" t="s">
        <v>3022</v>
      </c>
      <c r="H22" s="97">
        <v>2022</v>
      </c>
      <c r="I22" s="188"/>
      <c r="J22" s="185"/>
    </row>
    <row r="23" spans="1:10" ht="75" x14ac:dyDescent="0.2">
      <c r="A23" s="96" t="s">
        <v>29</v>
      </c>
      <c r="B23" s="93">
        <v>17620011</v>
      </c>
      <c r="C23" s="71" t="s">
        <v>3023</v>
      </c>
      <c r="D23" s="93" t="s">
        <v>2991</v>
      </c>
      <c r="E23" s="96" t="s">
        <v>37</v>
      </c>
      <c r="F23" s="96" t="s">
        <v>1775</v>
      </c>
      <c r="G23" s="93" t="s">
        <v>3024</v>
      </c>
      <c r="H23" s="97">
        <v>2022</v>
      </c>
      <c r="I23" s="188"/>
      <c r="J23" s="185"/>
    </row>
    <row r="24" spans="1:10" ht="60" x14ac:dyDescent="0.2">
      <c r="A24" s="96" t="s">
        <v>29</v>
      </c>
      <c r="B24" s="93">
        <v>17624038</v>
      </c>
      <c r="C24" s="71" t="s">
        <v>3025</v>
      </c>
      <c r="D24" s="93" t="s">
        <v>2991</v>
      </c>
      <c r="E24" s="96" t="s">
        <v>37</v>
      </c>
      <c r="F24" s="96" t="s">
        <v>299</v>
      </c>
      <c r="G24" s="93" t="s">
        <v>3026</v>
      </c>
      <c r="H24" s="97">
        <v>2022</v>
      </c>
      <c r="I24" s="188"/>
      <c r="J24" s="185"/>
    </row>
    <row r="25" spans="1:10" ht="60" x14ac:dyDescent="0.2">
      <c r="A25" s="96" t="s">
        <v>29</v>
      </c>
      <c r="B25" s="93">
        <v>17624130</v>
      </c>
      <c r="C25" s="71" t="s">
        <v>3027</v>
      </c>
      <c r="D25" s="93" t="s">
        <v>2991</v>
      </c>
      <c r="E25" s="96" t="s">
        <v>37</v>
      </c>
      <c r="F25" s="96" t="s">
        <v>38</v>
      </c>
      <c r="G25" s="93" t="s">
        <v>3028</v>
      </c>
      <c r="H25" s="97">
        <v>2022</v>
      </c>
      <c r="I25" s="188"/>
      <c r="J25" s="185"/>
    </row>
    <row r="26" spans="1:10" ht="60" x14ac:dyDescent="0.2">
      <c r="A26" s="96" t="s">
        <v>29</v>
      </c>
      <c r="B26" s="93">
        <v>17624230</v>
      </c>
      <c r="C26" s="71" t="s">
        <v>3029</v>
      </c>
      <c r="D26" s="93" t="s">
        <v>2991</v>
      </c>
      <c r="E26" s="96" t="s">
        <v>37</v>
      </c>
      <c r="F26" s="96" t="s">
        <v>299</v>
      </c>
      <c r="G26" s="93" t="s">
        <v>3030</v>
      </c>
      <c r="H26" s="97">
        <v>2022</v>
      </c>
      <c r="I26" s="188"/>
      <c r="J26" s="185"/>
    </row>
    <row r="27" spans="1:10" ht="45" x14ac:dyDescent="0.2">
      <c r="A27" s="96" t="s">
        <v>29</v>
      </c>
      <c r="B27" s="93">
        <v>17624352</v>
      </c>
      <c r="C27" s="71" t="s">
        <v>3031</v>
      </c>
      <c r="D27" s="93" t="s">
        <v>2991</v>
      </c>
      <c r="E27" s="96" t="s">
        <v>51</v>
      </c>
      <c r="F27" s="96" t="s">
        <v>120</v>
      </c>
      <c r="G27" s="93" t="s">
        <v>3032</v>
      </c>
      <c r="H27" s="97">
        <v>2022</v>
      </c>
      <c r="I27" s="188"/>
      <c r="J27" s="185"/>
    </row>
    <row r="28" spans="1:10" ht="60" x14ac:dyDescent="0.2">
      <c r="A28" s="96" t="s">
        <v>29</v>
      </c>
      <c r="B28" s="93">
        <v>17624542</v>
      </c>
      <c r="C28" s="71" t="s">
        <v>3033</v>
      </c>
      <c r="D28" s="93" t="s">
        <v>2991</v>
      </c>
      <c r="E28" s="96" t="s">
        <v>51</v>
      </c>
      <c r="F28" s="96" t="s">
        <v>120</v>
      </c>
      <c r="G28" s="93" t="s">
        <v>3034</v>
      </c>
      <c r="H28" s="97">
        <v>2022</v>
      </c>
      <c r="I28" s="188"/>
      <c r="J28" s="185"/>
    </row>
    <row r="29" spans="1:10" ht="45" x14ac:dyDescent="0.2">
      <c r="A29" s="96" t="s">
        <v>29</v>
      </c>
      <c r="B29" s="93">
        <v>17624590</v>
      </c>
      <c r="C29" s="71" t="s">
        <v>3035</v>
      </c>
      <c r="D29" s="93" t="s">
        <v>2991</v>
      </c>
      <c r="E29" s="96" t="s">
        <v>51</v>
      </c>
      <c r="F29" s="96" t="s">
        <v>120</v>
      </c>
      <c r="G29" s="93" t="s">
        <v>3036</v>
      </c>
      <c r="H29" s="97">
        <v>2022</v>
      </c>
      <c r="I29" s="188"/>
      <c r="J29" s="185"/>
    </row>
    <row r="30" spans="1:10" ht="45" x14ac:dyDescent="0.2">
      <c r="A30" s="96" t="s">
        <v>29</v>
      </c>
      <c r="B30" s="93">
        <v>17624639</v>
      </c>
      <c r="C30" s="71" t="s">
        <v>3037</v>
      </c>
      <c r="D30" s="93" t="s">
        <v>2991</v>
      </c>
      <c r="E30" s="96" t="s">
        <v>51</v>
      </c>
      <c r="F30" s="96" t="s">
        <v>120</v>
      </c>
      <c r="G30" s="93" t="s">
        <v>3038</v>
      </c>
      <c r="H30" s="97">
        <v>2022</v>
      </c>
      <c r="I30" s="188"/>
      <c r="J30" s="185"/>
    </row>
    <row r="31" spans="1:10" ht="45" x14ac:dyDescent="0.2">
      <c r="A31" s="96" t="s">
        <v>29</v>
      </c>
      <c r="B31" s="93">
        <v>17624645</v>
      </c>
      <c r="C31" s="71" t="s">
        <v>3039</v>
      </c>
      <c r="D31" s="93" t="s">
        <v>2991</v>
      </c>
      <c r="E31" s="96" t="s">
        <v>51</v>
      </c>
      <c r="F31" s="96" t="s">
        <v>120</v>
      </c>
      <c r="G31" s="93" t="s">
        <v>3040</v>
      </c>
      <c r="H31" s="97">
        <v>2022</v>
      </c>
      <c r="I31" s="188"/>
      <c r="J31" s="185"/>
    </row>
    <row r="32" spans="1:10" ht="60" x14ac:dyDescent="0.2">
      <c r="A32" s="96" t="s">
        <v>29</v>
      </c>
      <c r="B32" s="93">
        <v>17624653</v>
      </c>
      <c r="C32" s="71" t="s">
        <v>3041</v>
      </c>
      <c r="D32" s="93" t="s">
        <v>2991</v>
      </c>
      <c r="E32" s="96" t="s">
        <v>51</v>
      </c>
      <c r="F32" s="96" t="s">
        <v>3042</v>
      </c>
      <c r="G32" s="93" t="s">
        <v>3043</v>
      </c>
      <c r="H32" s="97">
        <v>2022</v>
      </c>
      <c r="I32" s="188"/>
      <c r="J32" s="185"/>
    </row>
    <row r="33" spans="1:10" ht="75" x14ac:dyDescent="0.2">
      <c r="A33" s="96" t="s">
        <v>29</v>
      </c>
      <c r="B33" s="93">
        <v>18101887</v>
      </c>
      <c r="C33" s="71">
        <v>20592402061219</v>
      </c>
      <c r="D33" s="93" t="s">
        <v>2991</v>
      </c>
      <c r="E33" s="96" t="s">
        <v>37</v>
      </c>
      <c r="F33" s="96" t="s">
        <v>255</v>
      </c>
      <c r="G33" s="93" t="s">
        <v>3044</v>
      </c>
      <c r="H33" s="97">
        <v>2022</v>
      </c>
      <c r="I33" s="188"/>
      <c r="J33" s="185"/>
    </row>
    <row r="34" spans="1:10" ht="45" x14ac:dyDescent="0.2">
      <c r="A34" s="96" t="s">
        <v>29</v>
      </c>
      <c r="B34" s="93">
        <v>18471007</v>
      </c>
      <c r="C34" s="71" t="s">
        <v>3045</v>
      </c>
      <c r="D34" s="93" t="s">
        <v>2991</v>
      </c>
      <c r="E34" s="96" t="s">
        <v>37</v>
      </c>
      <c r="F34" s="96" t="s">
        <v>48</v>
      </c>
      <c r="G34" s="93" t="s">
        <v>3046</v>
      </c>
      <c r="H34" s="97">
        <v>2022</v>
      </c>
      <c r="I34" s="188"/>
      <c r="J34" s="185"/>
    </row>
    <row r="35" spans="1:10" ht="60" x14ac:dyDescent="0.2">
      <c r="A35" s="96" t="s">
        <v>29</v>
      </c>
      <c r="B35" s="93">
        <v>18471025</v>
      </c>
      <c r="C35" s="71" t="s">
        <v>3047</v>
      </c>
      <c r="D35" s="93" t="s">
        <v>2991</v>
      </c>
      <c r="E35" s="96" t="s">
        <v>37</v>
      </c>
      <c r="F35" s="96" t="s">
        <v>38</v>
      </c>
      <c r="G35" s="93" t="s">
        <v>3048</v>
      </c>
      <c r="H35" s="97">
        <v>2022</v>
      </c>
      <c r="I35" s="188"/>
      <c r="J35" s="185"/>
    </row>
    <row r="36" spans="1:10" ht="90" x14ac:dyDescent="0.2">
      <c r="A36" s="96" t="s">
        <v>29</v>
      </c>
      <c r="B36" s="93">
        <v>18520457</v>
      </c>
      <c r="C36" s="71">
        <v>21583302061210</v>
      </c>
      <c r="D36" s="93" t="s">
        <v>2991</v>
      </c>
      <c r="E36" s="96" t="s">
        <v>37</v>
      </c>
      <c r="F36" s="96" t="s">
        <v>141</v>
      </c>
      <c r="G36" s="93" t="s">
        <v>3049</v>
      </c>
      <c r="H36" s="97">
        <v>2022</v>
      </c>
      <c r="I36" s="188"/>
      <c r="J36" s="185"/>
    </row>
    <row r="37" spans="1:10" ht="75" x14ac:dyDescent="0.2">
      <c r="A37" s="96" t="s">
        <v>29</v>
      </c>
      <c r="B37" s="93">
        <v>18540600</v>
      </c>
      <c r="C37" s="71" t="s">
        <v>3050</v>
      </c>
      <c r="D37" s="93" t="s">
        <v>2991</v>
      </c>
      <c r="E37" s="96" t="s">
        <v>54</v>
      </c>
      <c r="F37" s="96" t="s">
        <v>88</v>
      </c>
      <c r="G37" s="93" t="s">
        <v>3051</v>
      </c>
      <c r="H37" s="97">
        <v>2022</v>
      </c>
      <c r="I37" s="188"/>
      <c r="J37" s="185"/>
    </row>
    <row r="38" spans="1:10" ht="60" x14ac:dyDescent="0.2">
      <c r="A38" s="96" t="s">
        <v>29</v>
      </c>
      <c r="B38" s="93">
        <v>18540641</v>
      </c>
      <c r="C38" s="71" t="s">
        <v>3052</v>
      </c>
      <c r="D38" s="93" t="s">
        <v>2991</v>
      </c>
      <c r="E38" s="96" t="s">
        <v>54</v>
      </c>
      <c r="F38" s="96" t="s">
        <v>88</v>
      </c>
      <c r="G38" s="93" t="s">
        <v>3053</v>
      </c>
      <c r="H38" s="97">
        <v>2022</v>
      </c>
      <c r="I38" s="188"/>
      <c r="J38" s="185"/>
    </row>
    <row r="39" spans="1:10" ht="60" x14ac:dyDescent="0.2">
      <c r="A39" s="96" t="s">
        <v>29</v>
      </c>
      <c r="B39" s="93">
        <v>18540826</v>
      </c>
      <c r="C39" s="71" t="s">
        <v>3054</v>
      </c>
      <c r="D39" s="93" t="s">
        <v>2991</v>
      </c>
      <c r="E39" s="96" t="s">
        <v>54</v>
      </c>
      <c r="F39" s="96" t="s">
        <v>3055</v>
      </c>
      <c r="G39" s="93" t="s">
        <v>3056</v>
      </c>
      <c r="H39" s="97">
        <v>2022</v>
      </c>
      <c r="I39" s="188"/>
      <c r="J39" s="185"/>
    </row>
    <row r="40" spans="1:10" ht="45" x14ac:dyDescent="0.2">
      <c r="A40" s="96" t="s">
        <v>29</v>
      </c>
      <c r="B40" s="93">
        <v>18540904</v>
      </c>
      <c r="C40" s="71" t="s">
        <v>3057</v>
      </c>
      <c r="D40" s="93" t="s">
        <v>2991</v>
      </c>
      <c r="E40" s="96" t="s">
        <v>37</v>
      </c>
      <c r="F40" s="96" t="s">
        <v>435</v>
      </c>
      <c r="G40" s="93" t="s">
        <v>3058</v>
      </c>
      <c r="H40" s="97">
        <v>2022</v>
      </c>
      <c r="I40" s="188"/>
      <c r="J40" s="185"/>
    </row>
    <row r="41" spans="1:10" ht="45" x14ac:dyDescent="0.2">
      <c r="A41" s="96" t="s">
        <v>29</v>
      </c>
      <c r="B41" s="93">
        <v>18560008</v>
      </c>
      <c r="C41" s="71" t="s">
        <v>3059</v>
      </c>
      <c r="D41" s="93" t="s">
        <v>2991</v>
      </c>
      <c r="E41" s="96" t="s">
        <v>54</v>
      </c>
      <c r="F41" s="96" t="s">
        <v>70</v>
      </c>
      <c r="G41" s="93" t="s">
        <v>3060</v>
      </c>
      <c r="H41" s="97">
        <v>2022</v>
      </c>
      <c r="I41" s="188"/>
      <c r="J41" s="185"/>
    </row>
    <row r="42" spans="1:10" ht="45" x14ac:dyDescent="0.2">
      <c r="A42" s="96" t="s">
        <v>29</v>
      </c>
      <c r="B42" s="93">
        <v>18563084</v>
      </c>
      <c r="C42" s="71" t="s">
        <v>3061</v>
      </c>
      <c r="D42" s="93" t="s">
        <v>2991</v>
      </c>
      <c r="E42" s="96" t="s">
        <v>37</v>
      </c>
      <c r="F42" s="96" t="s">
        <v>123</v>
      </c>
      <c r="G42" s="93" t="s">
        <v>3062</v>
      </c>
      <c r="H42" s="97">
        <v>2022</v>
      </c>
      <c r="I42" s="188"/>
      <c r="J42" s="185"/>
    </row>
    <row r="43" spans="1:10" ht="75" x14ac:dyDescent="0.2">
      <c r="A43" s="96" t="s">
        <v>29</v>
      </c>
      <c r="B43" s="93">
        <v>18565148</v>
      </c>
      <c r="C43" s="71" t="s">
        <v>3063</v>
      </c>
      <c r="D43" s="93" t="s">
        <v>2991</v>
      </c>
      <c r="E43" s="96" t="s">
        <v>51</v>
      </c>
      <c r="F43" s="96" t="s">
        <v>912</v>
      </c>
      <c r="G43" s="93" t="s">
        <v>3064</v>
      </c>
      <c r="H43" s="97">
        <v>2022</v>
      </c>
      <c r="I43" s="188"/>
      <c r="J43" s="185"/>
    </row>
    <row r="44" spans="1:10" ht="75" x14ac:dyDescent="0.2">
      <c r="A44" s="96" t="s">
        <v>29</v>
      </c>
      <c r="B44" s="93">
        <v>18565173</v>
      </c>
      <c r="C44" s="71" t="s">
        <v>3065</v>
      </c>
      <c r="D44" s="93" t="s">
        <v>2991</v>
      </c>
      <c r="E44" s="96" t="s">
        <v>51</v>
      </c>
      <c r="F44" s="96" t="s">
        <v>173</v>
      </c>
      <c r="G44" s="93" t="s">
        <v>3066</v>
      </c>
      <c r="H44" s="97">
        <v>2022</v>
      </c>
      <c r="I44" s="188"/>
      <c r="J44" s="185"/>
    </row>
    <row r="45" spans="1:10" ht="75" x14ac:dyDescent="0.2">
      <c r="A45" s="96" t="s">
        <v>29</v>
      </c>
      <c r="B45" s="93">
        <v>18565178</v>
      </c>
      <c r="C45" s="71" t="s">
        <v>3067</v>
      </c>
      <c r="D45" s="93" t="s">
        <v>2991</v>
      </c>
      <c r="E45" s="96" t="s">
        <v>51</v>
      </c>
      <c r="F45" s="96" t="s">
        <v>178</v>
      </c>
      <c r="G45" s="93" t="s">
        <v>3068</v>
      </c>
      <c r="H45" s="97">
        <v>2022</v>
      </c>
      <c r="I45" s="188"/>
      <c r="J45" s="185"/>
    </row>
    <row r="46" spans="1:10" ht="75" x14ac:dyDescent="0.2">
      <c r="A46" s="96" t="s">
        <v>29</v>
      </c>
      <c r="B46" s="93">
        <v>18565207</v>
      </c>
      <c r="C46" s="71" t="s">
        <v>3069</v>
      </c>
      <c r="D46" s="93" t="s">
        <v>2991</v>
      </c>
      <c r="E46" s="96" t="s">
        <v>51</v>
      </c>
      <c r="F46" s="96" t="s">
        <v>393</v>
      </c>
      <c r="G46" s="93" t="s">
        <v>3070</v>
      </c>
      <c r="H46" s="97">
        <v>2022</v>
      </c>
      <c r="I46" s="188"/>
      <c r="J46" s="185"/>
    </row>
    <row r="47" spans="1:10" ht="75" x14ac:dyDescent="0.2">
      <c r="A47" s="96" t="s">
        <v>29</v>
      </c>
      <c r="B47" s="93">
        <v>18565342</v>
      </c>
      <c r="C47" s="71" t="s">
        <v>3071</v>
      </c>
      <c r="D47" s="93" t="s">
        <v>2991</v>
      </c>
      <c r="E47" s="96" t="s">
        <v>51</v>
      </c>
      <c r="F47" s="96" t="s">
        <v>3072</v>
      </c>
      <c r="G47" s="93" t="s">
        <v>3073</v>
      </c>
      <c r="H47" s="97">
        <v>2022</v>
      </c>
      <c r="I47" s="188"/>
      <c r="J47" s="185"/>
    </row>
    <row r="48" spans="1:10" ht="45" x14ac:dyDescent="0.2">
      <c r="A48" s="96" t="s">
        <v>29</v>
      </c>
      <c r="B48" s="93">
        <v>18565390</v>
      </c>
      <c r="C48" s="71" t="s">
        <v>3074</v>
      </c>
      <c r="D48" s="93" t="s">
        <v>2991</v>
      </c>
      <c r="E48" s="96" t="s">
        <v>51</v>
      </c>
      <c r="F48" s="96" t="s">
        <v>321</v>
      </c>
      <c r="G48" s="93" t="s">
        <v>3075</v>
      </c>
      <c r="H48" s="97">
        <v>2022</v>
      </c>
      <c r="I48" s="188"/>
      <c r="J48" s="185"/>
    </row>
    <row r="49" spans="1:10" ht="75" x14ac:dyDescent="0.2">
      <c r="A49" s="96" t="s">
        <v>29</v>
      </c>
      <c r="B49" s="93">
        <v>18565407</v>
      </c>
      <c r="C49" s="71" t="s">
        <v>3076</v>
      </c>
      <c r="D49" s="93" t="s">
        <v>2991</v>
      </c>
      <c r="E49" s="96" t="s">
        <v>51</v>
      </c>
      <c r="F49" s="96" t="s">
        <v>103</v>
      </c>
      <c r="G49" s="93" t="s">
        <v>3077</v>
      </c>
      <c r="H49" s="97">
        <v>2022</v>
      </c>
      <c r="I49" s="188"/>
      <c r="J49" s="185"/>
    </row>
    <row r="50" spans="1:10" ht="45" x14ac:dyDescent="0.2">
      <c r="A50" s="96" t="s">
        <v>29</v>
      </c>
      <c r="B50" s="93">
        <v>18775649</v>
      </c>
      <c r="C50" s="71" t="s">
        <v>3078</v>
      </c>
      <c r="D50" s="93" t="s">
        <v>2991</v>
      </c>
      <c r="E50" s="96" t="s">
        <v>37</v>
      </c>
      <c r="F50" s="96" t="s">
        <v>471</v>
      </c>
      <c r="G50" s="93" t="s">
        <v>3079</v>
      </c>
      <c r="H50" s="97">
        <v>2022</v>
      </c>
      <c r="I50" s="188"/>
      <c r="J50" s="185"/>
    </row>
    <row r="51" spans="1:10" ht="45" x14ac:dyDescent="0.2">
      <c r="A51" s="96" t="s">
        <v>29</v>
      </c>
      <c r="B51" s="93">
        <v>18775655</v>
      </c>
      <c r="C51" s="71" t="s">
        <v>3080</v>
      </c>
      <c r="D51" s="93" t="s">
        <v>2991</v>
      </c>
      <c r="E51" s="96" t="s">
        <v>37</v>
      </c>
      <c r="F51" s="96" t="s">
        <v>3081</v>
      </c>
      <c r="G51" s="93" t="s">
        <v>3082</v>
      </c>
      <c r="H51" s="97">
        <v>2022</v>
      </c>
      <c r="I51" s="188"/>
      <c r="J51" s="185"/>
    </row>
    <row r="52" spans="1:10" ht="45" x14ac:dyDescent="0.2">
      <c r="A52" s="96" t="s">
        <v>29</v>
      </c>
      <c r="B52" s="93">
        <v>18775658</v>
      </c>
      <c r="C52" s="71" t="s">
        <v>3083</v>
      </c>
      <c r="D52" s="93" t="s">
        <v>2991</v>
      </c>
      <c r="E52" s="96" t="s">
        <v>37</v>
      </c>
      <c r="F52" s="96" t="s">
        <v>255</v>
      </c>
      <c r="G52" s="93" t="s">
        <v>3084</v>
      </c>
      <c r="H52" s="97">
        <v>2022</v>
      </c>
      <c r="I52" s="188"/>
      <c r="J52" s="185"/>
    </row>
    <row r="53" spans="1:10" ht="45" x14ac:dyDescent="0.2">
      <c r="A53" s="96" t="s">
        <v>29</v>
      </c>
      <c r="B53" s="93">
        <v>18781918</v>
      </c>
      <c r="C53" s="71" t="s">
        <v>3085</v>
      </c>
      <c r="D53" s="93" t="s">
        <v>2991</v>
      </c>
      <c r="E53" s="96" t="s">
        <v>54</v>
      </c>
      <c r="F53" s="96" t="s">
        <v>288</v>
      </c>
      <c r="G53" s="93" t="s">
        <v>3086</v>
      </c>
      <c r="H53" s="97">
        <v>2022</v>
      </c>
      <c r="I53" s="188"/>
      <c r="J53" s="185"/>
    </row>
    <row r="54" spans="1:10" ht="60" x14ac:dyDescent="0.2">
      <c r="A54" s="96" t="s">
        <v>29</v>
      </c>
      <c r="B54" s="93">
        <v>18781971</v>
      </c>
      <c r="C54" s="71" t="s">
        <v>3087</v>
      </c>
      <c r="D54" s="93" t="s">
        <v>2991</v>
      </c>
      <c r="E54" s="96" t="s">
        <v>54</v>
      </c>
      <c r="F54" s="96" t="s">
        <v>288</v>
      </c>
      <c r="G54" s="93" t="s">
        <v>3088</v>
      </c>
      <c r="H54" s="97">
        <v>2022</v>
      </c>
      <c r="I54" s="188"/>
      <c r="J54" s="185"/>
    </row>
    <row r="55" spans="1:10" ht="60" x14ac:dyDescent="0.2">
      <c r="A55" s="96" t="s">
        <v>29</v>
      </c>
      <c r="B55" s="93">
        <v>18782110</v>
      </c>
      <c r="C55" s="71" t="s">
        <v>3089</v>
      </c>
      <c r="D55" s="93" t="s">
        <v>2991</v>
      </c>
      <c r="E55" s="96" t="s">
        <v>54</v>
      </c>
      <c r="F55" s="96" t="s">
        <v>805</v>
      </c>
      <c r="G55" s="93" t="s">
        <v>3090</v>
      </c>
      <c r="H55" s="97">
        <v>2022</v>
      </c>
      <c r="I55" s="188"/>
      <c r="J55" s="185"/>
    </row>
    <row r="56" spans="1:10" ht="45" x14ac:dyDescent="0.2">
      <c r="A56" s="96" t="s">
        <v>29</v>
      </c>
      <c r="B56" s="93">
        <v>18782116</v>
      </c>
      <c r="C56" s="71" t="s">
        <v>3091</v>
      </c>
      <c r="D56" s="93" t="s">
        <v>2991</v>
      </c>
      <c r="E56" s="96" t="s">
        <v>54</v>
      </c>
      <c r="F56" s="96" t="s">
        <v>1731</v>
      </c>
      <c r="G56" s="93" t="s">
        <v>3092</v>
      </c>
      <c r="H56" s="97">
        <v>2022</v>
      </c>
      <c r="I56" s="188"/>
      <c r="J56" s="185"/>
    </row>
    <row r="57" spans="1:10" ht="75" x14ac:dyDescent="0.2">
      <c r="A57" s="96" t="s">
        <v>29</v>
      </c>
      <c r="B57" s="93">
        <v>18782267</v>
      </c>
      <c r="C57" s="71" t="s">
        <v>3093</v>
      </c>
      <c r="D57" s="93" t="s">
        <v>2991</v>
      </c>
      <c r="E57" s="96" t="s">
        <v>54</v>
      </c>
      <c r="F57" s="96" t="s">
        <v>200</v>
      </c>
      <c r="G57" s="93" t="s">
        <v>3094</v>
      </c>
      <c r="H57" s="97">
        <v>2022</v>
      </c>
      <c r="I57" s="188"/>
      <c r="J57" s="185"/>
    </row>
    <row r="58" spans="1:10" ht="90" x14ac:dyDescent="0.2">
      <c r="A58" s="96" t="s">
        <v>29</v>
      </c>
      <c r="B58" s="93">
        <v>18782269</v>
      </c>
      <c r="C58" s="71" t="s">
        <v>3095</v>
      </c>
      <c r="D58" s="93" t="s">
        <v>2991</v>
      </c>
      <c r="E58" s="96" t="s">
        <v>54</v>
      </c>
      <c r="F58" s="96" t="s">
        <v>351</v>
      </c>
      <c r="G58" s="93" t="s">
        <v>3096</v>
      </c>
      <c r="H58" s="97">
        <v>2022</v>
      </c>
      <c r="I58" s="188"/>
      <c r="J58" s="185"/>
    </row>
    <row r="59" spans="1:10" ht="75" x14ac:dyDescent="0.2">
      <c r="A59" s="96" t="s">
        <v>29</v>
      </c>
      <c r="B59" s="93">
        <v>18783818</v>
      </c>
      <c r="C59" s="71" t="s">
        <v>3097</v>
      </c>
      <c r="D59" s="93" t="s">
        <v>2991</v>
      </c>
      <c r="E59" s="96" t="s">
        <v>54</v>
      </c>
      <c r="F59" s="96" t="s">
        <v>64</v>
      </c>
      <c r="G59" s="93" t="s">
        <v>3098</v>
      </c>
      <c r="H59" s="97">
        <v>2022</v>
      </c>
      <c r="I59" s="188"/>
      <c r="J59" s="185"/>
    </row>
    <row r="60" spans="1:10" ht="15" x14ac:dyDescent="0.2">
      <c r="A60" s="96" t="s">
        <v>29</v>
      </c>
      <c r="B60" s="93">
        <v>15704575</v>
      </c>
      <c r="C60" s="71">
        <v>18592002044210</v>
      </c>
      <c r="D60" s="93" t="s">
        <v>3099</v>
      </c>
      <c r="E60" s="96" t="s">
        <v>37</v>
      </c>
      <c r="F60" s="96" t="s">
        <v>3100</v>
      </c>
      <c r="G60" s="93" t="s">
        <v>3101</v>
      </c>
      <c r="H60" s="97">
        <v>2022</v>
      </c>
      <c r="I60" s="188"/>
      <c r="J60" s="185"/>
    </row>
    <row r="61" spans="1:10" ht="75" x14ac:dyDescent="0.2">
      <c r="A61" s="96" t="s">
        <v>29</v>
      </c>
      <c r="B61" s="93">
        <v>16990862</v>
      </c>
      <c r="C61" s="71" t="s">
        <v>30</v>
      </c>
      <c r="D61" s="93" t="s">
        <v>459</v>
      </c>
      <c r="E61" s="96" t="s">
        <v>37</v>
      </c>
      <c r="F61" s="96" t="s">
        <v>603</v>
      </c>
      <c r="G61" s="93" t="s">
        <v>3102</v>
      </c>
      <c r="H61" s="97">
        <v>2022</v>
      </c>
      <c r="I61" s="188"/>
      <c r="J61" s="185"/>
    </row>
    <row r="62" spans="1:10" ht="300" x14ac:dyDescent="0.2">
      <c r="A62" s="96" t="s">
        <v>3103</v>
      </c>
      <c r="B62" s="93">
        <v>10767877</v>
      </c>
      <c r="C62" s="71" t="s">
        <v>3104</v>
      </c>
      <c r="D62" s="93" t="s">
        <v>459</v>
      </c>
      <c r="E62" s="96" t="s">
        <v>54</v>
      </c>
      <c r="F62" s="96" t="s">
        <v>67</v>
      </c>
      <c r="G62" s="93" t="s">
        <v>3105</v>
      </c>
      <c r="H62" s="97">
        <v>2022</v>
      </c>
      <c r="I62" s="188"/>
      <c r="J62" s="185"/>
    </row>
    <row r="63" spans="1:10" ht="120" x14ac:dyDescent="0.2">
      <c r="A63" s="96" t="s">
        <v>3106</v>
      </c>
      <c r="B63" s="93">
        <v>13807515</v>
      </c>
      <c r="C63" s="71" t="s">
        <v>3107</v>
      </c>
      <c r="D63" s="93" t="s">
        <v>459</v>
      </c>
      <c r="E63" s="96" t="s">
        <v>54</v>
      </c>
      <c r="F63" s="96" t="s">
        <v>3108</v>
      </c>
      <c r="G63" s="93" t="s">
        <v>3109</v>
      </c>
      <c r="H63" s="97">
        <v>2022</v>
      </c>
      <c r="I63" s="188"/>
      <c r="J63" s="185"/>
    </row>
    <row r="64" spans="1:10" ht="270" x14ac:dyDescent="0.2">
      <c r="A64" s="96" t="s">
        <v>3110</v>
      </c>
      <c r="B64" s="93">
        <v>15525323</v>
      </c>
      <c r="C64" s="71" t="s">
        <v>3111</v>
      </c>
      <c r="D64" s="93" t="s">
        <v>459</v>
      </c>
      <c r="E64" s="96" t="s">
        <v>54</v>
      </c>
      <c r="F64" s="96" t="s">
        <v>227</v>
      </c>
      <c r="G64" s="93" t="s">
        <v>3112</v>
      </c>
      <c r="H64" s="97">
        <v>2022</v>
      </c>
      <c r="I64" s="188"/>
      <c r="J64" s="185"/>
    </row>
    <row r="65" spans="1:10" ht="90" x14ac:dyDescent="0.2">
      <c r="A65" s="96" t="s">
        <v>3113</v>
      </c>
      <c r="B65" s="93">
        <v>15497686</v>
      </c>
      <c r="C65" s="71" t="s">
        <v>3114</v>
      </c>
      <c r="D65" s="93" t="s">
        <v>459</v>
      </c>
      <c r="E65" s="96" t="s">
        <v>54</v>
      </c>
      <c r="F65" s="96" t="s">
        <v>3108</v>
      </c>
      <c r="G65" s="93" t="s">
        <v>3115</v>
      </c>
      <c r="H65" s="97">
        <v>2022</v>
      </c>
      <c r="I65" s="188"/>
      <c r="J65" s="185"/>
    </row>
    <row r="66" spans="1:10" ht="60" x14ac:dyDescent="0.2">
      <c r="A66" s="96" t="s">
        <v>3116</v>
      </c>
      <c r="B66" s="93">
        <v>15497693</v>
      </c>
      <c r="C66" s="71" t="s">
        <v>3117</v>
      </c>
      <c r="D66" s="93" t="s">
        <v>459</v>
      </c>
      <c r="E66" s="96" t="s">
        <v>54</v>
      </c>
      <c r="F66" s="96" t="s">
        <v>3108</v>
      </c>
      <c r="G66" s="93" t="s">
        <v>3118</v>
      </c>
      <c r="H66" s="97">
        <v>2022</v>
      </c>
      <c r="I66" s="188"/>
      <c r="J66" s="185"/>
    </row>
    <row r="67" spans="1:10" ht="30" x14ac:dyDescent="0.2">
      <c r="A67" s="96" t="s">
        <v>3119</v>
      </c>
      <c r="B67" s="93">
        <v>14000066</v>
      </c>
      <c r="C67" s="71">
        <v>19595702051212</v>
      </c>
      <c r="D67" s="93" t="s">
        <v>459</v>
      </c>
      <c r="E67" s="96" t="s">
        <v>54</v>
      </c>
      <c r="F67" s="96" t="s">
        <v>296</v>
      </c>
      <c r="G67" s="93" t="s">
        <v>3120</v>
      </c>
      <c r="H67" s="97">
        <v>2022</v>
      </c>
      <c r="I67" s="188"/>
      <c r="J67" s="185"/>
    </row>
    <row r="68" spans="1:10" ht="30" x14ac:dyDescent="0.2">
      <c r="A68" s="96" t="s">
        <v>3121</v>
      </c>
      <c r="B68" s="93">
        <v>10767853</v>
      </c>
      <c r="C68" s="71">
        <v>16595502051210</v>
      </c>
      <c r="D68" s="93" t="s">
        <v>459</v>
      </c>
      <c r="E68" s="96" t="s">
        <v>54</v>
      </c>
      <c r="F68" s="96" t="s">
        <v>3108</v>
      </c>
      <c r="G68" s="93" t="s">
        <v>3122</v>
      </c>
      <c r="H68" s="97">
        <v>2022</v>
      </c>
      <c r="I68" s="188"/>
      <c r="J68" s="185"/>
    </row>
    <row r="69" spans="1:10" ht="75" x14ac:dyDescent="0.2">
      <c r="A69" s="96" t="s">
        <v>3123</v>
      </c>
      <c r="B69" s="93">
        <v>17893394</v>
      </c>
      <c r="C69" s="71">
        <v>20583002051222</v>
      </c>
      <c r="D69" s="93" t="s">
        <v>459</v>
      </c>
      <c r="E69" s="96" t="s">
        <v>51</v>
      </c>
      <c r="F69" s="96" t="s">
        <v>3042</v>
      </c>
      <c r="G69" s="93" t="s">
        <v>3124</v>
      </c>
      <c r="H69" s="97">
        <v>2022</v>
      </c>
      <c r="I69" s="188"/>
      <c r="J69" s="185"/>
    </row>
    <row r="70" spans="1:10" ht="60" x14ac:dyDescent="0.2">
      <c r="A70" s="96" t="s">
        <v>3125</v>
      </c>
      <c r="B70" s="93">
        <v>16812141</v>
      </c>
      <c r="C70" s="71">
        <v>20573302051213</v>
      </c>
      <c r="D70" s="93" t="s">
        <v>459</v>
      </c>
      <c r="E70" s="96" t="s">
        <v>51</v>
      </c>
      <c r="F70" s="96" t="s">
        <v>917</v>
      </c>
      <c r="G70" s="93" t="s">
        <v>3126</v>
      </c>
      <c r="H70" s="97">
        <v>2022</v>
      </c>
      <c r="I70" s="188"/>
      <c r="J70" s="185"/>
    </row>
    <row r="71" spans="1:10" ht="135" x14ac:dyDescent="0.2">
      <c r="A71" s="96" t="s">
        <v>3127</v>
      </c>
      <c r="B71" s="93">
        <v>16055567</v>
      </c>
      <c r="C71" s="71">
        <v>19595302051219</v>
      </c>
      <c r="D71" s="93" t="s">
        <v>459</v>
      </c>
      <c r="E71" s="96" t="s">
        <v>54</v>
      </c>
      <c r="F71" s="96" t="s">
        <v>351</v>
      </c>
      <c r="G71" s="93" t="s">
        <v>3128</v>
      </c>
      <c r="H71" s="97">
        <v>2022</v>
      </c>
      <c r="I71" s="188"/>
      <c r="J71" s="185"/>
    </row>
    <row r="72" spans="1:10" ht="135" x14ac:dyDescent="0.2">
      <c r="A72" s="96" t="s">
        <v>3129</v>
      </c>
      <c r="B72" s="93">
        <v>10767696</v>
      </c>
      <c r="C72" s="71" t="s">
        <v>3130</v>
      </c>
      <c r="D72" s="93" t="s">
        <v>459</v>
      </c>
      <c r="E72" s="96" t="s">
        <v>54</v>
      </c>
      <c r="F72" s="96" t="s">
        <v>227</v>
      </c>
      <c r="G72" s="93" t="s">
        <v>3131</v>
      </c>
      <c r="H72" s="97">
        <v>2022</v>
      </c>
      <c r="I72" s="188"/>
      <c r="J72" s="226"/>
    </row>
    <row r="73" spans="1:10" ht="75" x14ac:dyDescent="0.2">
      <c r="A73" s="96" t="s">
        <v>3132</v>
      </c>
      <c r="B73" s="93" t="s">
        <v>29</v>
      </c>
      <c r="C73" s="71" t="s">
        <v>30</v>
      </c>
      <c r="D73" s="93" t="s">
        <v>459</v>
      </c>
      <c r="E73" s="96" t="s">
        <v>54</v>
      </c>
      <c r="F73" s="96" t="s">
        <v>81</v>
      </c>
      <c r="G73" s="93" t="s">
        <v>3133</v>
      </c>
      <c r="H73" s="97">
        <v>2022</v>
      </c>
      <c r="I73" s="188"/>
      <c r="J73" s="185"/>
    </row>
    <row r="74" spans="1:10" ht="75" x14ac:dyDescent="0.2">
      <c r="A74" s="96" t="s">
        <v>3134</v>
      </c>
      <c r="B74" s="93">
        <v>17834732</v>
      </c>
      <c r="C74" s="71">
        <v>20583002051220</v>
      </c>
      <c r="D74" s="93" t="s">
        <v>459</v>
      </c>
      <c r="E74" s="96" t="s">
        <v>51</v>
      </c>
      <c r="F74" s="96" t="s">
        <v>3135</v>
      </c>
      <c r="G74" s="93" t="s">
        <v>3136</v>
      </c>
      <c r="H74" s="97">
        <v>2022</v>
      </c>
      <c r="I74" s="188"/>
      <c r="J74" s="185"/>
    </row>
    <row r="75" spans="1:10" ht="60" x14ac:dyDescent="0.2">
      <c r="A75" s="96" t="s">
        <v>3137</v>
      </c>
      <c r="B75" s="93">
        <v>17830488</v>
      </c>
      <c r="C75" s="71">
        <v>20573302051218</v>
      </c>
      <c r="D75" s="93" t="s">
        <v>459</v>
      </c>
      <c r="E75" s="96" t="s">
        <v>51</v>
      </c>
      <c r="F75" s="96" t="s">
        <v>401</v>
      </c>
      <c r="G75" s="93" t="s">
        <v>3138</v>
      </c>
      <c r="H75" s="97">
        <v>2022</v>
      </c>
      <c r="I75" s="188"/>
      <c r="J75" s="185"/>
    </row>
    <row r="76" spans="1:10" ht="60" x14ac:dyDescent="0.2">
      <c r="A76" s="96" t="s">
        <v>3139</v>
      </c>
      <c r="B76" s="93">
        <v>17838700</v>
      </c>
      <c r="C76" s="71">
        <v>20583002051221</v>
      </c>
      <c r="D76" s="93" t="s">
        <v>459</v>
      </c>
      <c r="E76" s="96" t="s">
        <v>51</v>
      </c>
      <c r="F76" s="96" t="s">
        <v>3135</v>
      </c>
      <c r="G76" s="93" t="s">
        <v>3140</v>
      </c>
      <c r="H76" s="97">
        <v>2022</v>
      </c>
      <c r="I76" s="188"/>
      <c r="J76" s="185"/>
    </row>
    <row r="77" spans="1:10" ht="75" x14ac:dyDescent="0.2">
      <c r="A77" s="96" t="s">
        <v>3141</v>
      </c>
      <c r="B77" s="93">
        <v>17724841</v>
      </c>
      <c r="C77" s="71">
        <v>20583002051218</v>
      </c>
      <c r="D77" s="93" t="s">
        <v>459</v>
      </c>
      <c r="E77" s="96" t="s">
        <v>51</v>
      </c>
      <c r="F77" s="96" t="s">
        <v>3042</v>
      </c>
      <c r="G77" s="93" t="s">
        <v>3142</v>
      </c>
      <c r="H77" s="97">
        <v>2022</v>
      </c>
      <c r="I77" s="188"/>
      <c r="J77" s="185"/>
    </row>
    <row r="78" spans="1:10" ht="60" x14ac:dyDescent="0.2">
      <c r="A78" s="96" t="s">
        <v>3143</v>
      </c>
      <c r="B78" s="93">
        <v>17912407</v>
      </c>
      <c r="C78" s="71">
        <v>20575102050217</v>
      </c>
      <c r="D78" s="93" t="s">
        <v>459</v>
      </c>
      <c r="E78" s="96" t="s">
        <v>51</v>
      </c>
      <c r="F78" s="96" t="s">
        <v>103</v>
      </c>
      <c r="G78" s="93" t="s">
        <v>3144</v>
      </c>
      <c r="H78" s="97">
        <v>2022</v>
      </c>
      <c r="I78" s="188"/>
      <c r="J78" s="185"/>
    </row>
    <row r="79" spans="1:10" ht="45" x14ac:dyDescent="0.2">
      <c r="A79" s="96" t="s">
        <v>30</v>
      </c>
      <c r="B79" s="171">
        <v>16921762</v>
      </c>
      <c r="C79" s="71" t="s">
        <v>3145</v>
      </c>
      <c r="D79" s="93" t="s">
        <v>459</v>
      </c>
      <c r="E79" s="96" t="s">
        <v>37</v>
      </c>
      <c r="F79" s="96" t="s">
        <v>156</v>
      </c>
      <c r="G79" s="93" t="s">
        <v>3146</v>
      </c>
      <c r="H79" s="97">
        <v>2022</v>
      </c>
      <c r="I79" s="188"/>
      <c r="J79" s="185"/>
    </row>
    <row r="80" spans="1:10" ht="30" x14ac:dyDescent="0.2">
      <c r="A80" s="96" t="s">
        <v>3147</v>
      </c>
      <c r="B80" s="93" t="s">
        <v>29</v>
      </c>
      <c r="C80" s="71" t="s">
        <v>30</v>
      </c>
      <c r="D80" s="93" t="s">
        <v>3148</v>
      </c>
      <c r="E80" s="96" t="s">
        <v>54</v>
      </c>
      <c r="F80" s="96" t="s">
        <v>165</v>
      </c>
      <c r="G80" s="93" t="s">
        <v>3149</v>
      </c>
      <c r="H80" s="97">
        <v>2022</v>
      </c>
      <c r="I80" s="188"/>
      <c r="J80" s="185"/>
    </row>
    <row r="81" spans="1:10" ht="30" x14ac:dyDescent="0.2">
      <c r="A81" s="96" t="s">
        <v>3150</v>
      </c>
      <c r="B81" s="93" t="s">
        <v>29</v>
      </c>
      <c r="C81" s="71" t="s">
        <v>30</v>
      </c>
      <c r="D81" s="93" t="s">
        <v>3148</v>
      </c>
      <c r="E81" s="96" t="s">
        <v>54</v>
      </c>
      <c r="F81" s="96" t="s">
        <v>3151</v>
      </c>
      <c r="G81" s="93" t="s">
        <v>3152</v>
      </c>
      <c r="H81" s="97">
        <v>2022</v>
      </c>
      <c r="I81" s="188"/>
      <c r="J81" s="185"/>
    </row>
    <row r="82" spans="1:10" ht="30" x14ac:dyDescent="0.2">
      <c r="A82" s="96" t="s">
        <v>3153</v>
      </c>
      <c r="B82" s="93" t="s">
        <v>29</v>
      </c>
      <c r="C82" s="71" t="s">
        <v>30</v>
      </c>
      <c r="D82" s="93" t="s">
        <v>3148</v>
      </c>
      <c r="E82" s="96" t="s">
        <v>54</v>
      </c>
      <c r="F82" s="96" t="s">
        <v>3151</v>
      </c>
      <c r="G82" s="93" t="s">
        <v>3154</v>
      </c>
      <c r="H82" s="97">
        <v>2022</v>
      </c>
      <c r="I82" s="188"/>
      <c r="J82" s="185"/>
    </row>
    <row r="83" spans="1:10" ht="30" x14ac:dyDescent="0.2">
      <c r="A83" s="96" t="s">
        <v>3155</v>
      </c>
      <c r="B83" s="93" t="s">
        <v>29</v>
      </c>
      <c r="C83" s="71" t="s">
        <v>30</v>
      </c>
      <c r="D83" s="93" t="s">
        <v>3148</v>
      </c>
      <c r="E83" s="96" t="s">
        <v>37</v>
      </c>
      <c r="F83" s="96" t="s">
        <v>3156</v>
      </c>
      <c r="G83" s="93" t="s">
        <v>3157</v>
      </c>
      <c r="H83" s="97">
        <v>2022</v>
      </c>
      <c r="I83" s="188"/>
      <c r="J83" s="185"/>
    </row>
    <row r="84" spans="1:10" ht="30" x14ac:dyDescent="0.2">
      <c r="A84" s="96" t="s">
        <v>3158</v>
      </c>
      <c r="B84" s="93" t="s">
        <v>29</v>
      </c>
      <c r="C84" s="71" t="s">
        <v>30</v>
      </c>
      <c r="D84" s="93" t="s">
        <v>3148</v>
      </c>
      <c r="E84" s="96" t="s">
        <v>37</v>
      </c>
      <c r="F84" s="96" t="s">
        <v>3156</v>
      </c>
      <c r="G84" s="93" t="s">
        <v>3159</v>
      </c>
      <c r="H84" s="97">
        <v>2022</v>
      </c>
      <c r="I84" s="188"/>
      <c r="J84" s="185"/>
    </row>
    <row r="85" spans="1:10" ht="30" x14ac:dyDescent="0.2">
      <c r="A85" s="96" t="s">
        <v>3160</v>
      </c>
      <c r="B85" s="93" t="s">
        <v>29</v>
      </c>
      <c r="C85" s="71" t="s">
        <v>30</v>
      </c>
      <c r="D85" s="93" t="s">
        <v>3148</v>
      </c>
      <c r="E85" s="96" t="s">
        <v>37</v>
      </c>
      <c r="F85" s="96" t="s">
        <v>148</v>
      </c>
      <c r="G85" s="93" t="s">
        <v>3161</v>
      </c>
      <c r="H85" s="97">
        <v>2022</v>
      </c>
      <c r="I85" s="188"/>
      <c r="J85" s="185"/>
    </row>
    <row r="86" spans="1:10" ht="15" x14ac:dyDescent="0.2">
      <c r="A86" s="96" t="s">
        <v>29</v>
      </c>
      <c r="B86" s="93" t="s">
        <v>29</v>
      </c>
      <c r="C86" s="93" t="s">
        <v>30</v>
      </c>
      <c r="D86" s="93" t="s">
        <v>3162</v>
      </c>
      <c r="E86" s="96" t="s">
        <v>220</v>
      </c>
      <c r="F86" s="74" t="s">
        <v>218</v>
      </c>
      <c r="G86" s="93" t="s">
        <v>3162</v>
      </c>
      <c r="H86" s="97">
        <v>2022</v>
      </c>
      <c r="I86" s="188"/>
      <c r="J86" s="185"/>
    </row>
    <row r="87" spans="1:10" ht="75" x14ac:dyDescent="0.2">
      <c r="A87" s="96" t="s">
        <v>29</v>
      </c>
      <c r="B87" s="93">
        <v>15162787</v>
      </c>
      <c r="C87" s="71" t="s">
        <v>3163</v>
      </c>
      <c r="D87" s="93" t="s">
        <v>2991</v>
      </c>
      <c r="E87" s="96" t="s">
        <v>51</v>
      </c>
      <c r="F87" s="96" t="s">
        <v>95</v>
      </c>
      <c r="G87" s="93" t="s">
        <v>3164</v>
      </c>
      <c r="H87" s="97">
        <v>2023</v>
      </c>
      <c r="I87" s="188"/>
      <c r="J87" s="185"/>
    </row>
    <row r="88" spans="1:10" ht="60" x14ac:dyDescent="0.2">
      <c r="A88" s="96" t="s">
        <v>29</v>
      </c>
      <c r="B88" s="93">
        <v>15277645</v>
      </c>
      <c r="C88" s="71" t="s">
        <v>3165</v>
      </c>
      <c r="D88" s="93" t="s">
        <v>2991</v>
      </c>
      <c r="E88" s="96" t="s">
        <v>51</v>
      </c>
      <c r="F88" s="96" t="s">
        <v>120</v>
      </c>
      <c r="G88" s="93" t="s">
        <v>3166</v>
      </c>
      <c r="H88" s="97">
        <v>2023</v>
      </c>
      <c r="I88" s="188"/>
      <c r="J88" s="185"/>
    </row>
    <row r="89" spans="1:10" ht="45" x14ac:dyDescent="0.2">
      <c r="A89" s="96" t="s">
        <v>29</v>
      </c>
      <c r="B89" s="93">
        <v>16723181</v>
      </c>
      <c r="C89" s="71" t="s">
        <v>3167</v>
      </c>
      <c r="D89" s="93" t="s">
        <v>2991</v>
      </c>
      <c r="E89" s="96" t="s">
        <v>51</v>
      </c>
      <c r="F89" s="96" t="s">
        <v>3042</v>
      </c>
      <c r="G89" s="93" t="s">
        <v>3168</v>
      </c>
      <c r="H89" s="97">
        <v>2023</v>
      </c>
      <c r="I89" s="188"/>
      <c r="J89" s="185"/>
    </row>
    <row r="90" spans="1:10" ht="75" x14ac:dyDescent="0.2">
      <c r="A90" s="96" t="s">
        <v>29</v>
      </c>
      <c r="B90" s="93">
        <v>16903501</v>
      </c>
      <c r="C90" s="71" t="s">
        <v>3169</v>
      </c>
      <c r="D90" s="93" t="s">
        <v>2991</v>
      </c>
      <c r="E90" s="96" t="s">
        <v>54</v>
      </c>
      <c r="F90" s="96" t="s">
        <v>3108</v>
      </c>
      <c r="G90" s="93" t="s">
        <v>3170</v>
      </c>
      <c r="H90" s="97">
        <v>2023</v>
      </c>
      <c r="I90" s="188"/>
      <c r="J90" s="185"/>
    </row>
    <row r="91" spans="1:10" ht="60" x14ac:dyDescent="0.2">
      <c r="A91" s="96" t="s">
        <v>29</v>
      </c>
      <c r="B91" s="93">
        <v>17177730</v>
      </c>
      <c r="C91" s="71">
        <v>19592402061236</v>
      </c>
      <c r="D91" s="93" t="s">
        <v>2991</v>
      </c>
      <c r="E91" s="96" t="s">
        <v>37</v>
      </c>
      <c r="F91" s="96" t="s">
        <v>38</v>
      </c>
      <c r="G91" s="93" t="s">
        <v>3171</v>
      </c>
      <c r="H91" s="97">
        <v>2023</v>
      </c>
      <c r="I91" s="188"/>
      <c r="J91" s="185"/>
    </row>
    <row r="92" spans="1:10" ht="75" x14ac:dyDescent="0.2">
      <c r="A92" s="96" t="s">
        <v>29</v>
      </c>
      <c r="B92" s="93">
        <v>17619474</v>
      </c>
      <c r="C92" s="71" t="s">
        <v>3172</v>
      </c>
      <c r="D92" s="93" t="s">
        <v>2991</v>
      </c>
      <c r="E92" s="96" t="s">
        <v>51</v>
      </c>
      <c r="F92" s="96" t="s">
        <v>103</v>
      </c>
      <c r="G92" s="93" t="s">
        <v>3173</v>
      </c>
      <c r="H92" s="97">
        <v>2023</v>
      </c>
      <c r="I92" s="188"/>
      <c r="J92" s="185"/>
    </row>
    <row r="93" spans="1:10" ht="60" x14ac:dyDescent="0.2">
      <c r="A93" s="96" t="s">
        <v>29</v>
      </c>
      <c r="B93" s="93">
        <v>17900173</v>
      </c>
      <c r="C93" s="71">
        <v>20592402061218</v>
      </c>
      <c r="D93" s="93" t="s">
        <v>2991</v>
      </c>
      <c r="E93" s="96" t="s">
        <v>37</v>
      </c>
      <c r="F93" s="96" t="s">
        <v>255</v>
      </c>
      <c r="G93" s="93" t="s">
        <v>3174</v>
      </c>
      <c r="H93" s="97">
        <v>2023</v>
      </c>
      <c r="I93" s="188"/>
      <c r="J93" s="185"/>
    </row>
    <row r="94" spans="1:10" ht="45" x14ac:dyDescent="0.2">
      <c r="A94" s="96" t="s">
        <v>29</v>
      </c>
      <c r="B94" s="93">
        <v>18560039</v>
      </c>
      <c r="C94" s="71" t="s">
        <v>3175</v>
      </c>
      <c r="D94" s="93" t="s">
        <v>2991</v>
      </c>
      <c r="E94" s="96" t="s">
        <v>54</v>
      </c>
      <c r="F94" s="96" t="s">
        <v>67</v>
      </c>
      <c r="G94" s="93" t="s">
        <v>3176</v>
      </c>
      <c r="H94" s="97">
        <v>2023</v>
      </c>
      <c r="I94" s="188"/>
      <c r="J94" s="185"/>
    </row>
    <row r="95" spans="1:10" ht="45" x14ac:dyDescent="0.2">
      <c r="A95" s="96" t="s">
        <v>29</v>
      </c>
      <c r="B95" s="93">
        <v>18560555</v>
      </c>
      <c r="C95" s="71" t="s">
        <v>3177</v>
      </c>
      <c r="D95" s="93" t="s">
        <v>2991</v>
      </c>
      <c r="E95" s="96" t="s">
        <v>51</v>
      </c>
      <c r="F95" s="96" t="s">
        <v>321</v>
      </c>
      <c r="G95" s="93" t="s">
        <v>3178</v>
      </c>
      <c r="H95" s="97">
        <v>2023</v>
      </c>
      <c r="I95" s="188"/>
      <c r="J95" s="185"/>
    </row>
    <row r="96" spans="1:10" ht="45" x14ac:dyDescent="0.2">
      <c r="A96" s="96" t="s">
        <v>29</v>
      </c>
      <c r="B96" s="93">
        <v>18560565</v>
      </c>
      <c r="C96" s="71" t="s">
        <v>3179</v>
      </c>
      <c r="D96" s="93" t="s">
        <v>2991</v>
      </c>
      <c r="E96" s="96" t="s">
        <v>51</v>
      </c>
      <c r="F96" s="96" t="s">
        <v>3135</v>
      </c>
      <c r="G96" s="93" t="s">
        <v>3180</v>
      </c>
      <c r="H96" s="97">
        <v>2023</v>
      </c>
      <c r="I96" s="188"/>
      <c r="J96" s="185"/>
    </row>
    <row r="97" spans="1:10" ht="75" x14ac:dyDescent="0.2">
      <c r="A97" s="96" t="s">
        <v>29</v>
      </c>
      <c r="B97" s="93">
        <v>18563028</v>
      </c>
      <c r="C97" s="71" t="s">
        <v>3181</v>
      </c>
      <c r="D97" s="93" t="s">
        <v>2991</v>
      </c>
      <c r="E97" s="96" t="s">
        <v>37</v>
      </c>
      <c r="F97" s="96" t="s">
        <v>603</v>
      </c>
      <c r="G97" s="93" t="s">
        <v>3182</v>
      </c>
      <c r="H97" s="97">
        <v>2023</v>
      </c>
      <c r="I97" s="188"/>
      <c r="J97" s="185"/>
    </row>
    <row r="98" spans="1:10" ht="75" x14ac:dyDescent="0.2">
      <c r="A98" s="96" t="s">
        <v>29</v>
      </c>
      <c r="B98" s="93">
        <v>18565291</v>
      </c>
      <c r="C98" s="71" t="s">
        <v>3183</v>
      </c>
      <c r="D98" s="93" t="s">
        <v>2991</v>
      </c>
      <c r="E98" s="96" t="s">
        <v>37</v>
      </c>
      <c r="F98" s="96" t="s">
        <v>1782</v>
      </c>
      <c r="G98" s="93" t="s">
        <v>3184</v>
      </c>
      <c r="H98" s="97">
        <v>2023</v>
      </c>
      <c r="I98" s="188"/>
      <c r="J98" s="185"/>
    </row>
    <row r="99" spans="1:10" ht="75" x14ac:dyDescent="0.2">
      <c r="A99" s="96" t="s">
        <v>29</v>
      </c>
      <c r="B99" s="93">
        <v>18565343</v>
      </c>
      <c r="C99" s="71" t="s">
        <v>3185</v>
      </c>
      <c r="D99" s="93" t="s">
        <v>2991</v>
      </c>
      <c r="E99" s="96" t="s">
        <v>51</v>
      </c>
      <c r="F99" s="96" t="s">
        <v>1005</v>
      </c>
      <c r="G99" s="93" t="s">
        <v>3186</v>
      </c>
      <c r="H99" s="97">
        <v>2023</v>
      </c>
      <c r="I99" s="188"/>
      <c r="J99" s="185"/>
    </row>
    <row r="100" spans="1:10" ht="75" x14ac:dyDescent="0.2">
      <c r="A100" s="96" t="s">
        <v>29</v>
      </c>
      <c r="B100" s="93">
        <v>18565357</v>
      </c>
      <c r="C100" s="71" t="s">
        <v>3187</v>
      </c>
      <c r="D100" s="93" t="s">
        <v>2991</v>
      </c>
      <c r="E100" s="96" t="s">
        <v>51</v>
      </c>
      <c r="F100" s="96" t="s">
        <v>406</v>
      </c>
      <c r="G100" s="93" t="s">
        <v>3188</v>
      </c>
      <c r="H100" s="97">
        <v>2023</v>
      </c>
      <c r="I100" s="188"/>
      <c r="J100" s="185"/>
    </row>
    <row r="101" spans="1:10" ht="75" x14ac:dyDescent="0.2">
      <c r="A101" s="96" t="s">
        <v>29</v>
      </c>
      <c r="B101" s="93">
        <v>18565392</v>
      </c>
      <c r="C101" s="71" t="s">
        <v>3189</v>
      </c>
      <c r="D101" s="93" t="s">
        <v>2991</v>
      </c>
      <c r="E101" s="96" t="s">
        <v>51</v>
      </c>
      <c r="F101" s="96" t="s">
        <v>178</v>
      </c>
      <c r="G101" s="93" t="s">
        <v>3190</v>
      </c>
      <c r="H101" s="97">
        <v>2023</v>
      </c>
      <c r="I101" s="188"/>
      <c r="J101" s="185"/>
    </row>
    <row r="102" spans="1:10" ht="45" x14ac:dyDescent="0.2">
      <c r="A102" s="96" t="s">
        <v>29</v>
      </c>
      <c r="B102" s="93">
        <v>18565405</v>
      </c>
      <c r="C102" s="71" t="s">
        <v>3191</v>
      </c>
      <c r="D102" s="93" t="s">
        <v>2991</v>
      </c>
      <c r="E102" s="96" t="s">
        <v>51</v>
      </c>
      <c r="F102" s="96" t="s">
        <v>120</v>
      </c>
      <c r="G102" s="93" t="s">
        <v>3192</v>
      </c>
      <c r="H102" s="97">
        <v>2023</v>
      </c>
      <c r="I102" s="188"/>
      <c r="J102" s="185"/>
    </row>
    <row r="103" spans="1:10" ht="45" x14ac:dyDescent="0.2">
      <c r="A103" s="96" t="s">
        <v>29</v>
      </c>
      <c r="B103" s="93">
        <v>18565636</v>
      </c>
      <c r="C103" s="71" t="s">
        <v>3193</v>
      </c>
      <c r="D103" s="93" t="s">
        <v>2991</v>
      </c>
      <c r="E103" s="96" t="s">
        <v>37</v>
      </c>
      <c r="F103" s="96" t="s">
        <v>156</v>
      </c>
      <c r="G103" s="93" t="s">
        <v>3194</v>
      </c>
      <c r="H103" s="97">
        <v>2023</v>
      </c>
      <c r="I103" s="188"/>
      <c r="J103" s="185"/>
    </row>
    <row r="104" spans="1:10" ht="60" x14ac:dyDescent="0.2">
      <c r="A104" s="96" t="s">
        <v>29</v>
      </c>
      <c r="B104" s="93">
        <v>18775552</v>
      </c>
      <c r="C104" s="71" t="s">
        <v>3195</v>
      </c>
      <c r="D104" s="93" t="s">
        <v>2991</v>
      </c>
      <c r="E104" s="96" t="s">
        <v>37</v>
      </c>
      <c r="F104" s="96" t="s">
        <v>3081</v>
      </c>
      <c r="G104" s="93" t="s">
        <v>3196</v>
      </c>
      <c r="H104" s="97">
        <v>2023</v>
      </c>
      <c r="I104" s="188"/>
      <c r="J104" s="185"/>
    </row>
    <row r="105" spans="1:10" ht="60" x14ac:dyDescent="0.2">
      <c r="A105" s="96" t="s">
        <v>29</v>
      </c>
      <c r="B105" s="93">
        <v>18781708</v>
      </c>
      <c r="C105" s="71" t="s">
        <v>3197</v>
      </c>
      <c r="D105" s="93" t="s">
        <v>2991</v>
      </c>
      <c r="E105" s="96" t="s">
        <v>54</v>
      </c>
      <c r="F105" s="96" t="s">
        <v>200</v>
      </c>
      <c r="G105" s="93" t="s">
        <v>3198</v>
      </c>
      <c r="H105" s="97">
        <v>2023</v>
      </c>
      <c r="I105" s="188"/>
      <c r="J105" s="185"/>
    </row>
    <row r="106" spans="1:10" ht="45" x14ac:dyDescent="0.2">
      <c r="A106" s="96" t="s">
        <v>29</v>
      </c>
      <c r="B106" s="93">
        <v>18781762</v>
      </c>
      <c r="C106" s="71" t="s">
        <v>3199</v>
      </c>
      <c r="D106" s="93" t="s">
        <v>2991</v>
      </c>
      <c r="E106" s="96" t="s">
        <v>54</v>
      </c>
      <c r="F106" s="96" t="s">
        <v>200</v>
      </c>
      <c r="G106" s="93" t="s">
        <v>3200</v>
      </c>
      <c r="H106" s="97">
        <v>2023</v>
      </c>
      <c r="I106" s="188"/>
      <c r="J106" s="185"/>
    </row>
    <row r="107" spans="1:10" ht="45" x14ac:dyDescent="0.2">
      <c r="A107" s="96" t="s">
        <v>29</v>
      </c>
      <c r="B107" s="93">
        <v>18781800</v>
      </c>
      <c r="C107" s="71" t="s">
        <v>3201</v>
      </c>
      <c r="D107" s="93" t="s">
        <v>2991</v>
      </c>
      <c r="E107" s="96" t="s">
        <v>54</v>
      </c>
      <c r="F107" s="96" t="s">
        <v>3202</v>
      </c>
      <c r="G107" s="93" t="s">
        <v>3203</v>
      </c>
      <c r="H107" s="97">
        <v>2023</v>
      </c>
      <c r="I107" s="188"/>
      <c r="J107" s="185"/>
    </row>
    <row r="108" spans="1:10" ht="75" x14ac:dyDescent="0.2">
      <c r="A108" s="96" t="s">
        <v>29</v>
      </c>
      <c r="B108" s="93">
        <v>18782175</v>
      </c>
      <c r="C108" s="71" t="s">
        <v>3204</v>
      </c>
      <c r="D108" s="93" t="s">
        <v>2991</v>
      </c>
      <c r="E108" s="96" t="s">
        <v>54</v>
      </c>
      <c r="F108" s="96" t="s">
        <v>805</v>
      </c>
      <c r="G108" s="93" t="s">
        <v>3205</v>
      </c>
      <c r="H108" s="97">
        <v>2023</v>
      </c>
      <c r="I108" s="188"/>
      <c r="J108" s="185"/>
    </row>
    <row r="109" spans="1:10" ht="105" x14ac:dyDescent="0.2">
      <c r="A109" s="96" t="s">
        <v>29</v>
      </c>
      <c r="B109" s="93">
        <v>18782266</v>
      </c>
      <c r="C109" s="71" t="s">
        <v>3206</v>
      </c>
      <c r="D109" s="93" t="s">
        <v>2991</v>
      </c>
      <c r="E109" s="96" t="s">
        <v>54</v>
      </c>
      <c r="F109" s="96" t="s">
        <v>805</v>
      </c>
      <c r="G109" s="93" t="s">
        <v>3207</v>
      </c>
      <c r="H109" s="97">
        <v>2023</v>
      </c>
      <c r="I109" s="188"/>
      <c r="J109" s="185"/>
    </row>
    <row r="110" spans="1:10" ht="45" x14ac:dyDescent="0.2">
      <c r="A110" s="96" t="s">
        <v>29</v>
      </c>
      <c r="B110" s="93">
        <v>18783807</v>
      </c>
      <c r="C110" s="71" t="s">
        <v>3208</v>
      </c>
      <c r="D110" s="93" t="s">
        <v>2991</v>
      </c>
      <c r="E110" s="96" t="s">
        <v>54</v>
      </c>
      <c r="F110" s="96" t="s">
        <v>64</v>
      </c>
      <c r="G110" s="93" t="s">
        <v>3209</v>
      </c>
      <c r="H110" s="97">
        <v>2023</v>
      </c>
      <c r="I110" s="188"/>
      <c r="J110" s="185"/>
    </row>
    <row r="111" spans="1:10" ht="75" x14ac:dyDescent="0.2">
      <c r="A111" s="96" t="s">
        <v>3210</v>
      </c>
      <c r="B111" s="93" t="s">
        <v>29</v>
      </c>
      <c r="C111" s="71" t="s">
        <v>30</v>
      </c>
      <c r="D111" s="93" t="s">
        <v>2991</v>
      </c>
      <c r="E111" s="96" t="s">
        <v>37</v>
      </c>
      <c r="F111" s="96" t="s">
        <v>123</v>
      </c>
      <c r="G111" s="93" t="s">
        <v>3211</v>
      </c>
      <c r="H111" s="97">
        <v>2023</v>
      </c>
      <c r="I111" s="188"/>
      <c r="J111" s="185"/>
    </row>
    <row r="112" spans="1:10" ht="15" x14ac:dyDescent="0.2">
      <c r="A112" s="96" t="s">
        <v>29</v>
      </c>
      <c r="B112" s="93" t="s">
        <v>29</v>
      </c>
      <c r="C112" s="93" t="s">
        <v>30</v>
      </c>
      <c r="D112" s="93" t="s">
        <v>3099</v>
      </c>
      <c r="E112" s="96" t="s">
        <v>220</v>
      </c>
      <c r="F112" s="74" t="s">
        <v>218</v>
      </c>
      <c r="G112" s="93" t="s">
        <v>3099</v>
      </c>
      <c r="H112" s="97">
        <v>2023</v>
      </c>
      <c r="I112" s="188"/>
      <c r="J112" s="185"/>
    </row>
    <row r="113" spans="1:10" ht="90" x14ac:dyDescent="0.2">
      <c r="A113" s="96" t="s">
        <v>3212</v>
      </c>
      <c r="B113" s="93" t="s">
        <v>29</v>
      </c>
      <c r="C113" s="71" t="s">
        <v>30</v>
      </c>
      <c r="D113" s="93" t="s">
        <v>3213</v>
      </c>
      <c r="E113" s="96" t="s">
        <v>37</v>
      </c>
      <c r="F113" s="96" t="s">
        <v>141</v>
      </c>
      <c r="G113" s="93" t="s">
        <v>3214</v>
      </c>
      <c r="H113" s="97">
        <v>2023</v>
      </c>
      <c r="I113" s="188"/>
      <c r="J113" s="185"/>
    </row>
    <row r="114" spans="1:10" ht="90" x14ac:dyDescent="0.2">
      <c r="A114" s="96" t="s">
        <v>29</v>
      </c>
      <c r="B114" s="93">
        <v>18520594</v>
      </c>
      <c r="C114" s="71" t="s">
        <v>30</v>
      </c>
      <c r="D114" s="93" t="s">
        <v>459</v>
      </c>
      <c r="E114" s="96" t="s">
        <v>37</v>
      </c>
      <c r="F114" s="96" t="s">
        <v>299</v>
      </c>
      <c r="G114" s="93" t="s">
        <v>3215</v>
      </c>
      <c r="H114" s="97">
        <v>2023</v>
      </c>
      <c r="I114" s="188"/>
      <c r="J114" s="185"/>
    </row>
    <row r="115" spans="1:10" ht="60" x14ac:dyDescent="0.2">
      <c r="A115" s="96" t="s">
        <v>29</v>
      </c>
      <c r="B115" s="93">
        <v>18520596</v>
      </c>
      <c r="C115" s="71" t="s">
        <v>30</v>
      </c>
      <c r="D115" s="93" t="s">
        <v>459</v>
      </c>
      <c r="E115" s="96" t="s">
        <v>37</v>
      </c>
      <c r="F115" s="96" t="s">
        <v>239</v>
      </c>
      <c r="G115" s="93" t="s">
        <v>3216</v>
      </c>
      <c r="H115" s="97">
        <v>2023</v>
      </c>
      <c r="I115" s="188"/>
      <c r="J115" s="185"/>
    </row>
    <row r="116" spans="1:10" ht="60" x14ac:dyDescent="0.2">
      <c r="A116" s="96" t="s">
        <v>234</v>
      </c>
      <c r="B116" s="93">
        <v>18581521</v>
      </c>
      <c r="C116" s="71" t="s">
        <v>29</v>
      </c>
      <c r="D116" s="93" t="s">
        <v>459</v>
      </c>
      <c r="E116" s="96" t="s">
        <v>37</v>
      </c>
      <c r="F116" s="96" t="s">
        <v>318</v>
      </c>
      <c r="G116" s="93" t="s">
        <v>3217</v>
      </c>
      <c r="H116" s="97">
        <v>2023</v>
      </c>
      <c r="I116" s="188"/>
      <c r="J116" s="185"/>
    </row>
    <row r="117" spans="1:10" ht="45" x14ac:dyDescent="0.2">
      <c r="A117" s="96" t="s">
        <v>3218</v>
      </c>
      <c r="B117" s="93">
        <v>17509970</v>
      </c>
      <c r="C117" s="71">
        <v>20583002051216</v>
      </c>
      <c r="D117" s="93" t="s">
        <v>459</v>
      </c>
      <c r="E117" s="96" t="s">
        <v>51</v>
      </c>
      <c r="F117" s="96" t="s">
        <v>120</v>
      </c>
      <c r="G117" s="176" t="s">
        <v>3219</v>
      </c>
      <c r="H117" s="97">
        <v>2023</v>
      </c>
      <c r="I117" s="188"/>
      <c r="J117" s="185"/>
    </row>
    <row r="118" spans="1:10" ht="75" x14ac:dyDescent="0.2">
      <c r="A118" s="96" t="s">
        <v>3220</v>
      </c>
      <c r="B118" s="93">
        <v>17844055</v>
      </c>
      <c r="C118" s="71">
        <v>20573302051219</v>
      </c>
      <c r="D118" s="93" t="s">
        <v>459</v>
      </c>
      <c r="E118" s="96" t="s">
        <v>51</v>
      </c>
      <c r="F118" s="96" t="s">
        <v>173</v>
      </c>
      <c r="G118" s="93" t="s">
        <v>3221</v>
      </c>
      <c r="H118" s="97">
        <v>2023</v>
      </c>
      <c r="I118" s="188"/>
      <c r="J118" s="185"/>
    </row>
    <row r="119" spans="1:10" ht="60" x14ac:dyDescent="0.2">
      <c r="A119" s="96" t="s">
        <v>3222</v>
      </c>
      <c r="B119" s="93">
        <v>17848871</v>
      </c>
      <c r="C119" s="71">
        <v>20573302051221</v>
      </c>
      <c r="D119" s="93" t="s">
        <v>459</v>
      </c>
      <c r="E119" s="96" t="s">
        <v>51</v>
      </c>
      <c r="F119" s="96" t="s">
        <v>95</v>
      </c>
      <c r="G119" s="93" t="s">
        <v>3223</v>
      </c>
      <c r="H119" s="97">
        <v>2023</v>
      </c>
      <c r="I119" s="188"/>
      <c r="J119" s="185"/>
    </row>
    <row r="120" spans="1:10" ht="75" x14ac:dyDescent="0.2">
      <c r="A120" s="96" t="s">
        <v>3224</v>
      </c>
      <c r="B120" s="93">
        <v>17834814</v>
      </c>
      <c r="C120" s="71">
        <v>20582102051213</v>
      </c>
      <c r="D120" s="93" t="s">
        <v>459</v>
      </c>
      <c r="E120" s="96" t="s">
        <v>51</v>
      </c>
      <c r="F120" s="96" t="s">
        <v>3225</v>
      </c>
      <c r="G120" s="93" t="s">
        <v>3226</v>
      </c>
      <c r="H120" s="97">
        <v>2023</v>
      </c>
      <c r="I120" s="188"/>
      <c r="J120" s="185"/>
    </row>
    <row r="121" spans="1:10" ht="75" x14ac:dyDescent="0.2">
      <c r="A121" s="96" t="s">
        <v>3227</v>
      </c>
      <c r="B121" s="93">
        <v>18439967</v>
      </c>
      <c r="C121" s="71">
        <v>21583002051212</v>
      </c>
      <c r="D121" s="93" t="s">
        <v>459</v>
      </c>
      <c r="E121" s="96" t="s">
        <v>51</v>
      </c>
      <c r="F121" s="96" t="s">
        <v>3228</v>
      </c>
      <c r="G121" s="93" t="s">
        <v>3229</v>
      </c>
      <c r="H121" s="97">
        <v>2023</v>
      </c>
      <c r="I121" s="188"/>
      <c r="J121" s="185"/>
    </row>
    <row r="122" spans="1:10" ht="105" x14ac:dyDescent="0.2">
      <c r="A122" s="96" t="s">
        <v>3230</v>
      </c>
      <c r="B122" s="93">
        <v>18439975</v>
      </c>
      <c r="C122" s="71">
        <v>21583002051213</v>
      </c>
      <c r="D122" s="93" t="s">
        <v>459</v>
      </c>
      <c r="E122" s="96" t="s">
        <v>51</v>
      </c>
      <c r="F122" s="96" t="s">
        <v>120</v>
      </c>
      <c r="G122" s="93" t="s">
        <v>3231</v>
      </c>
      <c r="H122" s="97">
        <v>2023</v>
      </c>
      <c r="I122" s="188"/>
      <c r="J122" s="185"/>
    </row>
    <row r="123" spans="1:10" ht="45" x14ac:dyDescent="0.2">
      <c r="A123" s="96" t="s">
        <v>3232</v>
      </c>
      <c r="B123" s="93">
        <v>18443362</v>
      </c>
      <c r="C123" s="71">
        <v>21583002051217</v>
      </c>
      <c r="D123" s="93" t="s">
        <v>459</v>
      </c>
      <c r="E123" s="96" t="s">
        <v>51</v>
      </c>
      <c r="F123" s="96" t="s">
        <v>3042</v>
      </c>
      <c r="G123" s="93" t="s">
        <v>3233</v>
      </c>
      <c r="H123" s="97">
        <v>2023</v>
      </c>
      <c r="I123" s="188"/>
      <c r="J123" s="185"/>
    </row>
    <row r="124" spans="1:10" ht="60" x14ac:dyDescent="0.2">
      <c r="A124" s="96" t="s">
        <v>3234</v>
      </c>
      <c r="B124" s="93">
        <v>18443423</v>
      </c>
      <c r="C124" s="71">
        <v>21583002051218</v>
      </c>
      <c r="D124" s="93" t="s">
        <v>459</v>
      </c>
      <c r="E124" s="96" t="s">
        <v>51</v>
      </c>
      <c r="F124" s="96" t="s">
        <v>3042</v>
      </c>
      <c r="G124" s="93" t="s">
        <v>3235</v>
      </c>
      <c r="H124" s="97">
        <v>2023</v>
      </c>
      <c r="I124" s="188"/>
      <c r="J124" s="185"/>
    </row>
    <row r="125" spans="1:10" ht="105" x14ac:dyDescent="0.2">
      <c r="A125" s="96" t="s">
        <v>3236</v>
      </c>
      <c r="B125" s="93">
        <v>18439982</v>
      </c>
      <c r="C125" s="71">
        <v>21583002051214</v>
      </c>
      <c r="D125" s="93" t="s">
        <v>459</v>
      </c>
      <c r="E125" s="96" t="s">
        <v>51</v>
      </c>
      <c r="F125" s="96" t="s">
        <v>3237</v>
      </c>
      <c r="G125" s="93" t="s">
        <v>3238</v>
      </c>
      <c r="H125" s="97">
        <v>2023</v>
      </c>
      <c r="I125" s="188"/>
      <c r="J125" s="185"/>
    </row>
    <row r="126" spans="1:10" ht="90" x14ac:dyDescent="0.2">
      <c r="A126" s="96" t="s">
        <v>3239</v>
      </c>
      <c r="B126" s="93">
        <v>18442799</v>
      </c>
      <c r="C126" s="71">
        <v>21573302051212</v>
      </c>
      <c r="D126" s="93" t="s">
        <v>459</v>
      </c>
      <c r="E126" s="96" t="s">
        <v>51</v>
      </c>
      <c r="F126" s="96" t="s">
        <v>401</v>
      </c>
      <c r="G126" s="93" t="s">
        <v>3240</v>
      </c>
      <c r="H126" s="97">
        <v>2023</v>
      </c>
      <c r="I126" s="188"/>
      <c r="J126" s="185"/>
    </row>
    <row r="127" spans="1:10" ht="75" x14ac:dyDescent="0.2">
      <c r="A127" s="96" t="s">
        <v>3241</v>
      </c>
      <c r="B127" s="93">
        <v>18443183</v>
      </c>
      <c r="C127" s="71">
        <v>21583002051216</v>
      </c>
      <c r="D127" s="93" t="s">
        <v>459</v>
      </c>
      <c r="E127" s="96" t="s">
        <v>51</v>
      </c>
      <c r="F127" s="96" t="s">
        <v>3042</v>
      </c>
      <c r="G127" s="93" t="s">
        <v>3242</v>
      </c>
      <c r="H127" s="97">
        <v>2023</v>
      </c>
      <c r="I127" s="188"/>
      <c r="J127" s="185"/>
    </row>
    <row r="128" spans="1:10" ht="120" x14ac:dyDescent="0.2">
      <c r="A128" s="96" t="s">
        <v>3243</v>
      </c>
      <c r="B128" s="93">
        <v>18443013</v>
      </c>
      <c r="C128" s="71">
        <v>21582102051212</v>
      </c>
      <c r="D128" s="93" t="s">
        <v>459</v>
      </c>
      <c r="E128" s="96" t="s">
        <v>51</v>
      </c>
      <c r="F128" s="96" t="s">
        <v>74</v>
      </c>
      <c r="G128" s="93" t="s">
        <v>3244</v>
      </c>
      <c r="H128" s="97">
        <v>2023</v>
      </c>
      <c r="I128" s="188"/>
      <c r="J128" s="185"/>
    </row>
    <row r="129" spans="1:10" ht="90" x14ac:dyDescent="0.2">
      <c r="A129" s="96" t="s">
        <v>3245</v>
      </c>
      <c r="B129" s="93">
        <v>18442806</v>
      </c>
      <c r="C129" s="71">
        <v>21583002051215</v>
      </c>
      <c r="D129" s="93" t="s">
        <v>459</v>
      </c>
      <c r="E129" s="96" t="s">
        <v>51</v>
      </c>
      <c r="F129" s="96" t="s">
        <v>1445</v>
      </c>
      <c r="G129" s="93" t="s">
        <v>3246</v>
      </c>
      <c r="H129" s="97">
        <v>2023</v>
      </c>
      <c r="I129" s="188"/>
      <c r="J129" s="185"/>
    </row>
    <row r="130" spans="1:10" ht="105" x14ac:dyDescent="0.2">
      <c r="A130" s="96" t="s">
        <v>3247</v>
      </c>
      <c r="B130" s="93">
        <v>18442804</v>
      </c>
      <c r="C130" s="71">
        <v>21582102051210</v>
      </c>
      <c r="D130" s="93" t="s">
        <v>459</v>
      </c>
      <c r="E130" s="96" t="s">
        <v>51</v>
      </c>
      <c r="F130" s="96" t="s">
        <v>3248</v>
      </c>
      <c r="G130" s="93" t="s">
        <v>3249</v>
      </c>
      <c r="H130" s="97">
        <v>2023</v>
      </c>
      <c r="I130" s="188"/>
      <c r="J130" s="185"/>
    </row>
    <row r="131" spans="1:10" ht="75" x14ac:dyDescent="0.2">
      <c r="A131" s="96" t="s">
        <v>3250</v>
      </c>
      <c r="B131" s="93">
        <v>10768266</v>
      </c>
      <c r="C131" s="71" t="s">
        <v>3251</v>
      </c>
      <c r="D131" s="93" t="s">
        <v>459</v>
      </c>
      <c r="E131" s="96" t="s">
        <v>54</v>
      </c>
      <c r="F131" s="96" t="s">
        <v>67</v>
      </c>
      <c r="G131" s="93" t="s">
        <v>3252</v>
      </c>
      <c r="H131" s="97">
        <v>2023</v>
      </c>
      <c r="I131" s="188"/>
      <c r="J131" s="185"/>
    </row>
    <row r="132" spans="1:10" ht="75" x14ac:dyDescent="0.2">
      <c r="A132" s="96" t="s">
        <v>3253</v>
      </c>
      <c r="B132" s="93">
        <v>18531747</v>
      </c>
      <c r="C132" s="71">
        <v>19595402051214</v>
      </c>
      <c r="D132" s="93" t="s">
        <v>459</v>
      </c>
      <c r="E132" s="96" t="s">
        <v>54</v>
      </c>
      <c r="F132" s="96" t="s">
        <v>3254</v>
      </c>
      <c r="G132" s="93" t="s">
        <v>3255</v>
      </c>
      <c r="H132" s="97">
        <v>2023</v>
      </c>
      <c r="I132" s="188"/>
      <c r="J132" s="185"/>
    </row>
    <row r="133" spans="1:10" ht="75" x14ac:dyDescent="0.2">
      <c r="A133" s="96" t="s">
        <v>3256</v>
      </c>
      <c r="B133" s="93">
        <v>10768176</v>
      </c>
      <c r="C133" s="71">
        <v>19595502051212</v>
      </c>
      <c r="D133" s="93" t="s">
        <v>459</v>
      </c>
      <c r="E133" s="96" t="s">
        <v>54</v>
      </c>
      <c r="F133" s="96" t="s">
        <v>67</v>
      </c>
      <c r="G133" s="93" t="s">
        <v>3257</v>
      </c>
      <c r="H133" s="97">
        <v>2023</v>
      </c>
      <c r="I133" s="188"/>
      <c r="J133" s="185"/>
    </row>
    <row r="134" spans="1:10" ht="75" x14ac:dyDescent="0.2">
      <c r="A134" s="96" t="s">
        <v>3258</v>
      </c>
      <c r="B134" s="93">
        <v>10768204</v>
      </c>
      <c r="C134" s="71">
        <v>16595502051213</v>
      </c>
      <c r="D134" s="93" t="s">
        <v>459</v>
      </c>
      <c r="E134" s="96" t="s">
        <v>54</v>
      </c>
      <c r="F134" s="96" t="s">
        <v>67</v>
      </c>
      <c r="G134" s="93" t="s">
        <v>3259</v>
      </c>
      <c r="H134" s="97">
        <v>2023</v>
      </c>
      <c r="I134" s="188"/>
      <c r="J134" s="185"/>
    </row>
    <row r="135" spans="1:10" ht="60" x14ac:dyDescent="0.2">
      <c r="A135" s="96" t="s">
        <v>3260</v>
      </c>
      <c r="B135" s="93">
        <v>18733967</v>
      </c>
      <c r="C135" s="71">
        <v>21574102051210</v>
      </c>
      <c r="D135" s="93" t="s">
        <v>459</v>
      </c>
      <c r="E135" s="96" t="s">
        <v>51</v>
      </c>
      <c r="F135" s="96" t="s">
        <v>3007</v>
      </c>
      <c r="G135" s="93" t="s">
        <v>3261</v>
      </c>
      <c r="H135" s="97">
        <v>2023</v>
      </c>
      <c r="I135" s="188"/>
      <c r="J135" s="185"/>
    </row>
    <row r="136" spans="1:10" ht="90" x14ac:dyDescent="0.2">
      <c r="A136" s="96" t="s">
        <v>3262</v>
      </c>
      <c r="B136" s="93">
        <v>16990419</v>
      </c>
      <c r="C136" s="71" t="s">
        <v>30</v>
      </c>
      <c r="D136" s="93" t="s">
        <v>459</v>
      </c>
      <c r="E136" s="96" t="s">
        <v>37</v>
      </c>
      <c r="F136" s="96" t="s">
        <v>3263</v>
      </c>
      <c r="G136" s="93" t="s">
        <v>3264</v>
      </c>
      <c r="H136" s="97">
        <v>2023</v>
      </c>
      <c r="I136" s="188"/>
      <c r="J136" s="185"/>
    </row>
    <row r="137" spans="1:10" ht="90" x14ac:dyDescent="0.2">
      <c r="A137" s="96" t="s">
        <v>3265</v>
      </c>
      <c r="B137" s="93" t="s">
        <v>29</v>
      </c>
      <c r="C137" s="71" t="s">
        <v>30</v>
      </c>
      <c r="D137" s="93" t="s">
        <v>459</v>
      </c>
      <c r="E137" s="96" t="s">
        <v>37</v>
      </c>
      <c r="F137" s="96" t="s">
        <v>603</v>
      </c>
      <c r="G137" s="93" t="s">
        <v>3266</v>
      </c>
      <c r="H137" s="97">
        <v>2023</v>
      </c>
      <c r="I137" s="188"/>
      <c r="J137" s="185"/>
    </row>
    <row r="138" spans="1:10" ht="90" x14ac:dyDescent="0.2">
      <c r="A138" s="96" t="s">
        <v>3267</v>
      </c>
      <c r="B138" s="93" t="s">
        <v>29</v>
      </c>
      <c r="C138" s="71" t="s">
        <v>30</v>
      </c>
      <c r="D138" s="93" t="s">
        <v>459</v>
      </c>
      <c r="E138" s="96" t="s">
        <v>37</v>
      </c>
      <c r="F138" s="96" t="s">
        <v>141</v>
      </c>
      <c r="G138" s="93" t="s">
        <v>3268</v>
      </c>
      <c r="H138" s="97">
        <v>2023</v>
      </c>
      <c r="I138" s="188"/>
      <c r="J138" s="185"/>
    </row>
    <row r="139" spans="1:10" ht="45" x14ac:dyDescent="0.2">
      <c r="A139" s="96" t="s">
        <v>3269</v>
      </c>
      <c r="B139" s="93" t="s">
        <v>29</v>
      </c>
      <c r="C139" s="71" t="s">
        <v>30</v>
      </c>
      <c r="D139" s="93" t="s">
        <v>3148</v>
      </c>
      <c r="E139" s="96" t="s">
        <v>54</v>
      </c>
      <c r="F139" s="96" t="s">
        <v>165</v>
      </c>
      <c r="G139" s="93" t="s">
        <v>3270</v>
      </c>
      <c r="H139" s="97">
        <v>2023</v>
      </c>
      <c r="I139" s="188"/>
      <c r="J139" s="185"/>
    </row>
    <row r="140" spans="1:10" ht="60" x14ac:dyDescent="0.2">
      <c r="A140" s="96" t="s">
        <v>3271</v>
      </c>
      <c r="B140" s="93" t="s">
        <v>29</v>
      </c>
      <c r="C140" s="71" t="s">
        <v>30</v>
      </c>
      <c r="D140" s="93" t="s">
        <v>3148</v>
      </c>
      <c r="E140" s="96" t="s">
        <v>54</v>
      </c>
      <c r="F140" s="96" t="s">
        <v>165</v>
      </c>
      <c r="G140" s="93" t="s">
        <v>3272</v>
      </c>
      <c r="H140" s="97">
        <v>2023</v>
      </c>
      <c r="I140" s="188"/>
      <c r="J140" s="185"/>
    </row>
    <row r="141" spans="1:10" ht="60" x14ac:dyDescent="0.2">
      <c r="A141" s="96" t="s">
        <v>3273</v>
      </c>
      <c r="B141" s="93" t="s">
        <v>29</v>
      </c>
      <c r="C141" s="71" t="s">
        <v>30</v>
      </c>
      <c r="D141" s="93" t="s">
        <v>3148</v>
      </c>
      <c r="E141" s="96" t="s">
        <v>54</v>
      </c>
      <c r="F141" s="96" t="s">
        <v>165</v>
      </c>
      <c r="G141" s="93" t="s">
        <v>3274</v>
      </c>
      <c r="H141" s="97">
        <v>2023</v>
      </c>
      <c r="I141" s="188"/>
      <c r="J141" s="185"/>
    </row>
    <row r="142" spans="1:10" ht="45" x14ac:dyDescent="0.2">
      <c r="A142" s="96" t="s">
        <v>3275</v>
      </c>
      <c r="B142" s="93" t="s">
        <v>29</v>
      </c>
      <c r="C142" s="71" t="s">
        <v>30</v>
      </c>
      <c r="D142" s="93" t="s">
        <v>3148</v>
      </c>
      <c r="E142" s="96" t="s">
        <v>54</v>
      </c>
      <c r="F142" s="96" t="s">
        <v>165</v>
      </c>
      <c r="G142" s="93" t="s">
        <v>3276</v>
      </c>
      <c r="H142" s="97">
        <v>2023</v>
      </c>
      <c r="I142" s="188"/>
      <c r="J142" s="185"/>
    </row>
    <row r="143" spans="1:10" ht="60" x14ac:dyDescent="0.2">
      <c r="A143" s="96" t="s">
        <v>3277</v>
      </c>
      <c r="B143" s="93" t="s">
        <v>29</v>
      </c>
      <c r="C143" s="71" t="s">
        <v>30</v>
      </c>
      <c r="D143" s="93" t="s">
        <v>3148</v>
      </c>
      <c r="E143" s="96" t="s">
        <v>54</v>
      </c>
      <c r="F143" s="96" t="s">
        <v>165</v>
      </c>
      <c r="G143" s="93" t="s">
        <v>3278</v>
      </c>
      <c r="H143" s="97">
        <v>2023</v>
      </c>
      <c r="I143" s="188"/>
      <c r="J143" s="185"/>
    </row>
    <row r="144" spans="1:10" ht="45" x14ac:dyDescent="0.2">
      <c r="A144" s="96" t="s">
        <v>3279</v>
      </c>
      <c r="B144" s="93" t="s">
        <v>29</v>
      </c>
      <c r="C144" s="71" t="s">
        <v>30</v>
      </c>
      <c r="D144" s="93" t="s">
        <v>3148</v>
      </c>
      <c r="E144" s="96" t="s">
        <v>54</v>
      </c>
      <c r="F144" s="96" t="s">
        <v>165</v>
      </c>
      <c r="G144" s="93" t="s">
        <v>3280</v>
      </c>
      <c r="H144" s="97">
        <v>2023</v>
      </c>
      <c r="I144" s="188"/>
      <c r="J144" s="185"/>
    </row>
    <row r="145" spans="1:10" ht="60" x14ac:dyDescent="0.2">
      <c r="A145" s="96" t="s">
        <v>3281</v>
      </c>
      <c r="B145" s="93" t="s">
        <v>29</v>
      </c>
      <c r="C145" s="71" t="s">
        <v>30</v>
      </c>
      <c r="D145" s="93" t="s">
        <v>3148</v>
      </c>
      <c r="E145" s="96" t="s">
        <v>54</v>
      </c>
      <c r="F145" s="96" t="s">
        <v>165</v>
      </c>
      <c r="G145" s="93" t="s">
        <v>3282</v>
      </c>
      <c r="H145" s="97">
        <v>2023</v>
      </c>
      <c r="I145" s="188"/>
      <c r="J145" s="185"/>
    </row>
    <row r="146" spans="1:10" ht="45" x14ac:dyDescent="0.2">
      <c r="A146" s="96" t="s">
        <v>3283</v>
      </c>
      <c r="B146" s="93" t="s">
        <v>29</v>
      </c>
      <c r="C146" s="71" t="s">
        <v>30</v>
      </c>
      <c r="D146" s="93" t="s">
        <v>3148</v>
      </c>
      <c r="E146" s="96" t="s">
        <v>54</v>
      </c>
      <c r="F146" s="96" t="s">
        <v>165</v>
      </c>
      <c r="G146" s="93" t="s">
        <v>3284</v>
      </c>
      <c r="H146" s="97">
        <v>2023</v>
      </c>
      <c r="I146" s="188"/>
      <c r="J146" s="185"/>
    </row>
    <row r="147" spans="1:10" ht="45" x14ac:dyDescent="0.2">
      <c r="A147" s="96" t="s">
        <v>3285</v>
      </c>
      <c r="B147" s="93" t="s">
        <v>29</v>
      </c>
      <c r="C147" s="71" t="s">
        <v>30</v>
      </c>
      <c r="D147" s="93" t="s">
        <v>3148</v>
      </c>
      <c r="E147" s="96" t="s">
        <v>54</v>
      </c>
      <c r="F147" s="96" t="s">
        <v>165</v>
      </c>
      <c r="G147" s="93" t="s">
        <v>3286</v>
      </c>
      <c r="H147" s="97">
        <v>2023</v>
      </c>
      <c r="I147" s="188"/>
      <c r="J147" s="185"/>
    </row>
    <row r="148" spans="1:10" ht="60" x14ac:dyDescent="0.2">
      <c r="A148" s="96" t="s">
        <v>3287</v>
      </c>
      <c r="B148" s="93" t="s">
        <v>29</v>
      </c>
      <c r="C148" s="71" t="s">
        <v>30</v>
      </c>
      <c r="D148" s="93" t="s">
        <v>3148</v>
      </c>
      <c r="E148" s="96" t="s">
        <v>54</v>
      </c>
      <c r="F148" s="96" t="s">
        <v>165</v>
      </c>
      <c r="G148" s="93" t="s">
        <v>3288</v>
      </c>
      <c r="H148" s="97">
        <v>2023</v>
      </c>
      <c r="I148" s="188"/>
      <c r="J148" s="185"/>
    </row>
    <row r="149" spans="1:10" ht="45" x14ac:dyDescent="0.2">
      <c r="A149" s="96" t="s">
        <v>3289</v>
      </c>
      <c r="B149" s="93" t="s">
        <v>29</v>
      </c>
      <c r="C149" s="71" t="s">
        <v>30</v>
      </c>
      <c r="D149" s="93" t="s">
        <v>3148</v>
      </c>
      <c r="E149" s="96" t="s">
        <v>54</v>
      </c>
      <c r="F149" s="96" t="s">
        <v>165</v>
      </c>
      <c r="G149" s="93" t="s">
        <v>3290</v>
      </c>
      <c r="H149" s="97">
        <v>2023</v>
      </c>
      <c r="I149" s="188"/>
      <c r="J149" s="185"/>
    </row>
    <row r="150" spans="1:10" ht="60" x14ac:dyDescent="0.2">
      <c r="A150" s="96" t="s">
        <v>3291</v>
      </c>
      <c r="B150" s="93" t="s">
        <v>29</v>
      </c>
      <c r="C150" s="71" t="s">
        <v>30</v>
      </c>
      <c r="D150" s="93" t="s">
        <v>3148</v>
      </c>
      <c r="E150" s="96" t="s">
        <v>54</v>
      </c>
      <c r="F150" s="96" t="s">
        <v>165</v>
      </c>
      <c r="G150" s="93" t="s">
        <v>3292</v>
      </c>
      <c r="H150" s="97">
        <v>2023</v>
      </c>
      <c r="I150" s="188"/>
      <c r="J150" s="185"/>
    </row>
    <row r="151" spans="1:10" ht="60" x14ac:dyDescent="0.2">
      <c r="A151" s="96" t="s">
        <v>3293</v>
      </c>
      <c r="B151" s="93" t="s">
        <v>29</v>
      </c>
      <c r="C151" s="71" t="s">
        <v>30</v>
      </c>
      <c r="D151" s="93" t="s">
        <v>3148</v>
      </c>
      <c r="E151" s="96" t="s">
        <v>54</v>
      </c>
      <c r="F151" s="96" t="s">
        <v>165</v>
      </c>
      <c r="G151" s="93" t="s">
        <v>3294</v>
      </c>
      <c r="H151" s="97">
        <v>2023</v>
      </c>
      <c r="I151" s="188"/>
      <c r="J151" s="185"/>
    </row>
    <row r="152" spans="1:10" ht="60" x14ac:dyDescent="0.2">
      <c r="A152" s="96" t="s">
        <v>3295</v>
      </c>
      <c r="B152" s="93" t="s">
        <v>29</v>
      </c>
      <c r="C152" s="71" t="s">
        <v>30</v>
      </c>
      <c r="D152" s="93" t="s">
        <v>3148</v>
      </c>
      <c r="E152" s="96" t="s">
        <v>54</v>
      </c>
      <c r="F152" s="96" t="s">
        <v>165</v>
      </c>
      <c r="G152" s="93" t="s">
        <v>3296</v>
      </c>
      <c r="H152" s="97">
        <v>2023</v>
      </c>
      <c r="I152" s="188"/>
      <c r="J152" s="185"/>
    </row>
    <row r="153" spans="1:10" ht="60" x14ac:dyDescent="0.2">
      <c r="A153" s="96" t="s">
        <v>3297</v>
      </c>
      <c r="B153" s="93" t="s">
        <v>29</v>
      </c>
      <c r="C153" s="71" t="s">
        <v>30</v>
      </c>
      <c r="D153" s="93" t="s">
        <v>3148</v>
      </c>
      <c r="E153" s="96" t="s">
        <v>54</v>
      </c>
      <c r="F153" s="96" t="s">
        <v>165</v>
      </c>
      <c r="G153" s="93" t="s">
        <v>3298</v>
      </c>
      <c r="H153" s="97">
        <v>2023</v>
      </c>
      <c r="I153" s="188"/>
      <c r="J153" s="185"/>
    </row>
    <row r="154" spans="1:10" ht="60" x14ac:dyDescent="0.2">
      <c r="A154" s="96" t="s">
        <v>3299</v>
      </c>
      <c r="B154" s="93" t="s">
        <v>29</v>
      </c>
      <c r="C154" s="71" t="s">
        <v>30</v>
      </c>
      <c r="D154" s="93" t="s">
        <v>3148</v>
      </c>
      <c r="E154" s="96" t="s">
        <v>54</v>
      </c>
      <c r="F154" s="96" t="s">
        <v>165</v>
      </c>
      <c r="G154" s="93" t="s">
        <v>3300</v>
      </c>
      <c r="H154" s="97">
        <v>2023</v>
      </c>
      <c r="I154" s="188"/>
      <c r="J154" s="185"/>
    </row>
    <row r="155" spans="1:10" ht="60" x14ac:dyDescent="0.2">
      <c r="A155" s="96" t="s">
        <v>3301</v>
      </c>
      <c r="B155" s="93" t="s">
        <v>29</v>
      </c>
      <c r="C155" s="71" t="s">
        <v>30</v>
      </c>
      <c r="D155" s="93" t="s">
        <v>3148</v>
      </c>
      <c r="E155" s="96" t="s">
        <v>54</v>
      </c>
      <c r="F155" s="96" t="s">
        <v>165</v>
      </c>
      <c r="G155" s="93" t="s">
        <v>3302</v>
      </c>
      <c r="H155" s="97">
        <v>2023</v>
      </c>
      <c r="I155" s="188"/>
      <c r="J155" s="185"/>
    </row>
    <row r="156" spans="1:10" ht="60" x14ac:dyDescent="0.2">
      <c r="A156" s="96" t="s">
        <v>3303</v>
      </c>
      <c r="B156" s="93" t="s">
        <v>29</v>
      </c>
      <c r="C156" s="71" t="s">
        <v>30</v>
      </c>
      <c r="D156" s="93" t="s">
        <v>3148</v>
      </c>
      <c r="E156" s="96" t="s">
        <v>54</v>
      </c>
      <c r="F156" s="96" t="s">
        <v>165</v>
      </c>
      <c r="G156" s="93" t="s">
        <v>3304</v>
      </c>
      <c r="H156" s="97">
        <v>2023</v>
      </c>
      <c r="I156" s="188"/>
      <c r="J156" s="185"/>
    </row>
    <row r="157" spans="1:10" ht="60" x14ac:dyDescent="0.2">
      <c r="A157" s="96" t="s">
        <v>3305</v>
      </c>
      <c r="B157" s="93" t="s">
        <v>29</v>
      </c>
      <c r="C157" s="71" t="s">
        <v>30</v>
      </c>
      <c r="D157" s="93" t="s">
        <v>3148</v>
      </c>
      <c r="E157" s="96" t="s">
        <v>54</v>
      </c>
      <c r="F157" s="96" t="s">
        <v>165</v>
      </c>
      <c r="G157" s="93" t="s">
        <v>3306</v>
      </c>
      <c r="H157" s="97">
        <v>2023</v>
      </c>
      <c r="I157" s="188"/>
      <c r="J157" s="185"/>
    </row>
    <row r="158" spans="1:10" ht="30" x14ac:dyDescent="0.2">
      <c r="A158" s="96" t="s">
        <v>3307</v>
      </c>
      <c r="B158" s="93" t="s">
        <v>29</v>
      </c>
      <c r="C158" s="71" t="s">
        <v>30</v>
      </c>
      <c r="D158" s="93" t="s">
        <v>3148</v>
      </c>
      <c r="E158" s="96" t="s">
        <v>37</v>
      </c>
      <c r="F158" s="96" t="s">
        <v>33</v>
      </c>
      <c r="G158" s="93" t="s">
        <v>3308</v>
      </c>
      <c r="H158" s="97">
        <v>2023</v>
      </c>
      <c r="I158" s="188"/>
      <c r="J158" s="185"/>
    </row>
    <row r="159" spans="1:10" ht="30" x14ac:dyDescent="0.2">
      <c r="A159" s="96" t="s">
        <v>3309</v>
      </c>
      <c r="B159" s="93" t="s">
        <v>29</v>
      </c>
      <c r="C159" s="71" t="s">
        <v>30</v>
      </c>
      <c r="D159" s="93" t="s">
        <v>3148</v>
      </c>
      <c r="E159" s="96" t="s">
        <v>37</v>
      </c>
      <c r="F159" s="96" t="s">
        <v>3156</v>
      </c>
      <c r="G159" s="93" t="s">
        <v>3310</v>
      </c>
      <c r="H159" s="97">
        <v>2023</v>
      </c>
      <c r="I159" s="188"/>
      <c r="J159" s="185"/>
    </row>
    <row r="160" spans="1:10" ht="15" x14ac:dyDescent="0.2">
      <c r="A160" s="96" t="s">
        <v>29</v>
      </c>
      <c r="B160" s="93" t="s">
        <v>29</v>
      </c>
      <c r="C160" s="93" t="s">
        <v>30</v>
      </c>
      <c r="D160" s="93" t="s">
        <v>3162</v>
      </c>
      <c r="E160" s="96" t="s">
        <v>220</v>
      </c>
      <c r="F160" s="74" t="s">
        <v>218</v>
      </c>
      <c r="G160" s="93" t="s">
        <v>3162</v>
      </c>
      <c r="H160" s="97">
        <v>2023</v>
      </c>
      <c r="I160" s="188"/>
      <c r="J160" s="185"/>
    </row>
    <row r="161" spans="1:10" ht="45" x14ac:dyDescent="0.2">
      <c r="A161" s="96" t="s">
        <v>29</v>
      </c>
      <c r="B161" s="93">
        <v>16143367</v>
      </c>
      <c r="C161" s="71" t="s">
        <v>3311</v>
      </c>
      <c r="D161" s="93" t="s">
        <v>2991</v>
      </c>
      <c r="E161" s="96" t="s">
        <v>37</v>
      </c>
      <c r="F161" s="96" t="s">
        <v>141</v>
      </c>
      <c r="G161" s="93" t="s">
        <v>3312</v>
      </c>
      <c r="H161" s="97">
        <v>2024</v>
      </c>
      <c r="I161" s="188"/>
      <c r="J161" s="185"/>
    </row>
    <row r="162" spans="1:10" ht="75" x14ac:dyDescent="0.2">
      <c r="A162" s="96" t="s">
        <v>29</v>
      </c>
      <c r="B162" s="93">
        <v>17619462</v>
      </c>
      <c r="C162" s="71" t="s">
        <v>3313</v>
      </c>
      <c r="D162" s="93" t="s">
        <v>2991</v>
      </c>
      <c r="E162" s="96" t="s">
        <v>51</v>
      </c>
      <c r="F162" s="96" t="s">
        <v>612</v>
      </c>
      <c r="G162" s="93" t="s">
        <v>3314</v>
      </c>
      <c r="H162" s="97">
        <v>2024</v>
      </c>
      <c r="I162" s="188"/>
      <c r="J162" s="185"/>
    </row>
    <row r="163" spans="1:10" ht="75" x14ac:dyDescent="0.2">
      <c r="A163" s="96" t="s">
        <v>29</v>
      </c>
      <c r="B163" s="93">
        <v>17619838</v>
      </c>
      <c r="C163" s="71" t="s">
        <v>3315</v>
      </c>
      <c r="D163" s="93" t="s">
        <v>2991</v>
      </c>
      <c r="E163" s="96" t="s">
        <v>51</v>
      </c>
      <c r="F163" s="96" t="s">
        <v>95</v>
      </c>
      <c r="G163" s="93" t="s">
        <v>3316</v>
      </c>
      <c r="H163" s="97">
        <v>2024</v>
      </c>
      <c r="I163" s="188"/>
      <c r="J163" s="185"/>
    </row>
    <row r="164" spans="1:10" ht="75" x14ac:dyDescent="0.2">
      <c r="A164" s="96" t="s">
        <v>29</v>
      </c>
      <c r="B164" s="93">
        <v>17621894</v>
      </c>
      <c r="C164" s="71" t="s">
        <v>3317</v>
      </c>
      <c r="D164" s="93" t="s">
        <v>2991</v>
      </c>
      <c r="E164" s="96" t="s">
        <v>51</v>
      </c>
      <c r="F164" s="96" t="s">
        <v>103</v>
      </c>
      <c r="G164" s="93" t="s">
        <v>3318</v>
      </c>
      <c r="H164" s="97">
        <v>2024</v>
      </c>
      <c r="I164" s="188"/>
      <c r="J164" s="185"/>
    </row>
    <row r="165" spans="1:10" ht="45" x14ac:dyDescent="0.2">
      <c r="A165" s="96" t="s">
        <v>29</v>
      </c>
      <c r="B165" s="93">
        <v>18560452</v>
      </c>
      <c r="C165" s="71" t="s">
        <v>3319</v>
      </c>
      <c r="D165" s="93" t="s">
        <v>2991</v>
      </c>
      <c r="E165" s="96" t="s">
        <v>51</v>
      </c>
      <c r="F165" s="96" t="s">
        <v>3135</v>
      </c>
      <c r="G165" s="93" t="s">
        <v>3320</v>
      </c>
      <c r="H165" s="97">
        <v>2024</v>
      </c>
      <c r="I165" s="188"/>
      <c r="J165" s="185"/>
    </row>
    <row r="166" spans="1:10" ht="45" x14ac:dyDescent="0.2">
      <c r="A166" s="96" t="s">
        <v>29</v>
      </c>
      <c r="B166" s="93">
        <v>18560464</v>
      </c>
      <c r="C166" s="71" t="s">
        <v>3321</v>
      </c>
      <c r="D166" s="93" t="s">
        <v>2991</v>
      </c>
      <c r="E166" s="96" t="s">
        <v>51</v>
      </c>
      <c r="F166" s="96" t="s">
        <v>3042</v>
      </c>
      <c r="G166" s="93" t="s">
        <v>3322</v>
      </c>
      <c r="H166" s="97">
        <v>2024</v>
      </c>
      <c r="I166" s="188"/>
      <c r="J166" s="185"/>
    </row>
    <row r="167" spans="1:10" ht="60" x14ac:dyDescent="0.2">
      <c r="A167" s="96" t="s">
        <v>29</v>
      </c>
      <c r="B167" s="93">
        <v>18565001</v>
      </c>
      <c r="C167" s="71" t="s">
        <v>3323</v>
      </c>
      <c r="D167" s="93" t="s">
        <v>2991</v>
      </c>
      <c r="E167" s="96" t="s">
        <v>51</v>
      </c>
      <c r="F167" s="96" t="s">
        <v>120</v>
      </c>
      <c r="G167" s="93" t="s">
        <v>3324</v>
      </c>
      <c r="H167" s="97">
        <v>2024</v>
      </c>
      <c r="I167" s="188"/>
      <c r="J167" s="185"/>
    </row>
    <row r="168" spans="1:10" ht="60" x14ac:dyDescent="0.2">
      <c r="A168" s="96" t="s">
        <v>29</v>
      </c>
      <c r="B168" s="93">
        <v>18565011</v>
      </c>
      <c r="C168" s="71" t="s">
        <v>3325</v>
      </c>
      <c r="D168" s="93" t="s">
        <v>2991</v>
      </c>
      <c r="E168" s="96" t="s">
        <v>51</v>
      </c>
      <c r="F168" s="96" t="s">
        <v>3135</v>
      </c>
      <c r="G168" s="93" t="s">
        <v>3326</v>
      </c>
      <c r="H168" s="97">
        <v>2024</v>
      </c>
      <c r="I168" s="188"/>
      <c r="J168" s="185"/>
    </row>
    <row r="169" spans="1:10" ht="75" x14ac:dyDescent="0.2">
      <c r="A169" s="96" t="s">
        <v>29</v>
      </c>
      <c r="B169" s="93">
        <v>18565403</v>
      </c>
      <c r="C169" s="71" t="s">
        <v>3327</v>
      </c>
      <c r="D169" s="93" t="s">
        <v>2991</v>
      </c>
      <c r="E169" s="96" t="s">
        <v>51</v>
      </c>
      <c r="F169" s="96" t="s">
        <v>173</v>
      </c>
      <c r="G169" s="93" t="s">
        <v>3328</v>
      </c>
      <c r="H169" s="97">
        <v>2024</v>
      </c>
      <c r="I169" s="188"/>
      <c r="J169" s="185"/>
    </row>
    <row r="170" spans="1:10" ht="60" x14ac:dyDescent="0.2">
      <c r="A170" s="96" t="s">
        <v>29</v>
      </c>
      <c r="B170" s="93">
        <v>18565418</v>
      </c>
      <c r="C170" s="71" t="s">
        <v>3329</v>
      </c>
      <c r="D170" s="93" t="s">
        <v>2991</v>
      </c>
      <c r="E170" s="96" t="s">
        <v>51</v>
      </c>
      <c r="F170" s="96" t="s">
        <v>3330</v>
      </c>
      <c r="G170" s="93" t="s">
        <v>3331</v>
      </c>
      <c r="H170" s="97">
        <v>2024</v>
      </c>
      <c r="I170" s="188"/>
      <c r="J170" s="185"/>
    </row>
    <row r="171" spans="1:10" ht="60" x14ac:dyDescent="0.2">
      <c r="A171" s="96" t="s">
        <v>29</v>
      </c>
      <c r="B171" s="93">
        <v>18565530</v>
      </c>
      <c r="C171" s="71" t="s">
        <v>3332</v>
      </c>
      <c r="D171" s="93" t="s">
        <v>2991</v>
      </c>
      <c r="E171" s="96" t="s">
        <v>37</v>
      </c>
      <c r="F171" s="96" t="s">
        <v>48</v>
      </c>
      <c r="G171" s="93" t="s">
        <v>3333</v>
      </c>
      <c r="H171" s="97">
        <v>2024</v>
      </c>
      <c r="I171" s="188"/>
      <c r="J171" s="185"/>
    </row>
    <row r="172" spans="1:10" ht="45" x14ac:dyDescent="0.2">
      <c r="A172" s="96" t="s">
        <v>29</v>
      </c>
      <c r="B172" s="93">
        <v>18565553</v>
      </c>
      <c r="C172" s="71" t="s">
        <v>3334</v>
      </c>
      <c r="D172" s="93" t="s">
        <v>2991</v>
      </c>
      <c r="E172" s="96" t="s">
        <v>37</v>
      </c>
      <c r="F172" s="96" t="s">
        <v>1724</v>
      </c>
      <c r="G172" s="93" t="s">
        <v>3335</v>
      </c>
      <c r="H172" s="97">
        <v>2024</v>
      </c>
      <c r="I172" s="188"/>
      <c r="J172" s="185"/>
    </row>
    <row r="173" spans="1:10" ht="60" x14ac:dyDescent="0.2">
      <c r="A173" s="96" t="s">
        <v>29</v>
      </c>
      <c r="B173" s="93">
        <v>18565808</v>
      </c>
      <c r="C173" s="71" t="s">
        <v>3336</v>
      </c>
      <c r="D173" s="93" t="s">
        <v>2991</v>
      </c>
      <c r="E173" s="96" t="s">
        <v>37</v>
      </c>
      <c r="F173" s="96" t="s">
        <v>318</v>
      </c>
      <c r="G173" s="93" t="s">
        <v>3337</v>
      </c>
      <c r="H173" s="97">
        <v>2024</v>
      </c>
      <c r="I173" s="188"/>
      <c r="J173" s="185"/>
    </row>
    <row r="174" spans="1:10" ht="45" x14ac:dyDescent="0.2">
      <c r="A174" s="96" t="s">
        <v>29</v>
      </c>
      <c r="B174" s="93">
        <v>18775543</v>
      </c>
      <c r="C174" s="71" t="s">
        <v>3338</v>
      </c>
      <c r="D174" s="93" t="s">
        <v>2991</v>
      </c>
      <c r="E174" s="96" t="s">
        <v>37</v>
      </c>
      <c r="F174" s="96" t="s">
        <v>206</v>
      </c>
      <c r="G174" s="93" t="s">
        <v>3339</v>
      </c>
      <c r="H174" s="97">
        <v>2024</v>
      </c>
      <c r="I174" s="188"/>
      <c r="J174" s="185"/>
    </row>
    <row r="175" spans="1:10" ht="30" x14ac:dyDescent="0.2">
      <c r="A175" s="96" t="s">
        <v>29</v>
      </c>
      <c r="B175" s="93">
        <v>18775546</v>
      </c>
      <c r="C175" s="71" t="s">
        <v>3340</v>
      </c>
      <c r="D175" s="93" t="s">
        <v>2991</v>
      </c>
      <c r="E175" s="96" t="s">
        <v>37</v>
      </c>
      <c r="F175" s="96" t="s">
        <v>239</v>
      </c>
      <c r="G175" s="93" t="s">
        <v>3341</v>
      </c>
      <c r="H175" s="97">
        <v>2024</v>
      </c>
      <c r="I175" s="188"/>
      <c r="J175" s="185"/>
    </row>
    <row r="176" spans="1:10" ht="60" x14ac:dyDescent="0.2">
      <c r="A176" s="96" t="s">
        <v>29</v>
      </c>
      <c r="B176" s="93">
        <v>18782263</v>
      </c>
      <c r="C176" s="71" t="s">
        <v>3342</v>
      </c>
      <c r="D176" s="93" t="s">
        <v>2991</v>
      </c>
      <c r="E176" s="96" t="s">
        <v>54</v>
      </c>
      <c r="F176" s="96" t="s">
        <v>64</v>
      </c>
      <c r="G176" s="93" t="s">
        <v>3343</v>
      </c>
      <c r="H176" s="97">
        <v>2024</v>
      </c>
      <c r="I176" s="188"/>
      <c r="J176" s="185"/>
    </row>
    <row r="177" spans="1:10" ht="60" x14ac:dyDescent="0.2">
      <c r="A177" s="96" t="s">
        <v>29</v>
      </c>
      <c r="B177" s="93">
        <v>18870483</v>
      </c>
      <c r="C177" s="71" t="s">
        <v>3344</v>
      </c>
      <c r="D177" s="93" t="s">
        <v>2991</v>
      </c>
      <c r="E177" s="96" t="s">
        <v>51</v>
      </c>
      <c r="F177" s="96" t="s">
        <v>120</v>
      </c>
      <c r="G177" s="93" t="s">
        <v>3345</v>
      </c>
      <c r="H177" s="97">
        <v>2024</v>
      </c>
      <c r="I177" s="188"/>
      <c r="J177" s="185"/>
    </row>
    <row r="178" spans="1:10" ht="15" x14ac:dyDescent="0.2">
      <c r="A178" s="96" t="s">
        <v>29</v>
      </c>
      <c r="B178" s="93" t="s">
        <v>29</v>
      </c>
      <c r="C178" s="93" t="s">
        <v>30</v>
      </c>
      <c r="D178" s="93" t="s">
        <v>3099</v>
      </c>
      <c r="E178" s="96" t="s">
        <v>220</v>
      </c>
      <c r="F178" s="74" t="s">
        <v>218</v>
      </c>
      <c r="G178" s="93" t="s">
        <v>3099</v>
      </c>
      <c r="H178" s="97">
        <v>2024</v>
      </c>
      <c r="I178" s="188"/>
      <c r="J178" s="185"/>
    </row>
    <row r="179" spans="1:10" ht="75" x14ac:dyDescent="0.2">
      <c r="A179" s="96" t="s">
        <v>3346</v>
      </c>
      <c r="B179" s="93">
        <v>16990681</v>
      </c>
      <c r="C179" s="71" t="s">
        <v>30</v>
      </c>
      <c r="D179" s="93" t="s">
        <v>3213</v>
      </c>
      <c r="E179" s="96" t="s">
        <v>37</v>
      </c>
      <c r="F179" s="96" t="s">
        <v>3347</v>
      </c>
      <c r="G179" s="90" t="s">
        <v>3348</v>
      </c>
      <c r="H179" s="97">
        <v>2024</v>
      </c>
      <c r="I179" s="188"/>
      <c r="J179" s="185"/>
    </row>
    <row r="180" spans="1:10" ht="120" x14ac:dyDescent="0.2">
      <c r="A180" s="96" t="s">
        <v>29</v>
      </c>
      <c r="B180" s="93">
        <v>13370610</v>
      </c>
      <c r="C180" s="71">
        <v>16592602051215</v>
      </c>
      <c r="D180" s="93" t="s">
        <v>459</v>
      </c>
      <c r="E180" s="96" t="s">
        <v>37</v>
      </c>
      <c r="F180" s="96" t="s">
        <v>435</v>
      </c>
      <c r="G180" s="93" t="s">
        <v>3349</v>
      </c>
      <c r="H180" s="97">
        <v>2024</v>
      </c>
      <c r="I180" s="188"/>
      <c r="J180" s="185"/>
    </row>
    <row r="181" spans="1:10" ht="45" x14ac:dyDescent="0.2">
      <c r="A181" s="96" t="s">
        <v>3350</v>
      </c>
      <c r="B181" s="93">
        <v>18124767</v>
      </c>
      <c r="C181" s="71" t="s">
        <v>30</v>
      </c>
      <c r="D181" s="93" t="s">
        <v>459</v>
      </c>
      <c r="E181" s="96" t="s">
        <v>51</v>
      </c>
      <c r="F181" s="96" t="s">
        <v>917</v>
      </c>
      <c r="G181" s="93" t="s">
        <v>3351</v>
      </c>
      <c r="H181" s="97">
        <v>2024</v>
      </c>
      <c r="I181" s="188"/>
      <c r="J181" s="185"/>
    </row>
    <row r="182" spans="1:10" ht="120" x14ac:dyDescent="0.2">
      <c r="A182" s="96" t="s">
        <v>3352</v>
      </c>
      <c r="B182" s="93" t="s">
        <v>29</v>
      </c>
      <c r="C182" s="71" t="s">
        <v>30</v>
      </c>
      <c r="D182" s="93" t="s">
        <v>459</v>
      </c>
      <c r="E182" s="96" t="s">
        <v>51</v>
      </c>
      <c r="F182" s="96" t="s">
        <v>120</v>
      </c>
      <c r="G182" s="93" t="s">
        <v>3353</v>
      </c>
      <c r="H182" s="97">
        <v>2024</v>
      </c>
      <c r="I182" s="188"/>
      <c r="J182" s="185"/>
    </row>
    <row r="183" spans="1:10" ht="45" x14ac:dyDescent="0.2">
      <c r="A183" s="96" t="s">
        <v>3354</v>
      </c>
      <c r="B183" s="93" t="s">
        <v>29</v>
      </c>
      <c r="C183" s="71" t="s">
        <v>30</v>
      </c>
      <c r="D183" s="93" t="s">
        <v>459</v>
      </c>
      <c r="E183" s="96" t="s">
        <v>51</v>
      </c>
      <c r="F183" s="96" t="s">
        <v>173</v>
      </c>
      <c r="G183" s="93" t="s">
        <v>3355</v>
      </c>
      <c r="H183" s="97">
        <v>2024</v>
      </c>
      <c r="I183" s="188"/>
      <c r="J183" s="185"/>
    </row>
    <row r="184" spans="1:10" ht="60" x14ac:dyDescent="0.2">
      <c r="A184" s="96" t="s">
        <v>3356</v>
      </c>
      <c r="B184" s="93" t="s">
        <v>29</v>
      </c>
      <c r="C184" s="71" t="s">
        <v>30</v>
      </c>
      <c r="D184" s="93" t="s">
        <v>459</v>
      </c>
      <c r="E184" s="96" t="s">
        <v>51</v>
      </c>
      <c r="F184" s="96" t="s">
        <v>3042</v>
      </c>
      <c r="G184" s="93" t="s">
        <v>3357</v>
      </c>
      <c r="H184" s="97">
        <v>2024</v>
      </c>
      <c r="I184" s="188"/>
      <c r="J184" s="185"/>
    </row>
    <row r="185" spans="1:10" ht="45" x14ac:dyDescent="0.2">
      <c r="A185" s="96" t="s">
        <v>3358</v>
      </c>
      <c r="B185" s="93" t="s">
        <v>29</v>
      </c>
      <c r="C185" s="71" t="s">
        <v>30</v>
      </c>
      <c r="D185" s="93" t="s">
        <v>459</v>
      </c>
      <c r="E185" s="96" t="s">
        <v>51</v>
      </c>
      <c r="F185" s="96" t="s">
        <v>3042</v>
      </c>
      <c r="G185" s="93" t="s">
        <v>3359</v>
      </c>
      <c r="H185" s="97">
        <v>2024</v>
      </c>
      <c r="I185" s="188"/>
      <c r="J185" s="185"/>
    </row>
    <row r="186" spans="1:10" ht="45" x14ac:dyDescent="0.2">
      <c r="A186" s="96" t="s">
        <v>3360</v>
      </c>
      <c r="B186" s="93">
        <v>14000335</v>
      </c>
      <c r="C186" s="71">
        <v>19595402051212</v>
      </c>
      <c r="D186" s="93" t="s">
        <v>459</v>
      </c>
      <c r="E186" s="96" t="s">
        <v>54</v>
      </c>
      <c r="F186" s="96" t="s">
        <v>88</v>
      </c>
      <c r="G186" s="93" t="s">
        <v>3361</v>
      </c>
      <c r="H186" s="97">
        <v>2024</v>
      </c>
      <c r="I186" s="188"/>
      <c r="J186" s="185"/>
    </row>
    <row r="187" spans="1:10" ht="90" x14ac:dyDescent="0.2">
      <c r="A187" s="96" t="s">
        <v>3362</v>
      </c>
      <c r="B187" s="93" t="s">
        <v>29</v>
      </c>
      <c r="C187" s="71" t="s">
        <v>30</v>
      </c>
      <c r="D187" s="93" t="s">
        <v>459</v>
      </c>
      <c r="E187" s="96" t="s">
        <v>54</v>
      </c>
      <c r="F187" s="96" t="s">
        <v>227</v>
      </c>
      <c r="G187" s="93" t="s">
        <v>3363</v>
      </c>
      <c r="H187" s="97">
        <v>2024</v>
      </c>
      <c r="I187" s="188"/>
      <c r="J187" s="185"/>
    </row>
    <row r="188" spans="1:10" ht="90" x14ac:dyDescent="0.2">
      <c r="A188" s="96" t="s">
        <v>3364</v>
      </c>
      <c r="B188" s="93" t="s">
        <v>29</v>
      </c>
      <c r="C188" s="71" t="s">
        <v>30</v>
      </c>
      <c r="D188" s="93" t="s">
        <v>459</v>
      </c>
      <c r="E188" s="96" t="s">
        <v>54</v>
      </c>
      <c r="F188" s="96" t="s">
        <v>227</v>
      </c>
      <c r="G188" s="93" t="s">
        <v>3365</v>
      </c>
      <c r="H188" s="97">
        <v>2024</v>
      </c>
      <c r="I188" s="188"/>
      <c r="J188" s="185"/>
    </row>
    <row r="189" spans="1:10" ht="60" x14ac:dyDescent="0.2">
      <c r="A189" s="96" t="s">
        <v>3366</v>
      </c>
      <c r="B189" s="93" t="s">
        <v>29</v>
      </c>
      <c r="C189" s="71" t="s">
        <v>30</v>
      </c>
      <c r="D189" s="93" t="s">
        <v>459</v>
      </c>
      <c r="E189" s="96" t="s">
        <v>54</v>
      </c>
      <c r="F189" s="96" t="s">
        <v>81</v>
      </c>
      <c r="G189" s="93" t="s">
        <v>3367</v>
      </c>
      <c r="H189" s="97">
        <v>2024</v>
      </c>
      <c r="I189" s="188"/>
      <c r="J189" s="185"/>
    </row>
    <row r="190" spans="1:10" ht="60" x14ac:dyDescent="0.2">
      <c r="A190" s="96" t="s">
        <v>3368</v>
      </c>
      <c r="B190" s="93" t="s">
        <v>29</v>
      </c>
      <c r="C190" s="71" t="s">
        <v>30</v>
      </c>
      <c r="D190" s="93" t="s">
        <v>459</v>
      </c>
      <c r="E190" s="96" t="s">
        <v>54</v>
      </c>
      <c r="F190" s="96" t="s">
        <v>67</v>
      </c>
      <c r="G190" s="93" t="s">
        <v>3369</v>
      </c>
      <c r="H190" s="97">
        <v>2024</v>
      </c>
      <c r="I190" s="188"/>
      <c r="J190" s="185"/>
    </row>
    <row r="191" spans="1:10" ht="75" x14ac:dyDescent="0.2">
      <c r="A191" s="96" t="s">
        <v>3370</v>
      </c>
      <c r="B191" s="93" t="s">
        <v>29</v>
      </c>
      <c r="C191" s="71" t="s">
        <v>30</v>
      </c>
      <c r="D191" s="93" t="s">
        <v>459</v>
      </c>
      <c r="E191" s="96" t="s">
        <v>54</v>
      </c>
      <c r="F191" s="96" t="s">
        <v>98</v>
      </c>
      <c r="G191" s="93" t="s">
        <v>3371</v>
      </c>
      <c r="H191" s="97">
        <v>2024</v>
      </c>
      <c r="I191" s="188"/>
      <c r="J191" s="185"/>
    </row>
    <row r="192" spans="1:10" ht="60" x14ac:dyDescent="0.2">
      <c r="A192" s="96" t="s">
        <v>3372</v>
      </c>
      <c r="B192" s="93" t="s">
        <v>29</v>
      </c>
      <c r="C192" s="71" t="s">
        <v>30</v>
      </c>
      <c r="D192" s="93" t="s">
        <v>459</v>
      </c>
      <c r="E192" s="96" t="s">
        <v>54</v>
      </c>
      <c r="F192" s="96" t="s">
        <v>211</v>
      </c>
      <c r="G192" s="93" t="s">
        <v>3373</v>
      </c>
      <c r="H192" s="97">
        <v>2024</v>
      </c>
      <c r="I192" s="188"/>
      <c r="J192" s="185"/>
    </row>
    <row r="193" spans="1:10" ht="60" x14ac:dyDescent="0.2">
      <c r="A193" s="96" t="s">
        <v>3374</v>
      </c>
      <c r="B193" s="93" t="s">
        <v>29</v>
      </c>
      <c r="C193" s="71" t="s">
        <v>30</v>
      </c>
      <c r="D193" s="93" t="s">
        <v>459</v>
      </c>
      <c r="E193" s="96" t="s">
        <v>54</v>
      </c>
      <c r="F193" s="96" t="s">
        <v>200</v>
      </c>
      <c r="G193" s="93" t="s">
        <v>3375</v>
      </c>
      <c r="H193" s="97">
        <v>2024</v>
      </c>
      <c r="I193" s="188"/>
      <c r="J193" s="185"/>
    </row>
    <row r="194" spans="1:10" ht="60" x14ac:dyDescent="0.2">
      <c r="A194" s="96" t="s">
        <v>3376</v>
      </c>
      <c r="B194" s="93" t="s">
        <v>29</v>
      </c>
      <c r="C194" s="71" t="s">
        <v>30</v>
      </c>
      <c r="D194" s="93" t="s">
        <v>459</v>
      </c>
      <c r="E194" s="96" t="s">
        <v>54</v>
      </c>
      <c r="F194" s="96" t="s">
        <v>3377</v>
      </c>
      <c r="G194" s="93" t="s">
        <v>3378</v>
      </c>
      <c r="H194" s="97">
        <v>2024</v>
      </c>
      <c r="I194" s="188"/>
      <c r="J194" s="185"/>
    </row>
    <row r="195" spans="1:10" ht="60" x14ac:dyDescent="0.2">
      <c r="A195" s="96" t="s">
        <v>3379</v>
      </c>
      <c r="B195" s="93" t="s">
        <v>29</v>
      </c>
      <c r="C195" s="71" t="s">
        <v>30</v>
      </c>
      <c r="D195" s="93" t="s">
        <v>459</v>
      </c>
      <c r="E195" s="96" t="s">
        <v>54</v>
      </c>
      <c r="F195" s="96" t="s">
        <v>67</v>
      </c>
      <c r="G195" s="93" t="s">
        <v>3380</v>
      </c>
      <c r="H195" s="97">
        <v>2024</v>
      </c>
      <c r="I195" s="188"/>
      <c r="J195" s="185"/>
    </row>
    <row r="196" spans="1:10" ht="45" x14ac:dyDescent="0.2">
      <c r="A196" s="96" t="s">
        <v>3381</v>
      </c>
      <c r="B196" s="93" t="s">
        <v>29</v>
      </c>
      <c r="C196" s="71" t="s">
        <v>30</v>
      </c>
      <c r="D196" s="93" t="s">
        <v>459</v>
      </c>
      <c r="E196" s="96" t="s">
        <v>54</v>
      </c>
      <c r="F196" s="96" t="s">
        <v>296</v>
      </c>
      <c r="G196" s="93" t="s">
        <v>3382</v>
      </c>
      <c r="H196" s="97">
        <v>2024</v>
      </c>
      <c r="I196" s="188"/>
      <c r="J196" s="185"/>
    </row>
    <row r="197" spans="1:10" ht="210" x14ac:dyDescent="0.2">
      <c r="A197" s="96" t="s">
        <v>3383</v>
      </c>
      <c r="B197" s="93" t="s">
        <v>29</v>
      </c>
      <c r="C197" s="71" t="s">
        <v>30</v>
      </c>
      <c r="D197" s="93" t="s">
        <v>459</v>
      </c>
      <c r="E197" s="96" t="s">
        <v>37</v>
      </c>
      <c r="F197" s="96" t="s">
        <v>141</v>
      </c>
      <c r="G197" s="93" t="s">
        <v>3384</v>
      </c>
      <c r="H197" s="97">
        <v>2024</v>
      </c>
      <c r="I197" s="188"/>
      <c r="J197" s="185"/>
    </row>
    <row r="198" spans="1:10" ht="60" x14ac:dyDescent="0.2">
      <c r="A198" s="96" t="s">
        <v>3385</v>
      </c>
      <c r="B198" s="93" t="s">
        <v>29</v>
      </c>
      <c r="C198" s="71" t="s">
        <v>30</v>
      </c>
      <c r="D198" s="93" t="s">
        <v>3148</v>
      </c>
      <c r="E198" s="96" t="s">
        <v>54</v>
      </c>
      <c r="F198" s="96" t="s">
        <v>165</v>
      </c>
      <c r="G198" s="93" t="s">
        <v>3386</v>
      </c>
      <c r="H198" s="97">
        <v>2024</v>
      </c>
      <c r="I198" s="188"/>
      <c r="J198" s="185"/>
    </row>
    <row r="199" spans="1:10" ht="30" x14ac:dyDescent="0.2">
      <c r="A199" s="96" t="s">
        <v>3387</v>
      </c>
      <c r="B199" s="93" t="s">
        <v>29</v>
      </c>
      <c r="C199" s="71" t="s">
        <v>30</v>
      </c>
      <c r="D199" s="93" t="s">
        <v>3148</v>
      </c>
      <c r="E199" s="96" t="s">
        <v>54</v>
      </c>
      <c r="F199" s="96" t="s">
        <v>55</v>
      </c>
      <c r="G199" s="93" t="s">
        <v>3310</v>
      </c>
      <c r="H199" s="97">
        <v>2024</v>
      </c>
      <c r="I199" s="188"/>
      <c r="J199" s="185"/>
    </row>
    <row r="200" spans="1:10" ht="30" x14ac:dyDescent="0.2">
      <c r="A200" s="96" t="s">
        <v>3388</v>
      </c>
      <c r="B200" s="93" t="s">
        <v>29</v>
      </c>
      <c r="C200" s="71" t="s">
        <v>30</v>
      </c>
      <c r="D200" s="93" t="s">
        <v>3148</v>
      </c>
      <c r="E200" s="96" t="s">
        <v>54</v>
      </c>
      <c r="F200" s="96" t="s">
        <v>55</v>
      </c>
      <c r="G200" s="93" t="s">
        <v>3389</v>
      </c>
      <c r="H200" s="97">
        <v>2024</v>
      </c>
      <c r="I200" s="188"/>
      <c r="J200" s="185"/>
    </row>
    <row r="201" spans="1:10" ht="30" x14ac:dyDescent="0.2">
      <c r="A201" s="96" t="s">
        <v>3390</v>
      </c>
      <c r="B201" s="93" t="s">
        <v>29</v>
      </c>
      <c r="C201" s="71" t="s">
        <v>30</v>
      </c>
      <c r="D201" s="93" t="s">
        <v>3148</v>
      </c>
      <c r="E201" s="96" t="s">
        <v>37</v>
      </c>
      <c r="F201" s="96" t="s">
        <v>1846</v>
      </c>
      <c r="G201" s="93" t="s">
        <v>3391</v>
      </c>
      <c r="H201" s="97">
        <v>2024</v>
      </c>
      <c r="I201" s="188"/>
      <c r="J201" s="185"/>
    </row>
    <row r="202" spans="1:10" ht="30" x14ac:dyDescent="0.2">
      <c r="A202" s="96" t="s">
        <v>3392</v>
      </c>
      <c r="B202" s="93" t="s">
        <v>29</v>
      </c>
      <c r="C202" s="71" t="s">
        <v>30</v>
      </c>
      <c r="D202" s="93" t="s">
        <v>3148</v>
      </c>
      <c r="E202" s="96" t="s">
        <v>37</v>
      </c>
      <c r="F202" s="96" t="s">
        <v>1846</v>
      </c>
      <c r="G202" s="93" t="s">
        <v>3393</v>
      </c>
      <c r="H202" s="97">
        <v>2024</v>
      </c>
      <c r="I202" s="188"/>
      <c r="J202" s="185"/>
    </row>
    <row r="203" spans="1:10" ht="45" x14ac:dyDescent="0.2">
      <c r="A203" s="96" t="s">
        <v>3394</v>
      </c>
      <c r="B203" s="93" t="s">
        <v>29</v>
      </c>
      <c r="C203" s="71" t="s">
        <v>30</v>
      </c>
      <c r="D203" s="93" t="s">
        <v>3148</v>
      </c>
      <c r="E203" s="96" t="s">
        <v>37</v>
      </c>
      <c r="F203" s="96" t="s">
        <v>148</v>
      </c>
      <c r="G203" s="93" t="s">
        <v>3395</v>
      </c>
      <c r="H203" s="97">
        <v>2024</v>
      </c>
      <c r="I203" s="188"/>
      <c r="J203" s="185"/>
    </row>
    <row r="204" spans="1:10" ht="60" x14ac:dyDescent="0.2">
      <c r="A204" s="96" t="s">
        <v>3396</v>
      </c>
      <c r="B204" s="93" t="s">
        <v>29</v>
      </c>
      <c r="C204" s="71" t="s">
        <v>30</v>
      </c>
      <c r="D204" s="93" t="s">
        <v>3397</v>
      </c>
      <c r="E204" s="96" t="s">
        <v>54</v>
      </c>
      <c r="F204" s="96" t="s">
        <v>67</v>
      </c>
      <c r="G204" s="93" t="s">
        <v>3398</v>
      </c>
      <c r="H204" s="97">
        <v>2024</v>
      </c>
      <c r="I204" s="188"/>
      <c r="J204" s="185"/>
    </row>
    <row r="205" spans="1:10" ht="15" x14ac:dyDescent="0.2">
      <c r="A205" s="96" t="s">
        <v>29</v>
      </c>
      <c r="B205" s="93" t="s">
        <v>29</v>
      </c>
      <c r="C205" s="93" t="s">
        <v>30</v>
      </c>
      <c r="D205" s="93" t="s">
        <v>3162</v>
      </c>
      <c r="E205" s="96" t="s">
        <v>220</v>
      </c>
      <c r="F205" s="74" t="s">
        <v>218</v>
      </c>
      <c r="G205" s="93" t="s">
        <v>3162</v>
      </c>
      <c r="H205" s="97">
        <v>2024</v>
      </c>
      <c r="I205" s="188"/>
      <c r="J205" s="185"/>
    </row>
    <row r="206" spans="1:10" ht="75" x14ac:dyDescent="0.2">
      <c r="A206" s="96" t="s">
        <v>29</v>
      </c>
      <c r="B206" s="93">
        <v>18540685</v>
      </c>
      <c r="C206" s="71" t="s">
        <v>3399</v>
      </c>
      <c r="D206" s="93" t="s">
        <v>2991</v>
      </c>
      <c r="E206" s="96" t="s">
        <v>54</v>
      </c>
      <c r="F206" s="96" t="s">
        <v>67</v>
      </c>
      <c r="G206" s="93" t="s">
        <v>3400</v>
      </c>
      <c r="H206" s="97">
        <v>2025</v>
      </c>
      <c r="I206" s="188"/>
      <c r="J206" s="185"/>
    </row>
    <row r="207" spans="1:10" ht="75" x14ac:dyDescent="0.2">
      <c r="A207" s="96" t="s">
        <v>29</v>
      </c>
      <c r="B207" s="93">
        <v>18565142</v>
      </c>
      <c r="C207" s="71" t="s">
        <v>3401</v>
      </c>
      <c r="D207" s="93" t="s">
        <v>2991</v>
      </c>
      <c r="E207" s="96" t="s">
        <v>51</v>
      </c>
      <c r="F207" s="96" t="s">
        <v>74</v>
      </c>
      <c r="G207" s="93" t="s">
        <v>3402</v>
      </c>
      <c r="H207" s="97">
        <v>2025</v>
      </c>
      <c r="I207" s="188"/>
      <c r="J207" s="185"/>
    </row>
    <row r="208" spans="1:10" ht="75" x14ac:dyDescent="0.2">
      <c r="A208" s="96" t="s">
        <v>29</v>
      </c>
      <c r="B208" s="93">
        <v>18565190</v>
      </c>
      <c r="C208" s="71" t="s">
        <v>3403</v>
      </c>
      <c r="D208" s="93" t="s">
        <v>2991</v>
      </c>
      <c r="E208" s="96" t="s">
        <v>51</v>
      </c>
      <c r="F208" s="96" t="s">
        <v>74</v>
      </c>
      <c r="G208" s="93" t="s">
        <v>3404</v>
      </c>
      <c r="H208" s="97">
        <v>2025</v>
      </c>
      <c r="I208" s="188"/>
      <c r="J208" s="185"/>
    </row>
    <row r="209" spans="1:10" ht="30" x14ac:dyDescent="0.2">
      <c r="A209" s="96" t="s">
        <v>29</v>
      </c>
      <c r="B209" s="93">
        <v>18775562</v>
      </c>
      <c r="C209" s="71" t="s">
        <v>3405</v>
      </c>
      <c r="D209" s="93" t="s">
        <v>2991</v>
      </c>
      <c r="E209" s="96" t="s">
        <v>37</v>
      </c>
      <c r="F209" s="96" t="s">
        <v>148</v>
      </c>
      <c r="G209" s="93" t="s">
        <v>3406</v>
      </c>
      <c r="H209" s="97">
        <v>2025</v>
      </c>
      <c r="I209" s="188"/>
      <c r="J209" s="185"/>
    </row>
    <row r="210" spans="1:10" ht="30" x14ac:dyDescent="0.2">
      <c r="A210" s="96" t="s">
        <v>29</v>
      </c>
      <c r="B210" s="93">
        <v>18775610</v>
      </c>
      <c r="C210" s="71" t="s">
        <v>3407</v>
      </c>
      <c r="D210" s="93" t="s">
        <v>2991</v>
      </c>
      <c r="E210" s="96" t="s">
        <v>37</v>
      </c>
      <c r="F210" s="96" t="s">
        <v>3408</v>
      </c>
      <c r="G210" s="93" t="s">
        <v>3409</v>
      </c>
      <c r="H210" s="97">
        <v>2025</v>
      </c>
      <c r="I210" s="188"/>
      <c r="J210" s="185"/>
    </row>
    <row r="211" spans="1:10" ht="75" x14ac:dyDescent="0.2">
      <c r="A211" s="96" t="s">
        <v>29</v>
      </c>
      <c r="B211" s="93">
        <v>15634137</v>
      </c>
      <c r="C211" s="71" t="s">
        <v>3410</v>
      </c>
      <c r="D211" s="93" t="s">
        <v>2991</v>
      </c>
      <c r="E211" s="96" t="s">
        <v>37</v>
      </c>
      <c r="F211" s="96" t="s">
        <v>471</v>
      </c>
      <c r="G211" s="93" t="s">
        <v>3411</v>
      </c>
      <c r="H211" s="97">
        <v>2025</v>
      </c>
      <c r="I211" s="188"/>
      <c r="J211" s="185"/>
    </row>
    <row r="212" spans="1:10" ht="75" x14ac:dyDescent="0.2">
      <c r="A212" s="96" t="s">
        <v>3412</v>
      </c>
      <c r="B212" s="93" t="s">
        <v>29</v>
      </c>
      <c r="C212" s="71" t="s">
        <v>30</v>
      </c>
      <c r="D212" s="93" t="s">
        <v>2991</v>
      </c>
      <c r="E212" s="96" t="s">
        <v>37</v>
      </c>
      <c r="F212" s="96" t="s">
        <v>123</v>
      </c>
      <c r="G212" s="93" t="s">
        <v>3413</v>
      </c>
      <c r="H212" s="97">
        <v>2025</v>
      </c>
      <c r="I212" s="188"/>
      <c r="J212" s="185"/>
    </row>
    <row r="213" spans="1:10" ht="15" x14ac:dyDescent="0.2">
      <c r="A213" s="96" t="s">
        <v>29</v>
      </c>
      <c r="B213" s="93" t="s">
        <v>29</v>
      </c>
      <c r="C213" s="93" t="s">
        <v>30</v>
      </c>
      <c r="D213" s="93" t="s">
        <v>3099</v>
      </c>
      <c r="E213" s="96" t="s">
        <v>220</v>
      </c>
      <c r="F213" s="74" t="s">
        <v>218</v>
      </c>
      <c r="G213" s="93" t="s">
        <v>3099</v>
      </c>
      <c r="H213" s="97">
        <v>2025</v>
      </c>
      <c r="I213" s="188"/>
      <c r="J213" s="185"/>
    </row>
    <row r="214" spans="1:10" ht="30" x14ac:dyDescent="0.2">
      <c r="A214" s="96" t="s">
        <v>3414</v>
      </c>
      <c r="B214" s="93" t="s">
        <v>29</v>
      </c>
      <c r="C214" s="71" t="s">
        <v>30</v>
      </c>
      <c r="D214" s="93" t="s">
        <v>3213</v>
      </c>
      <c r="E214" s="96" t="s">
        <v>37</v>
      </c>
      <c r="F214" s="96" t="s">
        <v>603</v>
      </c>
      <c r="G214" s="93" t="s">
        <v>3415</v>
      </c>
      <c r="H214" s="97">
        <v>2025</v>
      </c>
      <c r="I214" s="188"/>
      <c r="J214" s="185"/>
    </row>
    <row r="215" spans="1:10" ht="90" x14ac:dyDescent="0.2">
      <c r="A215" s="96" t="s">
        <v>3416</v>
      </c>
      <c r="B215" s="93" t="s">
        <v>3416</v>
      </c>
      <c r="C215" s="71" t="s">
        <v>30</v>
      </c>
      <c r="D215" s="93" t="s">
        <v>3213</v>
      </c>
      <c r="E215" s="96" t="s">
        <v>37</v>
      </c>
      <c r="F215" s="96" t="s">
        <v>141</v>
      </c>
      <c r="G215" s="93" t="s">
        <v>3417</v>
      </c>
      <c r="H215" s="97">
        <v>2025</v>
      </c>
      <c r="I215" s="188"/>
      <c r="J215" s="185"/>
    </row>
    <row r="216" spans="1:10" ht="90" x14ac:dyDescent="0.2">
      <c r="A216" s="96" t="s">
        <v>3418</v>
      </c>
      <c r="B216" s="93" t="s">
        <v>29</v>
      </c>
      <c r="C216" s="71" t="s">
        <v>30</v>
      </c>
      <c r="D216" s="93" t="s">
        <v>459</v>
      </c>
      <c r="E216" s="96" t="s">
        <v>51</v>
      </c>
      <c r="F216" s="96" t="s">
        <v>738</v>
      </c>
      <c r="G216" s="93" t="s">
        <v>3419</v>
      </c>
      <c r="H216" s="97">
        <v>2025</v>
      </c>
      <c r="I216" s="188"/>
      <c r="J216" s="185"/>
    </row>
    <row r="217" spans="1:10" ht="60" x14ac:dyDescent="0.2">
      <c r="A217" s="96" t="s">
        <v>3420</v>
      </c>
      <c r="B217" s="93" t="s">
        <v>29</v>
      </c>
      <c r="C217" s="71" t="s">
        <v>30</v>
      </c>
      <c r="D217" s="93" t="s">
        <v>459</v>
      </c>
      <c r="E217" s="96" t="s">
        <v>51</v>
      </c>
      <c r="F217" s="96" t="s">
        <v>103</v>
      </c>
      <c r="G217" s="93" t="s">
        <v>3421</v>
      </c>
      <c r="H217" s="97">
        <v>2025</v>
      </c>
      <c r="I217" s="188"/>
      <c r="J217" s="185"/>
    </row>
    <row r="218" spans="1:10" ht="60" x14ac:dyDescent="0.2">
      <c r="A218" s="96" t="s">
        <v>3422</v>
      </c>
      <c r="B218" s="93" t="s">
        <v>29</v>
      </c>
      <c r="C218" s="71" t="s">
        <v>30</v>
      </c>
      <c r="D218" s="93" t="s">
        <v>459</v>
      </c>
      <c r="E218" s="96" t="s">
        <v>51</v>
      </c>
      <c r="F218" s="96" t="s">
        <v>178</v>
      </c>
      <c r="G218" s="93" t="s">
        <v>3423</v>
      </c>
      <c r="H218" s="97">
        <v>2025</v>
      </c>
      <c r="I218" s="188"/>
      <c r="J218" s="185"/>
    </row>
    <row r="219" spans="1:10" ht="60" x14ac:dyDescent="0.2">
      <c r="A219" s="96" t="s">
        <v>3424</v>
      </c>
      <c r="B219" s="93" t="s">
        <v>29</v>
      </c>
      <c r="C219" s="71" t="s">
        <v>30</v>
      </c>
      <c r="D219" s="93" t="s">
        <v>459</v>
      </c>
      <c r="E219" s="96" t="s">
        <v>51</v>
      </c>
      <c r="F219" s="96" t="s">
        <v>103</v>
      </c>
      <c r="G219" s="93" t="s">
        <v>3425</v>
      </c>
      <c r="H219" s="97">
        <v>2025</v>
      </c>
      <c r="I219" s="188"/>
      <c r="J219" s="185"/>
    </row>
    <row r="220" spans="1:10" ht="75" x14ac:dyDescent="0.2">
      <c r="A220" s="96" t="s">
        <v>3426</v>
      </c>
      <c r="B220" s="93" t="s">
        <v>29</v>
      </c>
      <c r="C220" s="71" t="s">
        <v>30</v>
      </c>
      <c r="D220" s="93" t="s">
        <v>459</v>
      </c>
      <c r="E220" s="96" t="s">
        <v>51</v>
      </c>
      <c r="F220" s="96" t="s">
        <v>3427</v>
      </c>
      <c r="G220" s="93" t="s">
        <v>3428</v>
      </c>
      <c r="H220" s="97">
        <v>2025</v>
      </c>
      <c r="I220" s="188"/>
      <c r="J220" s="185"/>
    </row>
    <row r="221" spans="1:10" ht="45" x14ac:dyDescent="0.2">
      <c r="A221" s="96" t="s">
        <v>3429</v>
      </c>
      <c r="B221" s="93" t="s">
        <v>29</v>
      </c>
      <c r="C221" s="71" t="s">
        <v>30</v>
      </c>
      <c r="D221" s="93" t="s">
        <v>459</v>
      </c>
      <c r="E221" s="96" t="s">
        <v>54</v>
      </c>
      <c r="F221" s="96" t="s">
        <v>67</v>
      </c>
      <c r="G221" s="93" t="s">
        <v>3430</v>
      </c>
      <c r="H221" s="97">
        <v>2025</v>
      </c>
      <c r="I221" s="188"/>
      <c r="J221" s="185"/>
    </row>
    <row r="222" spans="1:10" ht="60" x14ac:dyDescent="0.2">
      <c r="A222" s="96" t="s">
        <v>3431</v>
      </c>
      <c r="B222" s="93" t="s">
        <v>29</v>
      </c>
      <c r="C222" s="71" t="s">
        <v>30</v>
      </c>
      <c r="D222" s="93" t="s">
        <v>459</v>
      </c>
      <c r="E222" s="96" t="s">
        <v>54</v>
      </c>
      <c r="F222" s="96" t="s">
        <v>64</v>
      </c>
      <c r="G222" s="93" t="s">
        <v>3432</v>
      </c>
      <c r="H222" s="97">
        <v>2025</v>
      </c>
      <c r="I222" s="188"/>
      <c r="J222" s="185"/>
    </row>
    <row r="223" spans="1:10" ht="45" x14ac:dyDescent="0.2">
      <c r="A223" s="96" t="s">
        <v>3433</v>
      </c>
      <c r="B223" s="93" t="s">
        <v>29</v>
      </c>
      <c r="C223" s="71" t="s">
        <v>30</v>
      </c>
      <c r="D223" s="93" t="s">
        <v>459</v>
      </c>
      <c r="E223" s="96" t="s">
        <v>54</v>
      </c>
      <c r="F223" s="96" t="s">
        <v>67</v>
      </c>
      <c r="G223" s="93" t="s">
        <v>3434</v>
      </c>
      <c r="H223" s="97">
        <v>2025</v>
      </c>
      <c r="I223" s="188"/>
      <c r="J223" s="185"/>
    </row>
    <row r="224" spans="1:10" ht="45" x14ac:dyDescent="0.2">
      <c r="A224" s="96" t="s">
        <v>3435</v>
      </c>
      <c r="B224" s="93" t="s">
        <v>29</v>
      </c>
      <c r="C224" s="71" t="s">
        <v>30</v>
      </c>
      <c r="D224" s="93" t="s">
        <v>459</v>
      </c>
      <c r="E224" s="96" t="s">
        <v>54</v>
      </c>
      <c r="F224" s="96" t="s">
        <v>67</v>
      </c>
      <c r="G224" s="93" t="s">
        <v>3436</v>
      </c>
      <c r="H224" s="97">
        <v>2025</v>
      </c>
      <c r="I224" s="188"/>
      <c r="J224" s="185"/>
    </row>
    <row r="225" spans="1:10" ht="60" x14ac:dyDescent="0.2">
      <c r="A225" s="96" t="s">
        <v>3437</v>
      </c>
      <c r="B225" s="93" t="s">
        <v>29</v>
      </c>
      <c r="C225" s="71" t="s">
        <v>30</v>
      </c>
      <c r="D225" s="93" t="s">
        <v>459</v>
      </c>
      <c r="E225" s="96" t="s">
        <v>54</v>
      </c>
      <c r="F225" s="96" t="s">
        <v>67</v>
      </c>
      <c r="G225" s="93" t="s">
        <v>3438</v>
      </c>
      <c r="H225" s="97">
        <v>2025</v>
      </c>
      <c r="I225" s="188"/>
      <c r="J225" s="185"/>
    </row>
    <row r="226" spans="1:10" ht="45" x14ac:dyDescent="0.2">
      <c r="A226" s="96" t="s">
        <v>3439</v>
      </c>
      <c r="B226" s="93" t="s">
        <v>29</v>
      </c>
      <c r="C226" s="71" t="s">
        <v>30</v>
      </c>
      <c r="D226" s="93" t="s">
        <v>459</v>
      </c>
      <c r="E226" s="96" t="s">
        <v>54</v>
      </c>
      <c r="F226" s="96" t="s">
        <v>67</v>
      </c>
      <c r="G226" s="93" t="s">
        <v>3440</v>
      </c>
      <c r="H226" s="97">
        <v>2025</v>
      </c>
      <c r="I226" s="188"/>
      <c r="J226" s="185"/>
    </row>
    <row r="227" spans="1:10" ht="30" x14ac:dyDescent="0.2">
      <c r="A227" s="96" t="s">
        <v>3441</v>
      </c>
      <c r="B227" s="93" t="s">
        <v>29</v>
      </c>
      <c r="C227" s="71" t="s">
        <v>30</v>
      </c>
      <c r="D227" s="93" t="s">
        <v>459</v>
      </c>
      <c r="E227" s="96" t="s">
        <v>54</v>
      </c>
      <c r="F227" s="96" t="s">
        <v>200</v>
      </c>
      <c r="G227" s="93" t="s">
        <v>3442</v>
      </c>
      <c r="H227" s="97">
        <v>2025</v>
      </c>
      <c r="I227" s="188"/>
      <c r="J227" s="185"/>
    </row>
    <row r="228" spans="1:10" ht="45" x14ac:dyDescent="0.2">
      <c r="A228" s="96" t="s">
        <v>3443</v>
      </c>
      <c r="B228" s="93" t="s">
        <v>29</v>
      </c>
      <c r="C228" s="71" t="s">
        <v>30</v>
      </c>
      <c r="D228" s="93" t="s">
        <v>459</v>
      </c>
      <c r="E228" s="96" t="s">
        <v>54</v>
      </c>
      <c r="F228" s="96" t="s">
        <v>3444</v>
      </c>
      <c r="G228" s="93" t="s">
        <v>3445</v>
      </c>
      <c r="H228" s="97">
        <v>2025</v>
      </c>
      <c r="I228" s="188"/>
      <c r="J228" s="185"/>
    </row>
    <row r="229" spans="1:10" ht="30" x14ac:dyDescent="0.2">
      <c r="A229" s="96" t="s">
        <v>3446</v>
      </c>
      <c r="B229" s="93" t="s">
        <v>29</v>
      </c>
      <c r="C229" s="71" t="s">
        <v>30</v>
      </c>
      <c r="D229" s="93" t="s">
        <v>459</v>
      </c>
      <c r="E229" s="96" t="s">
        <v>54</v>
      </c>
      <c r="F229" s="96" t="s">
        <v>3447</v>
      </c>
      <c r="G229" s="93" t="s">
        <v>3448</v>
      </c>
      <c r="H229" s="97">
        <v>2025</v>
      </c>
      <c r="I229" s="188"/>
      <c r="J229" s="185"/>
    </row>
    <row r="230" spans="1:10" ht="60" x14ac:dyDescent="0.2">
      <c r="A230" s="96" t="s">
        <v>3449</v>
      </c>
      <c r="B230" s="93" t="s">
        <v>29</v>
      </c>
      <c r="C230" s="71" t="s">
        <v>30</v>
      </c>
      <c r="D230" s="93" t="s">
        <v>459</v>
      </c>
      <c r="E230" s="96" t="s">
        <v>54</v>
      </c>
      <c r="F230" s="96" t="s">
        <v>741</v>
      </c>
      <c r="G230" s="93" t="s">
        <v>3450</v>
      </c>
      <c r="H230" s="97">
        <v>2025</v>
      </c>
      <c r="I230" s="188"/>
      <c r="J230" s="185"/>
    </row>
    <row r="231" spans="1:10" ht="60" x14ac:dyDescent="0.2">
      <c r="A231" s="96" t="s">
        <v>3451</v>
      </c>
      <c r="B231" s="93" t="s">
        <v>29</v>
      </c>
      <c r="C231" s="71" t="s">
        <v>30</v>
      </c>
      <c r="D231" s="93" t="s">
        <v>459</v>
      </c>
      <c r="E231" s="96" t="s">
        <v>54</v>
      </c>
      <c r="F231" s="96" t="s">
        <v>227</v>
      </c>
      <c r="G231" s="93" t="s">
        <v>3452</v>
      </c>
      <c r="H231" s="97">
        <v>2025</v>
      </c>
      <c r="I231" s="188"/>
      <c r="J231" s="185"/>
    </row>
    <row r="232" spans="1:10" ht="60" x14ac:dyDescent="0.2">
      <c r="A232" s="96" t="s">
        <v>3453</v>
      </c>
      <c r="B232" s="93" t="s">
        <v>3454</v>
      </c>
      <c r="C232" s="71" t="s">
        <v>30</v>
      </c>
      <c r="D232" s="93" t="s">
        <v>459</v>
      </c>
      <c r="E232" s="96" t="s">
        <v>51</v>
      </c>
      <c r="F232" s="96" t="s">
        <v>178</v>
      </c>
      <c r="G232" s="93" t="s">
        <v>3455</v>
      </c>
      <c r="H232" s="97">
        <v>2025</v>
      </c>
      <c r="I232" s="188"/>
      <c r="J232" s="185"/>
    </row>
    <row r="233" spans="1:10" ht="90" x14ac:dyDescent="0.2">
      <c r="A233" s="96" t="s">
        <v>3456</v>
      </c>
      <c r="B233" s="93" t="s">
        <v>29</v>
      </c>
      <c r="C233" s="71" t="s">
        <v>30</v>
      </c>
      <c r="D233" s="93" t="s">
        <v>459</v>
      </c>
      <c r="E233" s="96" t="s">
        <v>37</v>
      </c>
      <c r="F233" s="96" t="s">
        <v>38</v>
      </c>
      <c r="G233" s="93" t="s">
        <v>3457</v>
      </c>
      <c r="H233" s="97">
        <v>2025</v>
      </c>
      <c r="I233" s="188"/>
      <c r="J233" s="185"/>
    </row>
    <row r="234" spans="1:10" ht="45" x14ac:dyDescent="0.2">
      <c r="A234" s="96" t="s">
        <v>3458</v>
      </c>
      <c r="B234" s="93" t="s">
        <v>29</v>
      </c>
      <c r="C234" s="71" t="s">
        <v>30</v>
      </c>
      <c r="D234" s="93" t="s">
        <v>459</v>
      </c>
      <c r="E234" s="96" t="s">
        <v>37</v>
      </c>
      <c r="F234" s="96" t="s">
        <v>38</v>
      </c>
      <c r="G234" s="93" t="s">
        <v>3459</v>
      </c>
      <c r="H234" s="97">
        <v>2025</v>
      </c>
      <c r="I234" s="188"/>
      <c r="J234" s="185"/>
    </row>
    <row r="235" spans="1:10" ht="45" x14ac:dyDescent="0.2">
      <c r="A235" s="96" t="s">
        <v>3460</v>
      </c>
      <c r="B235" s="93" t="s">
        <v>29</v>
      </c>
      <c r="C235" s="71" t="s">
        <v>30</v>
      </c>
      <c r="D235" s="93" t="s">
        <v>459</v>
      </c>
      <c r="E235" s="96" t="s">
        <v>37</v>
      </c>
      <c r="F235" s="96" t="s">
        <v>38</v>
      </c>
      <c r="G235" s="93" t="s">
        <v>3461</v>
      </c>
      <c r="H235" s="97">
        <v>2025</v>
      </c>
      <c r="I235" s="188"/>
      <c r="J235" s="185"/>
    </row>
    <row r="236" spans="1:10" ht="90" x14ac:dyDescent="0.2">
      <c r="A236" s="96" t="s">
        <v>3462</v>
      </c>
      <c r="B236" s="93" t="s">
        <v>29</v>
      </c>
      <c r="C236" s="71" t="s">
        <v>30</v>
      </c>
      <c r="D236" s="93" t="s">
        <v>459</v>
      </c>
      <c r="E236" s="96" t="s">
        <v>37</v>
      </c>
      <c r="F236" s="96" t="s">
        <v>285</v>
      </c>
      <c r="G236" s="93" t="s">
        <v>3463</v>
      </c>
      <c r="H236" s="97">
        <v>2025</v>
      </c>
      <c r="I236" s="188"/>
      <c r="J236" s="185"/>
    </row>
    <row r="237" spans="1:10" ht="45" x14ac:dyDescent="0.2">
      <c r="A237" s="96" t="s">
        <v>3464</v>
      </c>
      <c r="B237" s="93" t="s">
        <v>29</v>
      </c>
      <c r="C237" s="71" t="s">
        <v>30</v>
      </c>
      <c r="D237" s="93" t="s">
        <v>459</v>
      </c>
      <c r="E237" s="96" t="s">
        <v>37</v>
      </c>
      <c r="F237" s="96" t="s">
        <v>156</v>
      </c>
      <c r="G237" s="93" t="s">
        <v>3465</v>
      </c>
      <c r="H237" s="97">
        <v>2025</v>
      </c>
      <c r="I237" s="188"/>
      <c r="J237" s="185"/>
    </row>
    <row r="238" spans="1:10" ht="45" x14ac:dyDescent="0.2">
      <c r="A238" s="96" t="s">
        <v>3466</v>
      </c>
      <c r="B238" s="93" t="s">
        <v>29</v>
      </c>
      <c r="C238" s="71" t="s">
        <v>30</v>
      </c>
      <c r="D238" s="93" t="s">
        <v>459</v>
      </c>
      <c r="E238" s="96" t="s">
        <v>37</v>
      </c>
      <c r="F238" s="96" t="s">
        <v>156</v>
      </c>
      <c r="G238" s="93" t="s">
        <v>3467</v>
      </c>
      <c r="H238" s="97">
        <v>2025</v>
      </c>
      <c r="I238" s="188"/>
      <c r="J238" s="185"/>
    </row>
    <row r="239" spans="1:10" ht="60" x14ac:dyDescent="0.2">
      <c r="A239" s="96" t="s">
        <v>3468</v>
      </c>
      <c r="B239" s="93" t="s">
        <v>29</v>
      </c>
      <c r="C239" s="71" t="s">
        <v>30</v>
      </c>
      <c r="D239" s="93" t="s">
        <v>459</v>
      </c>
      <c r="E239" s="96" t="s">
        <v>37</v>
      </c>
      <c r="F239" s="96" t="s">
        <v>721</v>
      </c>
      <c r="G239" s="93" t="s">
        <v>3469</v>
      </c>
      <c r="H239" s="97">
        <v>2025</v>
      </c>
      <c r="I239" s="188"/>
      <c r="J239" s="185"/>
    </row>
    <row r="240" spans="1:10" ht="45" x14ac:dyDescent="0.2">
      <c r="A240" s="96" t="s">
        <v>3470</v>
      </c>
      <c r="B240" s="93" t="s">
        <v>29</v>
      </c>
      <c r="C240" s="71" t="s">
        <v>30</v>
      </c>
      <c r="D240" s="93" t="s">
        <v>459</v>
      </c>
      <c r="E240" s="96" t="s">
        <v>37</v>
      </c>
      <c r="F240" s="96" t="s">
        <v>435</v>
      </c>
      <c r="G240" s="93" t="s">
        <v>3471</v>
      </c>
      <c r="H240" s="97">
        <v>2025</v>
      </c>
      <c r="I240" s="188"/>
      <c r="J240" s="185"/>
    </row>
    <row r="241" spans="1:10" ht="75" x14ac:dyDescent="0.2">
      <c r="A241" s="96" t="s">
        <v>3472</v>
      </c>
      <c r="B241" s="93" t="s">
        <v>29</v>
      </c>
      <c r="C241" s="71" t="s">
        <v>30</v>
      </c>
      <c r="D241" s="93" t="s">
        <v>459</v>
      </c>
      <c r="E241" s="96" t="s">
        <v>37</v>
      </c>
      <c r="F241" s="96" t="s">
        <v>48</v>
      </c>
      <c r="G241" s="93" t="s">
        <v>3473</v>
      </c>
      <c r="H241" s="97">
        <v>2025</v>
      </c>
      <c r="I241" s="188"/>
      <c r="J241" s="185"/>
    </row>
    <row r="242" spans="1:10" ht="75" x14ac:dyDescent="0.2">
      <c r="A242" s="96" t="s">
        <v>3474</v>
      </c>
      <c r="B242" s="93" t="s">
        <v>29</v>
      </c>
      <c r="C242" s="71" t="s">
        <v>30</v>
      </c>
      <c r="D242" s="93" t="s">
        <v>459</v>
      </c>
      <c r="E242" s="96" t="s">
        <v>37</v>
      </c>
      <c r="F242" s="96" t="s">
        <v>1724</v>
      </c>
      <c r="G242" s="93" t="s">
        <v>3475</v>
      </c>
      <c r="H242" s="97">
        <v>2025</v>
      </c>
      <c r="I242" s="188"/>
      <c r="J242" s="185"/>
    </row>
    <row r="243" spans="1:10" ht="45" x14ac:dyDescent="0.2">
      <c r="A243" s="96" t="s">
        <v>3476</v>
      </c>
      <c r="B243" s="93" t="s">
        <v>29</v>
      </c>
      <c r="C243" s="71" t="s">
        <v>30</v>
      </c>
      <c r="D243" s="93" t="s">
        <v>459</v>
      </c>
      <c r="E243" s="96" t="s">
        <v>37</v>
      </c>
      <c r="F243" s="96" t="s">
        <v>141</v>
      </c>
      <c r="G243" s="93" t="s">
        <v>3477</v>
      </c>
      <c r="H243" s="97">
        <v>2025</v>
      </c>
      <c r="I243" s="188"/>
      <c r="J243" s="185"/>
    </row>
    <row r="244" spans="1:10" ht="60" x14ac:dyDescent="0.2">
      <c r="A244" s="96" t="s">
        <v>3478</v>
      </c>
      <c r="B244" s="93" t="s">
        <v>29</v>
      </c>
      <c r="C244" s="71" t="s">
        <v>30</v>
      </c>
      <c r="D244" s="93" t="s">
        <v>459</v>
      </c>
      <c r="E244" s="96" t="s">
        <v>37</v>
      </c>
      <c r="F244" s="96" t="s">
        <v>141</v>
      </c>
      <c r="G244" s="93" t="s">
        <v>3479</v>
      </c>
      <c r="H244" s="97">
        <v>2025</v>
      </c>
      <c r="I244" s="188"/>
      <c r="J244" s="185"/>
    </row>
    <row r="245" spans="1:10" ht="120" x14ac:dyDescent="0.2">
      <c r="A245" s="96" t="s">
        <v>3480</v>
      </c>
      <c r="B245" s="93" t="s">
        <v>29</v>
      </c>
      <c r="C245" s="71" t="s">
        <v>30</v>
      </c>
      <c r="D245" s="93" t="s">
        <v>459</v>
      </c>
      <c r="E245" s="96" t="s">
        <v>37</v>
      </c>
      <c r="F245" s="96" t="s">
        <v>141</v>
      </c>
      <c r="G245" s="93" t="s">
        <v>3481</v>
      </c>
      <c r="H245" s="97">
        <v>2025</v>
      </c>
      <c r="I245" s="188"/>
      <c r="J245" s="185"/>
    </row>
    <row r="246" spans="1:10" ht="75" x14ac:dyDescent="0.2">
      <c r="A246" s="96" t="s">
        <v>3482</v>
      </c>
      <c r="B246" s="93" t="s">
        <v>29</v>
      </c>
      <c r="C246" s="71" t="s">
        <v>30</v>
      </c>
      <c r="D246" s="93" t="s">
        <v>459</v>
      </c>
      <c r="E246" s="96" t="s">
        <v>37</v>
      </c>
      <c r="F246" s="96" t="s">
        <v>141</v>
      </c>
      <c r="G246" s="93" t="s">
        <v>3483</v>
      </c>
      <c r="H246" s="97">
        <v>2025</v>
      </c>
      <c r="I246" s="188"/>
      <c r="J246" s="185"/>
    </row>
    <row r="247" spans="1:10" ht="45" x14ac:dyDescent="0.2">
      <c r="A247" s="96" t="s">
        <v>3484</v>
      </c>
      <c r="B247" s="93" t="s">
        <v>29</v>
      </c>
      <c r="C247" s="71" t="s">
        <v>30</v>
      </c>
      <c r="D247" s="93" t="s">
        <v>459</v>
      </c>
      <c r="E247" s="96" t="s">
        <v>37</v>
      </c>
      <c r="F247" s="96" t="s">
        <v>141</v>
      </c>
      <c r="G247" s="93" t="s">
        <v>3485</v>
      </c>
      <c r="H247" s="97">
        <v>2025</v>
      </c>
      <c r="I247" s="188"/>
      <c r="J247" s="185"/>
    </row>
    <row r="248" spans="1:10" ht="75" x14ac:dyDescent="0.2">
      <c r="A248" s="96" t="s">
        <v>3486</v>
      </c>
      <c r="B248" s="93" t="s">
        <v>29</v>
      </c>
      <c r="C248" s="71" t="s">
        <v>30</v>
      </c>
      <c r="D248" s="93" t="s">
        <v>459</v>
      </c>
      <c r="E248" s="96" t="s">
        <v>37</v>
      </c>
      <c r="F248" s="96" t="s">
        <v>1775</v>
      </c>
      <c r="G248" s="93" t="s">
        <v>3487</v>
      </c>
      <c r="H248" s="97">
        <v>2025</v>
      </c>
      <c r="I248" s="188"/>
      <c r="J248" s="185"/>
    </row>
    <row r="249" spans="1:10" ht="60" x14ac:dyDescent="0.2">
      <c r="A249" s="96" t="s">
        <v>3488</v>
      </c>
      <c r="B249" s="93" t="s">
        <v>29</v>
      </c>
      <c r="C249" s="71" t="s">
        <v>30</v>
      </c>
      <c r="D249" s="93" t="s">
        <v>459</v>
      </c>
      <c r="E249" s="96" t="s">
        <v>37</v>
      </c>
      <c r="F249" s="96" t="s">
        <v>329</v>
      </c>
      <c r="G249" s="93" t="s">
        <v>3489</v>
      </c>
      <c r="H249" s="97">
        <v>2025</v>
      </c>
      <c r="I249" s="188"/>
      <c r="J249" s="185"/>
    </row>
    <row r="250" spans="1:10" ht="30" x14ac:dyDescent="0.2">
      <c r="A250" s="96" t="s">
        <v>3490</v>
      </c>
      <c r="B250" s="93" t="s">
        <v>29</v>
      </c>
      <c r="C250" s="71" t="s">
        <v>30</v>
      </c>
      <c r="D250" s="93" t="s">
        <v>3148</v>
      </c>
      <c r="E250" s="96" t="s">
        <v>54</v>
      </c>
      <c r="F250" s="96" t="s">
        <v>117</v>
      </c>
      <c r="G250" s="93" t="s">
        <v>3491</v>
      </c>
      <c r="H250" s="97">
        <v>2025</v>
      </c>
      <c r="I250" s="188"/>
      <c r="J250" s="185"/>
    </row>
    <row r="251" spans="1:10" ht="30" x14ac:dyDescent="0.2">
      <c r="A251" s="96" t="s">
        <v>3492</v>
      </c>
      <c r="B251" s="93" t="s">
        <v>29</v>
      </c>
      <c r="C251" s="71" t="s">
        <v>30</v>
      </c>
      <c r="D251" s="93" t="s">
        <v>3148</v>
      </c>
      <c r="E251" s="96" t="s">
        <v>54</v>
      </c>
      <c r="F251" s="96" t="s">
        <v>3493</v>
      </c>
      <c r="G251" s="93" t="s">
        <v>3310</v>
      </c>
      <c r="H251" s="97">
        <v>2025</v>
      </c>
      <c r="I251" s="188"/>
      <c r="J251" s="185"/>
    </row>
    <row r="252" spans="1:10" ht="45" x14ac:dyDescent="0.25">
      <c r="A252" s="96" t="s">
        <v>3494</v>
      </c>
      <c r="B252" s="93" t="s">
        <v>29</v>
      </c>
      <c r="C252" s="71" t="s">
        <v>30</v>
      </c>
      <c r="D252" s="93" t="s">
        <v>3148</v>
      </c>
      <c r="E252" s="96" t="s">
        <v>37</v>
      </c>
      <c r="F252" s="96" t="s">
        <v>148</v>
      </c>
      <c r="G252" s="177" t="s">
        <v>3495</v>
      </c>
      <c r="H252" s="97">
        <v>2025</v>
      </c>
      <c r="I252" s="188"/>
      <c r="J252" s="185"/>
    </row>
    <row r="253" spans="1:10" ht="30" x14ac:dyDescent="0.2">
      <c r="A253" s="96" t="s">
        <v>3496</v>
      </c>
      <c r="B253" s="93" t="s">
        <v>29</v>
      </c>
      <c r="C253" s="71" t="s">
        <v>30</v>
      </c>
      <c r="D253" s="93" t="s">
        <v>3148</v>
      </c>
      <c r="E253" s="96" t="s">
        <v>37</v>
      </c>
      <c r="F253" s="96" t="s">
        <v>1841</v>
      </c>
      <c r="G253" s="93" t="s">
        <v>3310</v>
      </c>
      <c r="H253" s="97">
        <v>2025</v>
      </c>
      <c r="I253" s="188"/>
      <c r="J253" s="185"/>
    </row>
    <row r="254" spans="1:10" ht="15" x14ac:dyDescent="0.2">
      <c r="A254" s="96" t="s">
        <v>29</v>
      </c>
      <c r="B254" s="93" t="s">
        <v>29</v>
      </c>
      <c r="C254" s="93" t="s">
        <v>30</v>
      </c>
      <c r="D254" s="93" t="s">
        <v>3162</v>
      </c>
      <c r="E254" s="96" t="s">
        <v>220</v>
      </c>
      <c r="F254" s="74" t="s">
        <v>218</v>
      </c>
      <c r="G254" s="93" t="s">
        <v>3162</v>
      </c>
      <c r="H254" s="97">
        <v>2025</v>
      </c>
      <c r="I254" s="188"/>
      <c r="J254" s="185"/>
    </row>
    <row r="255" spans="1:10" ht="60" x14ac:dyDescent="0.2">
      <c r="A255" s="96" t="s">
        <v>29</v>
      </c>
      <c r="B255" s="93">
        <v>18540697</v>
      </c>
      <c r="C255" s="71" t="s">
        <v>3497</v>
      </c>
      <c r="D255" s="93" t="s">
        <v>2991</v>
      </c>
      <c r="E255" s="96" t="s">
        <v>54</v>
      </c>
      <c r="F255" s="96" t="s">
        <v>3108</v>
      </c>
      <c r="G255" s="93" t="s">
        <v>3498</v>
      </c>
      <c r="H255" s="97">
        <v>2026</v>
      </c>
      <c r="I255" s="188"/>
      <c r="J255" s="185"/>
    </row>
    <row r="256" spans="1:10" ht="60" x14ac:dyDescent="0.2">
      <c r="A256" s="96" t="s">
        <v>29</v>
      </c>
      <c r="B256" s="93">
        <v>18540795</v>
      </c>
      <c r="C256" s="71" t="s">
        <v>3499</v>
      </c>
      <c r="D256" s="93" t="s">
        <v>2991</v>
      </c>
      <c r="E256" s="96" t="s">
        <v>54</v>
      </c>
      <c r="F256" s="96" t="s">
        <v>3108</v>
      </c>
      <c r="G256" s="93" t="s">
        <v>3500</v>
      </c>
      <c r="H256" s="97">
        <v>2026</v>
      </c>
      <c r="I256" s="188"/>
      <c r="J256" s="185"/>
    </row>
    <row r="257" spans="1:10" ht="60" x14ac:dyDescent="0.2">
      <c r="A257" s="96" t="s">
        <v>29</v>
      </c>
      <c r="B257" s="93">
        <v>18541011</v>
      </c>
      <c r="C257" s="71" t="s">
        <v>3501</v>
      </c>
      <c r="D257" s="93" t="s">
        <v>2991</v>
      </c>
      <c r="E257" s="96" t="s">
        <v>54</v>
      </c>
      <c r="F257" s="96" t="s">
        <v>200</v>
      </c>
      <c r="G257" s="93" t="s">
        <v>3502</v>
      </c>
      <c r="H257" s="97">
        <v>2026</v>
      </c>
      <c r="I257" s="188"/>
      <c r="J257" s="185"/>
    </row>
    <row r="258" spans="1:10" ht="15" x14ac:dyDescent="0.2">
      <c r="A258" s="96" t="s">
        <v>29</v>
      </c>
      <c r="B258" s="93" t="s">
        <v>29</v>
      </c>
      <c r="C258" s="93" t="s">
        <v>30</v>
      </c>
      <c r="D258" s="93" t="s">
        <v>3099</v>
      </c>
      <c r="E258" s="96" t="s">
        <v>220</v>
      </c>
      <c r="F258" s="74" t="s">
        <v>218</v>
      </c>
      <c r="G258" s="93" t="s">
        <v>3099</v>
      </c>
      <c r="H258" s="97">
        <v>2026</v>
      </c>
      <c r="I258" s="188"/>
      <c r="J258" s="185"/>
    </row>
    <row r="259" spans="1:10" ht="45" x14ac:dyDescent="0.2">
      <c r="A259" s="96" t="s">
        <v>3503</v>
      </c>
      <c r="B259" s="93" t="s">
        <v>29</v>
      </c>
      <c r="C259" s="71" t="s">
        <v>30</v>
      </c>
      <c r="D259" s="93" t="s">
        <v>3213</v>
      </c>
      <c r="E259" s="96" t="s">
        <v>37</v>
      </c>
      <c r="F259" s="96" t="s">
        <v>239</v>
      </c>
      <c r="G259" s="93" t="s">
        <v>3504</v>
      </c>
      <c r="H259" s="97">
        <v>2026</v>
      </c>
      <c r="I259" s="188"/>
      <c r="J259" s="185"/>
    </row>
    <row r="260" spans="1:10" ht="75" x14ac:dyDescent="0.2">
      <c r="A260" s="96" t="s">
        <v>3505</v>
      </c>
      <c r="B260" s="93" t="s">
        <v>29</v>
      </c>
      <c r="C260" s="71" t="s">
        <v>30</v>
      </c>
      <c r="D260" s="93" t="s">
        <v>459</v>
      </c>
      <c r="E260" s="96" t="s">
        <v>51</v>
      </c>
      <c r="F260" s="96" t="s">
        <v>120</v>
      </c>
      <c r="G260" s="93" t="s">
        <v>3506</v>
      </c>
      <c r="H260" s="97">
        <v>2026</v>
      </c>
      <c r="I260" s="188"/>
      <c r="J260" s="185"/>
    </row>
    <row r="261" spans="1:10" ht="120" x14ac:dyDescent="0.2">
      <c r="A261" s="96" t="s">
        <v>3507</v>
      </c>
      <c r="B261" s="93">
        <v>14000435</v>
      </c>
      <c r="C261" s="71">
        <v>19595402051213</v>
      </c>
      <c r="D261" s="93" t="s">
        <v>459</v>
      </c>
      <c r="E261" s="96" t="s">
        <v>54</v>
      </c>
      <c r="F261" s="96" t="s">
        <v>88</v>
      </c>
      <c r="G261" s="93" t="s">
        <v>3508</v>
      </c>
      <c r="H261" s="97">
        <v>2026</v>
      </c>
      <c r="I261" s="188"/>
      <c r="J261" s="185"/>
    </row>
    <row r="262" spans="1:10" ht="75" x14ac:dyDescent="0.2">
      <c r="A262" s="96" t="s">
        <v>3509</v>
      </c>
      <c r="B262" s="93" t="s">
        <v>29</v>
      </c>
      <c r="C262" s="71" t="s">
        <v>30</v>
      </c>
      <c r="D262" s="93" t="s">
        <v>459</v>
      </c>
      <c r="E262" s="96" t="s">
        <v>54</v>
      </c>
      <c r="F262" s="96" t="s">
        <v>3254</v>
      </c>
      <c r="G262" s="93" t="s">
        <v>3510</v>
      </c>
      <c r="H262" s="97">
        <v>2026</v>
      </c>
      <c r="I262" s="188"/>
      <c r="J262" s="185"/>
    </row>
    <row r="263" spans="1:10" ht="60" x14ac:dyDescent="0.2">
      <c r="A263" s="96" t="s">
        <v>3511</v>
      </c>
      <c r="B263" s="93" t="s">
        <v>29</v>
      </c>
      <c r="C263" s="71" t="s">
        <v>30</v>
      </c>
      <c r="D263" s="93" t="s">
        <v>459</v>
      </c>
      <c r="E263" s="96" t="s">
        <v>54</v>
      </c>
      <c r="F263" s="96" t="s">
        <v>200</v>
      </c>
      <c r="G263" s="93" t="s">
        <v>3512</v>
      </c>
      <c r="H263" s="97">
        <v>2026</v>
      </c>
      <c r="I263" s="188"/>
      <c r="J263" s="185"/>
    </row>
    <row r="264" spans="1:10" ht="90" x14ac:dyDescent="0.2">
      <c r="A264" s="96" t="s">
        <v>3513</v>
      </c>
      <c r="B264" s="93" t="s">
        <v>29</v>
      </c>
      <c r="C264" s="71" t="s">
        <v>30</v>
      </c>
      <c r="D264" s="93" t="s">
        <v>459</v>
      </c>
      <c r="E264" s="96" t="s">
        <v>54</v>
      </c>
      <c r="F264" s="96" t="s">
        <v>3263</v>
      </c>
      <c r="G264" s="93" t="s">
        <v>3514</v>
      </c>
      <c r="H264" s="97">
        <v>2026</v>
      </c>
      <c r="I264" s="188"/>
      <c r="J264" s="185"/>
    </row>
    <row r="265" spans="1:10" ht="90" x14ac:dyDescent="0.2">
      <c r="A265" s="96" t="s">
        <v>3515</v>
      </c>
      <c r="B265" s="93" t="s">
        <v>29</v>
      </c>
      <c r="C265" s="71" t="s">
        <v>30</v>
      </c>
      <c r="D265" s="93" t="s">
        <v>459</v>
      </c>
      <c r="E265" s="96" t="s">
        <v>54</v>
      </c>
      <c r="F265" s="96" t="s">
        <v>67</v>
      </c>
      <c r="G265" s="93" t="s">
        <v>3516</v>
      </c>
      <c r="H265" s="97">
        <v>2026</v>
      </c>
      <c r="I265" s="188"/>
      <c r="J265" s="185"/>
    </row>
    <row r="266" spans="1:10" ht="105" x14ac:dyDescent="0.2">
      <c r="A266" s="96" t="s">
        <v>3517</v>
      </c>
      <c r="B266" s="93">
        <v>16990410</v>
      </c>
      <c r="C266" s="71" t="s">
        <v>30</v>
      </c>
      <c r="D266" s="93" t="s">
        <v>459</v>
      </c>
      <c r="E266" s="96" t="s">
        <v>37</v>
      </c>
      <c r="F266" s="96" t="s">
        <v>38</v>
      </c>
      <c r="G266" s="93" t="s">
        <v>3518</v>
      </c>
      <c r="H266" s="97">
        <v>2026</v>
      </c>
      <c r="I266" s="188"/>
      <c r="J266" s="185"/>
    </row>
    <row r="267" spans="1:10" ht="60" x14ac:dyDescent="0.2">
      <c r="A267" s="96" t="s">
        <v>3519</v>
      </c>
      <c r="B267" s="93" t="s">
        <v>29</v>
      </c>
      <c r="C267" s="71" t="s">
        <v>30</v>
      </c>
      <c r="D267" s="93" t="s">
        <v>459</v>
      </c>
      <c r="E267" s="96" t="s">
        <v>37</v>
      </c>
      <c r="F267" s="96" t="s">
        <v>156</v>
      </c>
      <c r="G267" s="93" t="s">
        <v>3520</v>
      </c>
      <c r="H267" s="97">
        <v>2026</v>
      </c>
      <c r="I267" s="188"/>
      <c r="J267" s="185"/>
    </row>
    <row r="268" spans="1:10" ht="60" x14ac:dyDescent="0.2">
      <c r="A268" s="96" t="s">
        <v>3521</v>
      </c>
      <c r="B268" s="93" t="s">
        <v>29</v>
      </c>
      <c r="C268" s="71" t="s">
        <v>30</v>
      </c>
      <c r="D268" s="93" t="s">
        <v>459</v>
      </c>
      <c r="E268" s="96" t="s">
        <v>37</v>
      </c>
      <c r="F268" s="96" t="s">
        <v>148</v>
      </c>
      <c r="G268" s="93" t="s">
        <v>3522</v>
      </c>
      <c r="H268" s="97">
        <v>2026</v>
      </c>
      <c r="I268" s="188"/>
      <c r="J268" s="185"/>
    </row>
    <row r="269" spans="1:10" ht="60" x14ac:dyDescent="0.2">
      <c r="A269" s="96" t="s">
        <v>3523</v>
      </c>
      <c r="B269" s="93" t="s">
        <v>29</v>
      </c>
      <c r="C269" s="71" t="s">
        <v>30</v>
      </c>
      <c r="D269" s="93" t="s">
        <v>459</v>
      </c>
      <c r="E269" s="96" t="s">
        <v>37</v>
      </c>
      <c r="F269" s="96" t="s">
        <v>123</v>
      </c>
      <c r="G269" s="93" t="s">
        <v>3524</v>
      </c>
      <c r="H269" s="97">
        <v>2026</v>
      </c>
      <c r="I269" s="188"/>
      <c r="J269" s="185"/>
    </row>
    <row r="270" spans="1:10" ht="75" x14ac:dyDescent="0.2">
      <c r="A270" s="96" t="s">
        <v>3525</v>
      </c>
      <c r="B270" s="93" t="s">
        <v>29</v>
      </c>
      <c r="C270" s="71" t="s">
        <v>30</v>
      </c>
      <c r="D270" s="93" t="s">
        <v>459</v>
      </c>
      <c r="E270" s="96" t="s">
        <v>37</v>
      </c>
      <c r="F270" s="96" t="s">
        <v>48</v>
      </c>
      <c r="G270" s="93" t="s">
        <v>3526</v>
      </c>
      <c r="H270" s="97">
        <v>2026</v>
      </c>
      <c r="I270" s="188"/>
      <c r="J270" s="185"/>
    </row>
    <row r="271" spans="1:10" ht="150" x14ac:dyDescent="0.2">
      <c r="A271" s="96" t="s">
        <v>3527</v>
      </c>
      <c r="B271" s="93" t="s">
        <v>29</v>
      </c>
      <c r="C271" s="71" t="s">
        <v>30</v>
      </c>
      <c r="D271" s="93" t="s">
        <v>459</v>
      </c>
      <c r="E271" s="96" t="s">
        <v>37</v>
      </c>
      <c r="F271" s="96" t="s">
        <v>141</v>
      </c>
      <c r="G271" s="93" t="s">
        <v>3528</v>
      </c>
      <c r="H271" s="97">
        <v>2026</v>
      </c>
      <c r="I271" s="188"/>
      <c r="J271" s="185"/>
    </row>
    <row r="272" spans="1:10" ht="135" x14ac:dyDescent="0.2">
      <c r="A272" s="96" t="s">
        <v>3529</v>
      </c>
      <c r="B272" s="93" t="s">
        <v>29</v>
      </c>
      <c r="C272" s="71" t="s">
        <v>30</v>
      </c>
      <c r="D272" s="93" t="s">
        <v>459</v>
      </c>
      <c r="E272" s="96" t="s">
        <v>37</v>
      </c>
      <c r="F272" s="96" t="s">
        <v>141</v>
      </c>
      <c r="G272" s="93" t="s">
        <v>3530</v>
      </c>
      <c r="H272" s="97">
        <v>2026</v>
      </c>
      <c r="I272" s="188"/>
      <c r="J272" s="185"/>
    </row>
    <row r="273" spans="1:10" ht="180" x14ac:dyDescent="0.2">
      <c r="A273" s="96" t="s">
        <v>3531</v>
      </c>
      <c r="B273" s="93" t="s">
        <v>29</v>
      </c>
      <c r="C273" s="71" t="s">
        <v>30</v>
      </c>
      <c r="D273" s="93" t="s">
        <v>459</v>
      </c>
      <c r="E273" s="96" t="s">
        <v>37</v>
      </c>
      <c r="F273" s="96" t="s">
        <v>141</v>
      </c>
      <c r="G273" s="93" t="s">
        <v>3532</v>
      </c>
      <c r="H273" s="97">
        <v>2026</v>
      </c>
      <c r="I273" s="188"/>
      <c r="J273" s="185"/>
    </row>
    <row r="274" spans="1:10" ht="15" x14ac:dyDescent="0.2">
      <c r="A274" s="96" t="s">
        <v>29</v>
      </c>
      <c r="B274" s="93" t="s">
        <v>29</v>
      </c>
      <c r="C274" s="93" t="s">
        <v>30</v>
      </c>
      <c r="D274" s="93" t="s">
        <v>3162</v>
      </c>
      <c r="E274" s="96" t="s">
        <v>220</v>
      </c>
      <c r="F274" s="74" t="s">
        <v>218</v>
      </c>
      <c r="G274" s="93" t="s">
        <v>3162</v>
      </c>
      <c r="H274" s="97">
        <v>2026</v>
      </c>
      <c r="I274" s="188"/>
      <c r="J274" s="185"/>
    </row>
    <row r="275" spans="1:10" x14ac:dyDescent="0.2">
      <c r="I275" s="221"/>
    </row>
    <row r="276" spans="1:10" x14ac:dyDescent="0.2">
      <c r="I276" s="221"/>
    </row>
    <row r="277" spans="1:10" x14ac:dyDescent="0.2">
      <c r="I277" s="221"/>
    </row>
  </sheetData>
  <sheetProtection formatCells="0" formatColumns="0" formatRows="0" selectLockedCells="1" sort="0" autoFilter="0" pivotTables="0"/>
  <sortState xmlns:xlrd2="http://schemas.microsoft.com/office/spreadsheetml/2017/richdata2" ref="A7:J274">
    <sortCondition ref="H7:H274"/>
    <sortCondition ref="D7:D274"/>
  </sortState>
  <mergeCells count="2">
    <mergeCell ref="A1:J1"/>
    <mergeCell ref="A2:J2"/>
  </mergeCells>
  <printOptions horizontalCentered="1"/>
  <pageMargins left="0.75" right="0.75" top="1" bottom="1" header="0.5" footer="0.5"/>
  <pageSetup scale="47" fitToHeight="0" orientation="landscape" r:id="rId1"/>
  <headerFooter scaleWithDoc="0">
    <oddHeader>&amp;RPetitioner's Exhibit No. 2
Attachment  &amp;A
CEI North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ItemNumber xmlns="621b3311-adc9-44a7-af0e-36067350c19c" xsi:nil="true"/>
    <ItemId xmlns="621b3311-adc9-44a7-af0e-36067350c19c" xsi:nil="true"/>
    <ItemDate xmlns="621b3311-adc9-44a7-af0e-36067350c19c" xsi:nil="true"/>
    <Filename xmlns="621b3311-adc9-44a7-af0e-36067350c19c" xsi:nil="true"/>
    <ObjectId xmlns="621b3311-adc9-44a7-af0e-36067350c19c" xsi:nil="true"/>
    <TaxCatchAll xmlns="ddb5066c-6899-482b-9ea0-5145f9da9989" xsi:nil="true"/>
    <lcf76f155ced4ddcb4097134ff3c332f xmlns="f5536f26-5d7e-4d2b-a510-6667eeb1ad7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F62C1BAB7D1B4998D0BFFEC59B8AD2" ma:contentTypeVersion="25" ma:contentTypeDescription="Create a new document." ma:contentTypeScope="" ma:versionID="a29347074beb70bca29eaea2ad55900a">
  <xsd:schema xmlns:xsd="http://www.w3.org/2001/XMLSchema" xmlns:xs="http://www.w3.org/2001/XMLSchema" xmlns:p="http://schemas.microsoft.com/office/2006/metadata/properties" xmlns:ns1="http://schemas.microsoft.com/sharepoint/v3" xmlns:ns2="621b3311-adc9-44a7-af0e-36067350c19c" xmlns:ns3="99180bc4-2f7d-45e7-9e22-353907fb92c6" xmlns:ns4="f5536f26-5d7e-4d2b-a510-6667eeb1ad7c" xmlns:ns5="ddb5066c-6899-482b-9ea0-5145f9da9989" targetNamespace="http://schemas.microsoft.com/office/2006/metadata/properties" ma:root="true" ma:fieldsID="dd44e1d3607186ede97e4754c9758a79" ns1:_="" ns2:_="" ns3:_="" ns4:_="" ns5:_="">
    <xsd:import namespace="http://schemas.microsoft.com/sharepoint/v3"/>
    <xsd:import namespace="621b3311-adc9-44a7-af0e-36067350c19c"/>
    <xsd:import namespace="99180bc4-2f7d-45e7-9e22-353907fb92c6"/>
    <xsd:import namespace="f5536f26-5d7e-4d2b-a510-6667eeb1ad7c"/>
    <xsd:import namespace="ddb5066c-6899-482b-9ea0-5145f9da9989"/>
    <xsd:element name="properties">
      <xsd:complexType>
        <xsd:sequence>
          <xsd:element name="documentManagement">
            <xsd:complexType>
              <xsd:all>
                <xsd:element ref="ns2:ObjectId" minOccurs="0"/>
                <xsd:element ref="ns2:ItemId" minOccurs="0"/>
                <xsd:element ref="ns2:ItemNumber" minOccurs="0"/>
                <xsd:element ref="ns2:ItemDate" minOccurs="0"/>
                <xsd:element ref="ns2:Filename"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1:_ip_UnifiedCompliancePolicyProperties" minOccurs="0"/>
                <xsd:element ref="ns1:_ip_UnifiedCompliancePolicyUIAction" minOccurs="0"/>
                <xsd:element ref="ns4:MediaServiceGenerationTime" minOccurs="0"/>
                <xsd:element ref="ns4:MediaServiceEventHashCode" minOccurs="0"/>
                <xsd:element ref="ns4:lcf76f155ced4ddcb4097134ff3c332f" minOccurs="0"/>
                <xsd:element ref="ns5: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1b3311-adc9-44a7-af0e-36067350c19c" elementFormDefault="qualified">
    <xsd:import namespace="http://schemas.microsoft.com/office/2006/documentManagement/types"/>
    <xsd:import namespace="http://schemas.microsoft.com/office/infopath/2007/PartnerControls"/>
    <xsd:element name="ObjectId" ma:index="2" nillable="true" ma:displayName="ObjectId" ma:internalName="ObjectId">
      <xsd:simpleType>
        <xsd:restriction base="dms:Text">
          <xsd:maxLength value="255"/>
        </xsd:restriction>
      </xsd:simpleType>
    </xsd:element>
    <xsd:element name="ItemId" ma:index="3" nillable="true" ma:displayName="ItemId" ma:indexed="true" ma:internalName="ItemId">
      <xsd:simpleType>
        <xsd:restriction base="dms:Text">
          <xsd:maxLength value="255"/>
        </xsd:restriction>
      </xsd:simpleType>
    </xsd:element>
    <xsd:element name="ItemNumber" ma:index="4" nillable="true" ma:displayName="ItemNumber" ma:indexed="true" ma:internalName="ItemNumber">
      <xsd:simpleType>
        <xsd:restriction base="dms:Text">
          <xsd:maxLength value="255"/>
        </xsd:restriction>
      </xsd:simpleType>
    </xsd:element>
    <xsd:element name="ItemDate" ma:index="5" nillable="true" ma:displayName="ItemDate" ma:format="DateOnly" ma:indexed="true" ma:internalName="ItemDate">
      <xsd:simpleType>
        <xsd:restriction base="dms:DateTime"/>
      </xsd:simpleType>
    </xsd:element>
    <xsd:element name="Filename" ma:index="6" nillable="true" ma:displayName="Filename" ma:internalName="File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180bc4-2f7d-45e7-9e22-353907fb92c6"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536f26-5d7e-4d2b-a510-6667eeb1ad7c" elementFormDefault="qualified">
    <xsd:import namespace="http://schemas.microsoft.com/office/2006/documentManagement/types"/>
    <xsd:import namespace="http://schemas.microsoft.com/office/infopath/2007/PartnerControls"/>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b5066c-6899-482b-9ea0-5145f9da998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a6e7e882-9704-4d77-9765-cf8fe4d68a88}" ma:internalName="TaxCatchAll" ma:showField="CatchAllData" ma:web="fe36f78b-f2f5-469e-9861-ee46cd4ff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29B0AF-2AC1-4B4F-ACBE-381CA2EB86DB}">
  <ds:schemaRefs>
    <ds:schemaRef ds:uri="http://schemas.microsoft.com/sharepoint/v3"/>
    <ds:schemaRef ds:uri="http://purl.org/dc/terms/"/>
    <ds:schemaRef ds:uri="http://www.w3.org/XML/1998/namespace"/>
    <ds:schemaRef ds:uri="http://schemas.microsoft.com/office/infopath/2007/PartnerControls"/>
    <ds:schemaRef ds:uri="http://purl.org/dc/elements/1.1/"/>
    <ds:schemaRef ds:uri="http://schemas.microsoft.com/office/2006/documentManagement/types"/>
    <ds:schemaRef ds:uri="http://purl.org/dc/dcmitype/"/>
    <ds:schemaRef ds:uri="7558938a-8a22-4524-afb0-58b165029303"/>
    <ds:schemaRef ds:uri="http://schemas.microsoft.com/office/2006/metadata/properties"/>
    <ds:schemaRef ds:uri="http://schemas.openxmlformats.org/package/2006/metadata/core-properties"/>
    <ds:schemaRef ds:uri="99180bc4-2f7d-45e7-9e22-353907fb92c6"/>
  </ds:schemaRefs>
</ds:datastoreItem>
</file>

<file path=customXml/itemProps2.xml><?xml version="1.0" encoding="utf-8"?>
<ds:datastoreItem xmlns:ds="http://schemas.openxmlformats.org/officeDocument/2006/customXml" ds:itemID="{E0F537DC-98BA-4124-89DD-40CB86CB71F2}"/>
</file>

<file path=customXml/itemProps3.xml><?xml version="1.0" encoding="utf-8"?>
<ds:datastoreItem xmlns:ds="http://schemas.openxmlformats.org/officeDocument/2006/customXml" ds:itemID="{8621373E-4F22-400A-9E94-C9E43EEFFD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Cover Page</vt:lpstr>
      <vt:lpstr>SAH-2</vt:lpstr>
      <vt:lpstr>SAH-3</vt:lpstr>
      <vt:lpstr>SAH-4 (Public)</vt:lpstr>
      <vt:lpstr>SAH-5 (Public)</vt:lpstr>
      <vt:lpstr>SAH-6 (Public)</vt:lpstr>
      <vt:lpstr>SAH-7 (Public)</vt:lpstr>
      <vt:lpstr>SAH-8 (Public)</vt:lpstr>
      <vt:lpstr>SAH-9 (Public)</vt:lpstr>
      <vt:lpstr>'SAH-2'!Print_Area</vt:lpstr>
      <vt:lpstr>'SAH-3'!Print_Area</vt:lpstr>
      <vt:lpstr>'SAH-4 (Public)'!Print_Area</vt:lpstr>
      <vt:lpstr>'SAH-5 (Public)'!Print_Area</vt:lpstr>
      <vt:lpstr>'SAH-6 (Public)'!Print_Area</vt:lpstr>
      <vt:lpstr>'SAH-7 (Public)'!Print_Area</vt:lpstr>
      <vt:lpstr>'SAH-8 (Public)'!Print_Area</vt:lpstr>
      <vt:lpstr>'SAH-9 (Public)'!Print_Area</vt:lpstr>
      <vt:lpstr>'SAH-4 (Public)'!Print_Titles</vt:lpstr>
      <vt:lpstr>'SAH-5 (Public)'!Print_Titles</vt:lpstr>
      <vt:lpstr>'SAH-6 (Public)'!Print_Titles</vt:lpstr>
      <vt:lpstr>'SAH-7 (Public)'!Print_Titles</vt:lpstr>
      <vt:lpstr>'SAH-8 (Public)'!Print_Titles</vt:lpstr>
      <vt:lpstr>'SAH-9 (Public)'!Print_Titles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Meredith, Ashley</dc:creator>
  <cp:keywords/>
  <dc:description/>
  <cp:lastModifiedBy>Hunter, Stacy</cp:lastModifiedBy>
  <cp:revision/>
  <dcterms:created xsi:type="dcterms:W3CDTF">2021-08-31T01:36:48Z</dcterms:created>
  <dcterms:modified xsi:type="dcterms:W3CDTF">2021-09-13T13:23:25Z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0x01010017F62C1BAB7D1B4998D0BFFEC59B8AD2</vt:lpwstr>
  </property>
</Properties>
</file>