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Bruce\Desktop\FILINGS\"/>
    </mc:Choice>
  </mc:AlternateContent>
  <xr:revisionPtr revIDLastSave="0" documentId="8_{55EF659F-2E60-49D3-9025-C3A1C1CC4A24}" xr6:coauthVersionLast="47" xr6:coauthVersionMax="47" xr10:uidLastSave="{00000000-0000-0000-0000-000000000000}"/>
  <bookViews>
    <workbookView xWindow="33120" yWindow="3285" windowWidth="14400" windowHeight="10635" xr2:uid="{D405D66D-97F3-4DC4-B206-E9D5249AD080}"/>
  </bookViews>
  <sheets>
    <sheet name="Sheet1" sheetId="11" r:id="rId1"/>
    <sheet name="Rate Average Summary" sheetId="7" r:id="rId2"/>
    <sheet name="Rate Comparisons - Summary - V1" sheetId="8" r:id="rId3"/>
    <sheet name="Rate Comparisons - Summary - V2" sheetId="10" r:id="rId4"/>
    <sheet name="Rate DCFC - Jan-Feb 2024" sheetId="1" state="hidden" r:id="rId5"/>
    <sheet name="Rate DCFC - March 2024 " sheetId="6" state="hidden" r:id="rId6"/>
    <sheet name="Rate EVP - Jan 2024" sheetId="2" state="hidden" r:id="rId7"/>
    <sheet name="Rate EVP - Feb 2024" sheetId="4" state="hidden" r:id="rId8"/>
    <sheet name="Rate EVP - March 2024" sheetId="5" state="hidden" r:id="rId9"/>
  </sheets>
  <definedNames>
    <definedName name="_xlnm._FilterDatabase" localSheetId="5" hidden="1">'Rate DCFC - March 2024 '!$A$1:$K$1</definedName>
    <definedName name="_xlnm._FilterDatabase" localSheetId="7" hidden="1">'Rate EVP - Feb 2024'!$A$1:$K$1</definedName>
    <definedName name="_xlnm._FilterDatabase" localSheetId="8" hidden="1">'Rate EVP - March 2024'!$A$1:$K$1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7" i="10" l="1"/>
  <c r="M40" i="10"/>
  <c r="L40" i="10"/>
  <c r="K40" i="10"/>
  <c r="J40" i="10"/>
  <c r="N9" i="7" l="1"/>
  <c r="N8" i="7"/>
  <c r="N7" i="7"/>
  <c r="L7" i="7"/>
  <c r="M7" i="7"/>
  <c r="K7" i="7"/>
  <c r="K9" i="7"/>
  <c r="L9" i="7"/>
  <c r="M9" i="7"/>
  <c r="N5" i="7"/>
  <c r="L5" i="7"/>
  <c r="M5" i="7"/>
  <c r="K5" i="7"/>
  <c r="N4" i="7"/>
  <c r="N3" i="7"/>
  <c r="L3" i="7"/>
  <c r="M3" i="7"/>
  <c r="K3" i="7"/>
  <c r="K8" i="7"/>
  <c r="G8" i="7"/>
  <c r="F8" i="7"/>
  <c r="K4" i="7"/>
  <c r="M67" i="8"/>
  <c r="K71" i="8"/>
  <c r="L71" i="8"/>
  <c r="K70" i="8"/>
  <c r="L70" i="8"/>
  <c r="K69" i="8"/>
  <c r="L69" i="8"/>
  <c r="K68" i="8"/>
  <c r="L68" i="8"/>
  <c r="M68" i="8"/>
  <c r="M69" i="8" s="1"/>
  <c r="K67" i="8"/>
  <c r="L67" i="8"/>
  <c r="J67" i="8"/>
  <c r="M63" i="8"/>
  <c r="M58" i="8"/>
  <c r="M57" i="8"/>
  <c r="L57" i="8"/>
  <c r="K57" i="8"/>
  <c r="J57" i="8"/>
  <c r="D67" i="8"/>
  <c r="E67" i="8"/>
  <c r="F67" i="8"/>
  <c r="G67" i="8"/>
  <c r="H67" i="8"/>
  <c r="I67" i="8"/>
  <c r="J19" i="8"/>
  <c r="J17" i="8"/>
  <c r="J15" i="8"/>
  <c r="J14" i="8"/>
  <c r="J12" i="8"/>
  <c r="M11" i="8"/>
  <c r="L11" i="8"/>
  <c r="K11" i="8"/>
  <c r="J10" i="8"/>
  <c r="J9" i="8"/>
  <c r="M30" i="8"/>
  <c r="L30" i="8"/>
  <c r="K30" i="8"/>
  <c r="J30" i="8"/>
  <c r="I30" i="8"/>
  <c r="H30" i="8"/>
  <c r="M29" i="8"/>
  <c r="L29" i="8"/>
  <c r="K29" i="8"/>
  <c r="M28" i="8"/>
  <c r="L28" i="8"/>
  <c r="K28" i="8"/>
  <c r="J28" i="8"/>
  <c r="I28" i="8"/>
  <c r="H28" i="8"/>
  <c r="J20" i="8"/>
  <c r="I20" i="8"/>
  <c r="H20" i="8"/>
  <c r="D40" i="8"/>
  <c r="N22" i="7"/>
  <c r="N18" i="7"/>
  <c r="L22" i="7"/>
  <c r="M22" i="7"/>
  <c r="L19" i="7"/>
  <c r="L18" i="7"/>
  <c r="M18" i="7"/>
  <c r="L17" i="7"/>
  <c r="M63" i="10"/>
  <c r="M58" i="10"/>
  <c r="M57" i="10"/>
  <c r="M34" i="10"/>
  <c r="K33" i="10"/>
  <c r="L33" i="10"/>
  <c r="M33" i="10"/>
  <c r="M32" i="10"/>
  <c r="M15" i="10"/>
  <c r="M42" i="10"/>
  <c r="M43" i="10" s="1"/>
  <c r="M68" i="10"/>
  <c r="M69" i="10"/>
  <c r="M70" i="10" s="1"/>
  <c r="M71" i="10" s="1"/>
  <c r="M17" i="7" s="1"/>
  <c r="L57" i="10"/>
  <c r="L67" i="10"/>
  <c r="L68" i="10" s="1"/>
  <c r="L15" i="10"/>
  <c r="L32" i="10"/>
  <c r="L34" i="10"/>
  <c r="K57" i="10"/>
  <c r="K67" i="10"/>
  <c r="K68" i="10"/>
  <c r="K69" i="10"/>
  <c r="K70" i="10"/>
  <c r="K71" i="10"/>
  <c r="K22" i="7"/>
  <c r="K18" i="7"/>
  <c r="K17" i="7"/>
  <c r="K19" i="7" s="1"/>
  <c r="K15" i="10"/>
  <c r="K32" i="10"/>
  <c r="K34" i="10"/>
  <c r="K42" i="10"/>
  <c r="K43" i="10" s="1"/>
  <c r="K44" i="10" s="1"/>
  <c r="J4" i="7"/>
  <c r="J22" i="7"/>
  <c r="J18" i="7"/>
  <c r="G22" i="7"/>
  <c r="H18" i="7"/>
  <c r="I18" i="7" s="1"/>
  <c r="G18" i="7"/>
  <c r="G4" i="7"/>
  <c r="H4" i="7" s="1"/>
  <c r="J68" i="8"/>
  <c r="H67" i="10"/>
  <c r="I67" i="10"/>
  <c r="J57" i="10"/>
  <c r="J67" i="10" s="1"/>
  <c r="J68" i="10" s="1"/>
  <c r="F94" i="10"/>
  <c r="F93" i="10"/>
  <c r="F92" i="10"/>
  <c r="F91" i="10"/>
  <c r="D95" i="10"/>
  <c r="J32" i="10"/>
  <c r="J34" i="10"/>
  <c r="J24" i="10"/>
  <c r="J23" i="10"/>
  <c r="J21" i="10"/>
  <c r="J19" i="10"/>
  <c r="J18" i="10"/>
  <c r="J16" i="10"/>
  <c r="J14" i="10"/>
  <c r="J13" i="10"/>
  <c r="H68" i="8"/>
  <c r="H69" i="8" s="1"/>
  <c r="I68" i="8"/>
  <c r="I19" i="8"/>
  <c r="I17" i="8"/>
  <c r="I15" i="8"/>
  <c r="H15" i="8"/>
  <c r="I14" i="8"/>
  <c r="H14" i="8"/>
  <c r="I12" i="8"/>
  <c r="I10" i="8"/>
  <c r="H10" i="8"/>
  <c r="I9" i="8"/>
  <c r="I40" i="8" s="1"/>
  <c r="H9" i="8"/>
  <c r="H40" i="8" s="1"/>
  <c r="I21" i="10"/>
  <c r="I34" i="10"/>
  <c r="I32" i="10"/>
  <c r="I24" i="10"/>
  <c r="I23" i="10"/>
  <c r="F86" i="10"/>
  <c r="F87" i="10"/>
  <c r="F88" i="10"/>
  <c r="F85" i="10"/>
  <c r="D89" i="10"/>
  <c r="I19" i="10"/>
  <c r="I18" i="10"/>
  <c r="I16" i="10"/>
  <c r="I14" i="10"/>
  <c r="I13" i="10"/>
  <c r="H13" i="10"/>
  <c r="H18" i="10"/>
  <c r="H14" i="10"/>
  <c r="H24" i="10"/>
  <c r="H34" i="10"/>
  <c r="H19" i="10"/>
  <c r="H32" i="10"/>
  <c r="F22" i="7"/>
  <c r="F18" i="7"/>
  <c r="G67" i="10"/>
  <c r="D67" i="10"/>
  <c r="E67" i="10"/>
  <c r="F67" i="10"/>
  <c r="F40" i="10"/>
  <c r="F42" i="10" s="1"/>
  <c r="F43" i="10" s="1"/>
  <c r="G40" i="10"/>
  <c r="G42" i="10" s="1"/>
  <c r="G43" i="10" s="1"/>
  <c r="E40" i="10"/>
  <c r="E42" i="10" s="1"/>
  <c r="E43" i="10" s="1"/>
  <c r="D40" i="10"/>
  <c r="D42" i="10" s="1"/>
  <c r="D43" i="10" s="1"/>
  <c r="G18" i="10"/>
  <c r="F18" i="10"/>
  <c r="E18" i="10"/>
  <c r="G14" i="10"/>
  <c r="F14" i="10"/>
  <c r="E14" i="10"/>
  <c r="H15" i="2"/>
  <c r="G14" i="8"/>
  <c r="F14" i="8"/>
  <c r="E14" i="8"/>
  <c r="G10" i="8"/>
  <c r="G40" i="8" s="1"/>
  <c r="F10" i="8"/>
  <c r="F40" i="8" s="1"/>
  <c r="E10" i="8"/>
  <c r="E40" i="8" s="1"/>
  <c r="G7" i="2"/>
  <c r="F4" i="2"/>
  <c r="E4" i="2" s="1"/>
  <c r="G4" i="2"/>
  <c r="H4" i="2"/>
  <c r="E7" i="2"/>
  <c r="F7" i="2" s="1"/>
  <c r="E11" i="2"/>
  <c r="F4" i="7"/>
  <c r="G8" i="6"/>
  <c r="H8" i="6" s="1"/>
  <c r="I8" i="6" s="1"/>
  <c r="H7" i="6"/>
  <c r="G5" i="6"/>
  <c r="H5" i="6"/>
  <c r="I5" i="6"/>
  <c r="G7" i="6"/>
  <c r="I7" i="6"/>
  <c r="G2" i="6"/>
  <c r="H2" i="6"/>
  <c r="I2" i="6"/>
  <c r="I4" i="6"/>
  <c r="I3" i="6"/>
  <c r="H4" i="6"/>
  <c r="H3" i="6"/>
  <c r="G4" i="6"/>
  <c r="G3" i="6"/>
  <c r="E5" i="1"/>
  <c r="E6" i="1"/>
  <c r="E7" i="1"/>
  <c r="E9" i="1"/>
  <c r="J23" i="6"/>
  <c r="I15" i="5"/>
  <c r="H15" i="5"/>
  <c r="J15" i="5" s="1"/>
  <c r="I14" i="5"/>
  <c r="H14" i="5"/>
  <c r="J14" i="5" s="1"/>
  <c r="I13" i="5"/>
  <c r="H13" i="5"/>
  <c r="J13" i="5" s="1"/>
  <c r="I12" i="5"/>
  <c r="H12" i="5"/>
  <c r="J12" i="5" s="1"/>
  <c r="I11" i="5"/>
  <c r="H11" i="5"/>
  <c r="J11" i="5" s="1"/>
  <c r="I10" i="5"/>
  <c r="H10" i="5"/>
  <c r="J10" i="5" s="1"/>
  <c r="I9" i="5"/>
  <c r="H9" i="5"/>
  <c r="J9" i="5" s="1"/>
  <c r="I7" i="5"/>
  <c r="H7" i="5"/>
  <c r="J7" i="5" s="1"/>
  <c r="I6" i="5"/>
  <c r="H6" i="5"/>
  <c r="J6" i="5" s="1"/>
  <c r="I5" i="5"/>
  <c r="H5" i="5"/>
  <c r="J5" i="5" s="1"/>
  <c r="I4" i="5"/>
  <c r="H4" i="5"/>
  <c r="J4" i="5" s="1"/>
  <c r="I3" i="5"/>
  <c r="H3" i="5"/>
  <c r="J3" i="5" s="1"/>
  <c r="I2" i="5"/>
  <c r="H2" i="5"/>
  <c r="J2" i="5" s="1"/>
  <c r="J18" i="5" s="1"/>
  <c r="H15" i="4"/>
  <c r="I15" i="4"/>
  <c r="J15" i="4"/>
  <c r="H14" i="4"/>
  <c r="I14" i="4"/>
  <c r="J14" i="4"/>
  <c r="H13" i="4"/>
  <c r="I13" i="4"/>
  <c r="J13" i="4"/>
  <c r="H12" i="4"/>
  <c r="I12" i="4"/>
  <c r="H5" i="4"/>
  <c r="I5" i="4"/>
  <c r="J5" i="4"/>
  <c r="H6" i="4"/>
  <c r="I6" i="4"/>
  <c r="J6" i="4"/>
  <c r="H7" i="4"/>
  <c r="I7" i="4"/>
  <c r="J7" i="4"/>
  <c r="H9" i="4"/>
  <c r="I9" i="4"/>
  <c r="J9" i="4"/>
  <c r="H10" i="4"/>
  <c r="I10" i="4"/>
  <c r="J10" i="4"/>
  <c r="H11" i="4"/>
  <c r="I11" i="4"/>
  <c r="J11" i="4"/>
  <c r="I4" i="4"/>
  <c r="H4" i="4"/>
  <c r="J4" i="4" s="1"/>
  <c r="I3" i="4"/>
  <c r="H3" i="4"/>
  <c r="J3" i="4" s="1"/>
  <c r="I2" i="4"/>
  <c r="H2" i="4"/>
  <c r="J2" i="4" s="1"/>
  <c r="F13" i="2"/>
  <c r="E13" i="2" s="1"/>
  <c r="G13" i="2"/>
  <c r="H13" i="2"/>
  <c r="F12" i="2"/>
  <c r="E12" i="2" s="1"/>
  <c r="G12" i="2"/>
  <c r="H12" i="2"/>
  <c r="G11" i="2"/>
  <c r="H11" i="2"/>
  <c r="F10" i="2"/>
  <c r="E10" i="2" s="1"/>
  <c r="G10" i="2"/>
  <c r="H10" i="2" s="1"/>
  <c r="G9" i="2"/>
  <c r="F9" i="2"/>
  <c r="F8" i="2"/>
  <c r="E8" i="2" s="1"/>
  <c r="G8" i="2"/>
  <c r="H8" i="2"/>
  <c r="F6" i="2"/>
  <c r="E6" i="2" s="1"/>
  <c r="F5" i="2"/>
  <c r="E5" i="2" s="1"/>
  <c r="N17" i="7" l="1"/>
  <c r="M19" i="7"/>
  <c r="N19" i="7" s="1"/>
  <c r="M44" i="10"/>
  <c r="M45" i="10"/>
  <c r="M21" i="7" s="1"/>
  <c r="M23" i="7" s="1"/>
  <c r="K45" i="10"/>
  <c r="K21" i="7" s="1"/>
  <c r="L8" i="7"/>
  <c r="M8" i="7" s="1"/>
  <c r="H8" i="7"/>
  <c r="I8" i="7" s="1"/>
  <c r="L4" i="7"/>
  <c r="M4" i="7" s="1"/>
  <c r="M70" i="8"/>
  <c r="M71" i="8" s="1"/>
  <c r="J40" i="8"/>
  <c r="K40" i="8"/>
  <c r="L40" i="8"/>
  <c r="M40" i="8"/>
  <c r="E42" i="8"/>
  <c r="F42" i="8"/>
  <c r="G42" i="8"/>
  <c r="H42" i="8"/>
  <c r="J42" i="8"/>
  <c r="I42" i="8"/>
  <c r="I43" i="8"/>
  <c r="L69" i="10"/>
  <c r="L42" i="10"/>
  <c r="L43" i="10" s="1"/>
  <c r="L44" i="10" s="1"/>
  <c r="L45" i="10" s="1"/>
  <c r="L21" i="7" s="1"/>
  <c r="L23" i="7" s="1"/>
  <c r="H22" i="7"/>
  <c r="I22" i="7" s="1"/>
  <c r="I4" i="7"/>
  <c r="J69" i="8"/>
  <c r="J43" i="8"/>
  <c r="J44" i="8" s="1"/>
  <c r="F95" i="10"/>
  <c r="G95" i="10" s="1"/>
  <c r="H68" i="10"/>
  <c r="H69" i="10" s="1"/>
  <c r="E44" i="10"/>
  <c r="E45" i="10" s="1"/>
  <c r="C21" i="7" s="1"/>
  <c r="F44" i="10"/>
  <c r="F45" i="10" s="1"/>
  <c r="D21" i="7" s="1"/>
  <c r="D23" i="7" s="1"/>
  <c r="G44" i="10"/>
  <c r="G45" i="10" s="1"/>
  <c r="E21" i="7" s="1"/>
  <c r="E23" i="7" s="1"/>
  <c r="I40" i="10"/>
  <c r="I42" i="10" s="1"/>
  <c r="I43" i="10" s="1"/>
  <c r="I44" i="10" s="1"/>
  <c r="I45" i="10" s="1"/>
  <c r="H21" i="7" s="1"/>
  <c r="H23" i="7" s="1"/>
  <c r="F89" i="10"/>
  <c r="G89" i="10" s="1"/>
  <c r="J69" i="10"/>
  <c r="J42" i="10"/>
  <c r="J43" i="10" s="1"/>
  <c r="J44" i="10" s="1"/>
  <c r="J45" i="10" s="1"/>
  <c r="I21" i="7" s="1"/>
  <c r="I69" i="8"/>
  <c r="H70" i="8"/>
  <c r="H71" i="8" s="1"/>
  <c r="H43" i="8"/>
  <c r="H44" i="8" s="1"/>
  <c r="I68" i="10"/>
  <c r="I69" i="10" s="1"/>
  <c r="H40" i="10"/>
  <c r="H42" i="10" s="1"/>
  <c r="H43" i="10" s="1"/>
  <c r="D44" i="10"/>
  <c r="D45" i="10" s="1"/>
  <c r="D68" i="10"/>
  <c r="D69" i="10" s="1"/>
  <c r="E68" i="10"/>
  <c r="E69" i="10" s="1"/>
  <c r="F68" i="10"/>
  <c r="F69" i="10" s="1"/>
  <c r="G68" i="10"/>
  <c r="G69" i="10" s="1"/>
  <c r="D68" i="8"/>
  <c r="D69" i="8" s="1"/>
  <c r="E68" i="8"/>
  <c r="E69" i="8" s="1"/>
  <c r="F68" i="8"/>
  <c r="F69" i="8" s="1"/>
  <c r="G68" i="8"/>
  <c r="G69" i="8" s="1"/>
  <c r="D43" i="8"/>
  <c r="E43" i="8"/>
  <c r="E44" i="8" s="1"/>
  <c r="F43" i="8"/>
  <c r="F44" i="8" s="1"/>
  <c r="G43" i="8"/>
  <c r="G44" i="8" s="1"/>
  <c r="H9" i="2"/>
  <c r="E9" i="2"/>
  <c r="J12" i="4"/>
  <c r="J18" i="4" s="1"/>
  <c r="J24" i="6"/>
  <c r="J25" i="6" s="1"/>
  <c r="J19" i="5"/>
  <c r="J20" i="5" s="1"/>
  <c r="J19" i="4"/>
  <c r="J20" i="4" s="1"/>
  <c r="K23" i="7" l="1"/>
  <c r="N23" i="7" s="1"/>
  <c r="N21" i="7"/>
  <c r="M42" i="8"/>
  <c r="M43" i="8"/>
  <c r="L42" i="8"/>
  <c r="L43" i="8"/>
  <c r="K42" i="8"/>
  <c r="K43" i="8"/>
  <c r="D42" i="8"/>
  <c r="D44" i="8" s="1"/>
  <c r="G3" i="7"/>
  <c r="I44" i="8"/>
  <c r="I45" i="8" s="1"/>
  <c r="I46" i="8" s="1"/>
  <c r="H7" i="7" s="1"/>
  <c r="L70" i="10"/>
  <c r="L71" i="10"/>
  <c r="I23" i="7"/>
  <c r="J70" i="8"/>
  <c r="J71" i="8"/>
  <c r="I3" i="7" s="1"/>
  <c r="I5" i="7" s="1"/>
  <c r="J45" i="8"/>
  <c r="J46" i="8"/>
  <c r="I7" i="7" s="1"/>
  <c r="H70" i="10"/>
  <c r="H71" i="10" s="1"/>
  <c r="G17" i="7" s="1"/>
  <c r="C23" i="7"/>
  <c r="F21" i="7"/>
  <c r="F23" i="7" s="1"/>
  <c r="J70" i="10"/>
  <c r="J71" i="10" s="1"/>
  <c r="I17" i="7" s="1"/>
  <c r="I19" i="7" s="1"/>
  <c r="I70" i="8"/>
  <c r="I71" i="8" s="1"/>
  <c r="H3" i="7" s="1"/>
  <c r="H5" i="7" s="1"/>
  <c r="H45" i="8"/>
  <c r="H46" i="8"/>
  <c r="I70" i="10"/>
  <c r="I71" i="10" s="1"/>
  <c r="H17" i="7" s="1"/>
  <c r="H19" i="7" s="1"/>
  <c r="H44" i="10"/>
  <c r="H45" i="10" s="1"/>
  <c r="G21" i="7" s="1"/>
  <c r="G23" i="7" s="1"/>
  <c r="G70" i="10"/>
  <c r="G71" i="10" s="1"/>
  <c r="E17" i="7" s="1"/>
  <c r="E19" i="7" s="1"/>
  <c r="F70" i="10"/>
  <c r="F71" i="10" s="1"/>
  <c r="D17" i="7" s="1"/>
  <c r="D19" i="7" s="1"/>
  <c r="E70" i="10"/>
  <c r="E71" i="10" s="1"/>
  <c r="C17" i="7" s="1"/>
  <c r="D70" i="10"/>
  <c r="D71" i="10" s="1"/>
  <c r="G70" i="8"/>
  <c r="G71" i="8" s="1"/>
  <c r="F70" i="8"/>
  <c r="F71" i="8" s="1"/>
  <c r="D3" i="7" s="1"/>
  <c r="D5" i="7" s="1"/>
  <c r="E70" i="8"/>
  <c r="E71" i="8" s="1"/>
  <c r="C3" i="7" s="1"/>
  <c r="C5" i="7" s="1"/>
  <c r="D70" i="8"/>
  <c r="D71" i="8" s="1"/>
  <c r="G45" i="8"/>
  <c r="G46" i="8" s="1"/>
  <c r="F45" i="8"/>
  <c r="F46" i="8" s="1"/>
  <c r="D7" i="7" s="1"/>
  <c r="D9" i="7" s="1"/>
  <c r="E45" i="8"/>
  <c r="E46" i="8" s="1"/>
  <c r="C7" i="7" s="1"/>
  <c r="C9" i="7" s="1"/>
  <c r="D45" i="8"/>
  <c r="D46" i="8" s="1"/>
  <c r="J26" i="6"/>
  <c r="J27" i="6" s="1"/>
  <c r="J21" i="5"/>
  <c r="J22" i="5" s="1"/>
  <c r="J21" i="4"/>
  <c r="J22" i="4" s="1"/>
  <c r="G6" i="2"/>
  <c r="H6" i="2" s="1"/>
  <c r="G5" i="2"/>
  <c r="H5" i="2" s="1"/>
  <c r="F9" i="1"/>
  <c r="F8" i="1"/>
  <c r="F6" i="1"/>
  <c r="F5" i="1"/>
  <c r="F4" i="1"/>
  <c r="F7" i="1"/>
  <c r="I9" i="7" l="1"/>
  <c r="J8" i="7"/>
  <c r="K44" i="8"/>
  <c r="L44" i="8"/>
  <c r="M44" i="8"/>
  <c r="H9" i="7"/>
  <c r="G7" i="7"/>
  <c r="J21" i="7"/>
  <c r="J23" i="7" s="1"/>
  <c r="E3" i="7"/>
  <c r="E7" i="7"/>
  <c r="J17" i="7"/>
  <c r="J19" i="7" s="1"/>
  <c r="G19" i="7"/>
  <c r="C19" i="7"/>
  <c r="F17" i="7"/>
  <c r="F19" i="7" s="1"/>
  <c r="E5" i="7"/>
  <c r="F3" i="7"/>
  <c r="F5" i="7" s="1"/>
  <c r="E9" i="7"/>
  <c r="F7" i="7"/>
  <c r="F9" i="7" s="1"/>
  <c r="H16" i="2"/>
  <c r="H17" i="2" s="1"/>
  <c r="M45" i="8" l="1"/>
  <c r="M46" i="8"/>
  <c r="L45" i="8"/>
  <c r="L46" i="8"/>
  <c r="K45" i="8"/>
  <c r="K46" i="8"/>
  <c r="J7" i="7"/>
  <c r="J9" i="7" s="1"/>
  <c r="G9" i="7"/>
  <c r="J3" i="7"/>
  <c r="J5" i="7" s="1"/>
  <c r="G5" i="7"/>
  <c r="H18" i="2"/>
  <c r="H19" i="2" s="1"/>
  <c r="E4" i="1"/>
  <c r="G14" i="1"/>
  <c r="G13" i="1"/>
  <c r="G15" i="1"/>
  <c r="E8" i="1"/>
  <c r="G8" i="1"/>
  <c r="G11" i="1"/>
  <c r="G12" i="1"/>
</calcChain>
</file>

<file path=xl/sharedStrings.xml><?xml version="1.0" encoding="utf-8"?>
<sst xmlns="http://schemas.openxmlformats.org/spreadsheetml/2006/main" count="726" uniqueCount="199">
  <si>
    <t>IURC Cause No. 45843</t>
  </si>
  <si>
    <t xml:space="preserve">On Behalf of Indianapolis Power and Light d/b/a AES Indiana </t>
  </si>
  <si>
    <t>Third Quarterly Report Workpapers 1-3</t>
  </si>
  <si>
    <t>V1</t>
  </si>
  <si>
    <t>Q1</t>
  </si>
  <si>
    <t>Q2</t>
  </si>
  <si>
    <t>Q3</t>
  </si>
  <si>
    <t>Q4</t>
  </si>
  <si>
    <t>Criteria</t>
  </si>
  <si>
    <t>DCFC</t>
  </si>
  <si>
    <t>24/7 public access</t>
  </si>
  <si>
    <t>AES</t>
  </si>
  <si>
    <t>Free parking, paid charging</t>
  </si>
  <si>
    <t>Variance</t>
  </si>
  <si>
    <t>EVP</t>
  </si>
  <si>
    <t>*Rates are sourced from PlugShare, ChargeLab, ChargePoint, and Tesla. This is a shift away from solely PlugShare as the site has experienced many bugs and outages in 2024.</t>
  </si>
  <si>
    <t>V2</t>
  </si>
  <si>
    <t xml:space="preserve">**V2: Since the initial report, several sites have shifted to private or implemented a flat fee to cover the cost of previously "free" charging sites. Any site offline, or no longer a 1:1 comparision has been shifted to a reporting only status where the rate is tracked by not included in the V2 model. Likewise any sites that now meet this criteria are included in the calculations to continually improve accuracy through a larger sample size. For transparency purposes, V1 is provided to demonstrate the difference in rate averages that this change has made, however it is our reccomendation to utilize the V2 report moving forward to determine fair market pricing. </t>
  </si>
  <si>
    <t>Rate Comparison - EVP</t>
  </si>
  <si>
    <t>IURC Order No. 45843 vs. Q1 2024 Market Rates</t>
  </si>
  <si>
    <t xml:space="preserve">Charging Station </t>
  </si>
  <si>
    <t>Address</t>
  </si>
  <si>
    <t>IURC Order No 45843</t>
  </si>
  <si>
    <t>$/KWH</t>
  </si>
  <si>
    <t>Rolls Royce</t>
  </si>
  <si>
    <t>2355 S Tibbs Ave, Indianapolis, IN 46241, USA</t>
  </si>
  <si>
    <t>No Longer Public</t>
  </si>
  <si>
    <t>Airport</t>
  </si>
  <si>
    <t xml:space="preserve">7800 Col H Weir Cook Memorial Dr, Indianapolis, IN, 46241 </t>
  </si>
  <si>
    <t>Greenwood Park Mall</t>
  </si>
  <si>
    <t>611 E County Line Rd, Greenwood, IN 46142, USA</t>
  </si>
  <si>
    <t>Penrose</t>
  </si>
  <si>
    <t>530 Massachusetts Ave, Indianapolis, IN 46204, USA</t>
  </si>
  <si>
    <t>Market Tower</t>
  </si>
  <si>
    <t>139 N Illinois St, Indianapolis, IN 46204, USA</t>
  </si>
  <si>
    <t>Circle Centre Mall - Moon Garage</t>
  </si>
  <si>
    <t>49 W Maryland St Indianapolis, IN 46204, USA</t>
  </si>
  <si>
    <t>Indianapolis Public Library - Eagle Branch</t>
  </si>
  <si>
    <t>3905 Moller Rd, Indianapolis 46254</t>
  </si>
  <si>
    <t>Greenfield Area Chamber of Commerce</t>
  </si>
  <si>
    <t>6 W South St, Greenfield 46140</t>
  </si>
  <si>
    <t>Kohls</t>
  </si>
  <si>
    <t>9895 N Michigan Rd, Carmel 46032</t>
  </si>
  <si>
    <t>DELISTED</t>
  </si>
  <si>
    <t>Mercedes Benz Of Indianapolis</t>
  </si>
  <si>
    <t>4000 E 96th St, Indianapolis 46240</t>
  </si>
  <si>
    <t>OFFLINE</t>
  </si>
  <si>
    <t>REMOVED</t>
  </si>
  <si>
    <t>Fashion Mall</t>
  </si>
  <si>
    <t>8702 Keystone Crossing, Indianapolis, IN 46240, USA</t>
  </si>
  <si>
    <t>Castleton Square Mall</t>
  </si>
  <si>
    <t>6020 E 82nd St, Indianapolis 46250</t>
  </si>
  <si>
    <t>YMCA</t>
  </si>
  <si>
    <t>2120 Intelliplex Dr, Shelbyville 46176</t>
  </si>
  <si>
    <t>Simon Tower</t>
  </si>
  <si>
    <t>305 W Washington St, Indianapolis</t>
  </si>
  <si>
    <t>Added January 2024</t>
  </si>
  <si>
    <t>Monon 46</t>
  </si>
  <si>
    <t>4560 Ocean Street  Indianapolis, IN 46205</t>
  </si>
  <si>
    <t>Lee Supply</t>
  </si>
  <si>
    <t>6610 Guion Road Indianapolis, IN 46268</t>
  </si>
  <si>
    <t>Westfield HQ</t>
  </si>
  <si>
    <t>17219 Foundation Parkway, Westfield, IN, 46074</t>
  </si>
  <si>
    <t>Fastpark</t>
  </si>
  <si>
    <t>8550 Stansted Drive, Indianapolis, IN, 46241</t>
  </si>
  <si>
    <t>EMC SQUARED</t>
  </si>
  <si>
    <t>1250 Indiana Avenue, Indianapolis, IN, 46202</t>
  </si>
  <si>
    <t>Indianapolis Parking</t>
  </si>
  <si>
    <t>502 North Illinois Street Indianapolis, IN 46204</t>
  </si>
  <si>
    <t>Added April 2024</t>
  </si>
  <si>
    <t>Bank of America Financial Center</t>
  </si>
  <si>
    <t>301 East Market Street Indianapolis, IN 46204</t>
  </si>
  <si>
    <t>Indianapolis Public Library - Fort Ben Branch</t>
  </si>
  <si>
    <t>9330 East 56th Street, Indianapolis, IN, 46216</t>
  </si>
  <si>
    <t>Muse Carmel Apartment</t>
  </si>
  <si>
    <t>1685 East 116th Street, Carmel, IN, 46032</t>
  </si>
  <si>
    <t>Indianapolis Public Library - West Perry Branch</t>
  </si>
  <si>
    <t>6650 South Harding Street, Indianapolis, IN, 46217</t>
  </si>
  <si>
    <t>Milhaus HQ</t>
  </si>
  <si>
    <t>550 East Washington Street Indianapolis, IN 46204</t>
  </si>
  <si>
    <t>Added July 2024</t>
  </si>
  <si>
    <t>Hotel Broad Ripple</t>
  </si>
  <si>
    <t>6520 Westfield Boulevard, Indianapolis, IN, 46220</t>
  </si>
  <si>
    <t>IKEA</t>
  </si>
  <si>
    <t>11400 Ikea Way, Fishers, IN, 46037</t>
  </si>
  <si>
    <t>Tesco</t>
  </si>
  <si>
    <t>9955 Crosspoint Blvd.#100, Indianapolis, IN, 46256</t>
  </si>
  <si>
    <t>A</t>
  </si>
  <si>
    <t>Average $KWH</t>
  </si>
  <si>
    <t>B</t>
  </si>
  <si>
    <r>
      <rPr>
        <sz val="11"/>
        <color rgb="FF000000"/>
        <rFont val="Calibri"/>
        <family val="2"/>
      </rPr>
      <t>Rate SS</t>
    </r>
    <r>
      <rPr>
        <i/>
        <sz val="9"/>
        <color rgb="FF000000"/>
        <rFont val="Calibri"/>
        <family val="2"/>
      </rPr>
      <t xml:space="preserve"> (Reflective of Customer "free" charging)</t>
    </r>
  </si>
  <si>
    <t>C</t>
  </si>
  <si>
    <t>A+B/2</t>
  </si>
  <si>
    <t>D</t>
  </si>
  <si>
    <t>Utility Receipts Tax (1.4%)</t>
  </si>
  <si>
    <t>E</t>
  </si>
  <si>
    <t>C+D</t>
  </si>
  <si>
    <t>F</t>
  </si>
  <si>
    <t>Sales Tax (7%)</t>
  </si>
  <si>
    <t>G</t>
  </si>
  <si>
    <t>E+F: Average Rate</t>
  </si>
  <si>
    <t>Rate Comparison - DCFC</t>
  </si>
  <si>
    <t>IURC Order No. 45843</t>
  </si>
  <si>
    <t>8702 Keystone Crossing, Indianapolis, IN 46240</t>
  </si>
  <si>
    <t>Meijer</t>
  </si>
  <si>
    <t>8375 E 96th Street, Indianapolis, Indiana, 46256, US</t>
  </si>
  <si>
    <t>Walmart</t>
  </si>
  <si>
    <t>4650 South Emerson Avenue, Indianapolis, Indiana, 46203, US</t>
  </si>
  <si>
    <t>Chase Bank</t>
  </si>
  <si>
    <t>14801 Thatcher Ln, Carmel, IN 46032, USA</t>
  </si>
  <si>
    <t>IMPA</t>
  </si>
  <si>
    <t>11610 N College Ave, Carmel 46032</t>
  </si>
  <si>
    <t>Hamilton Town Center</t>
  </si>
  <si>
    <t>13901 Town Center Blvd, Noblesville, IN 46060, USA</t>
  </si>
  <si>
    <t>5325 E Southport Rd Indianapolis , IN 46237</t>
  </si>
  <si>
    <t>Added March 2024</t>
  </si>
  <si>
    <t>11351 E Washington St, Indianapolis, Indiana 46229</t>
  </si>
  <si>
    <t>Waterway Boulevard</t>
  </si>
  <si>
    <t>1220 Waterway Blvd Indianapolis IN 46202</t>
  </si>
  <si>
    <t>Rate Available - June 2024</t>
  </si>
  <si>
    <t>GetGo Cafe &amp; Market</t>
  </si>
  <si>
    <t>6311 Crawfordsville Road Speedway, IN 46224</t>
  </si>
  <si>
    <t>A+B</t>
  </si>
  <si>
    <t>C+D: Average Rate</t>
  </si>
  <si>
    <t>From Filing:</t>
  </si>
  <si>
    <t>Notes/Color Key</t>
  </si>
  <si>
    <t xml:space="preserve">Rate SS/Free Charging Excluded - most "free" sites that remain are either private or limited access and have flat rate parking fee associated. Not reflective of public L2 charging business models. </t>
  </si>
  <si>
    <t>Flat fee charging excluded as these aren't 1:1 comparisions with the price per kWh model and skew averages considerably. Data is still collected for transparency but isnt used in rate calculations.</t>
  </si>
  <si>
    <t xml:space="preserve">EVgo sites have rates that are weighted averages as they enforce demand based rates depending on the time of day. </t>
  </si>
  <si>
    <r>
      <rPr>
        <sz val="11"/>
        <color rgb="FF000000"/>
        <rFont val="Calibri"/>
        <family val="2"/>
      </rPr>
      <t>Rate SS</t>
    </r>
    <r>
      <rPr>
        <i/>
        <sz val="9"/>
        <color rgb="FF000000"/>
        <rFont val="Calibri"/>
        <family val="2"/>
      </rPr>
      <t xml:space="preserve"> (Reflective of Customer "free" charging 0.089)</t>
    </r>
  </si>
  <si>
    <t>Discont. See Note 1</t>
  </si>
  <si>
    <t>A+C</t>
  </si>
  <si>
    <t>E+D: Average Rate</t>
  </si>
  <si>
    <t>EVGo Rate Modeling</t>
  </si>
  <si>
    <t>12 AM - 8AM</t>
  </si>
  <si>
    <t>8AM - 2PM</t>
  </si>
  <si>
    <t>2PM-9PM</t>
  </si>
  <si>
    <t>9PM-12AM</t>
  </si>
  <si>
    <t>EVGo Rate Modeling - Summer</t>
  </si>
  <si>
    <t>8AM - 11AM</t>
  </si>
  <si>
    <t>11AM-6PM</t>
  </si>
  <si>
    <t>6PM-12AM</t>
  </si>
  <si>
    <t>Location</t>
  </si>
  <si>
    <t>Charger</t>
  </si>
  <si>
    <t>Max Output (kW)</t>
  </si>
  <si>
    <t>Cost Per Hour</t>
  </si>
  <si>
    <t>kWh per minute</t>
  </si>
  <si>
    <t>Cost per kWh</t>
  </si>
  <si>
    <t>EVgo</t>
  </si>
  <si>
    <t>The Fashion Mall at Keystone - East Parking Structure | Indianapolis, IN | EV Station (plugshare.com)</t>
  </si>
  <si>
    <t>Electrify America</t>
  </si>
  <si>
    <t>Meijer | Indianapolis, IN | EV Station (plugshare.com)</t>
  </si>
  <si>
    <t>Walmart Supercenter | Indianapolis, IN | EV Station (plugshare.com)</t>
  </si>
  <si>
    <t>Assumptions</t>
  </si>
  <si>
    <t>Average in central Indiana</t>
  </si>
  <si>
    <t>Source: Plugshare</t>
  </si>
  <si>
    <t>Based on DCFC stations with a minimum 50 kW charger rating</t>
  </si>
  <si>
    <t>DCFC locations identified in central Indiana (Marion and surrounding counties)</t>
  </si>
  <si>
    <t>All locations open to public 24/7</t>
  </si>
  <si>
    <t>Excludes Tesla Superchargers</t>
  </si>
  <si>
    <t>OEM</t>
  </si>
  <si>
    <t>Location Name</t>
  </si>
  <si>
    <t>Rate Set By</t>
  </si>
  <si>
    <t>Plug</t>
  </si>
  <si>
    <t>Hourly Rate</t>
  </si>
  <si>
    <t>Cost Per Minute</t>
  </si>
  <si>
    <t>Link</t>
  </si>
  <si>
    <t>CCS/Chademo</t>
  </si>
  <si>
    <t>CCS</t>
  </si>
  <si>
    <t>https://chargehub.com/map/#/en/map?lat=40.00397&amp;lng=-86.12665&amp;locId=117086</t>
  </si>
  <si>
    <t>ChargePoint</t>
  </si>
  <si>
    <t>Offline</t>
  </si>
  <si>
    <t>https://chargehub.com/en/full-details-page.html?locId=64056</t>
  </si>
  <si>
    <t>Chademo</t>
  </si>
  <si>
    <t>Charging station - Full Details | ChargeHub</t>
  </si>
  <si>
    <t>Tesla</t>
  </si>
  <si>
    <t>NACS</t>
  </si>
  <si>
    <t>Find Us | Tesla</t>
  </si>
  <si>
    <t>Based on publicly available level 2 stations that include a fee structure</t>
  </si>
  <si>
    <t>Locations identified in central Indiana</t>
  </si>
  <si>
    <t>Locations had to have pricing information publicized on Plugshare</t>
  </si>
  <si>
    <t>Chargepoint</t>
  </si>
  <si>
    <t>SIMON TOWER</t>
  </si>
  <si>
    <t xml:space="preserve"> EVSP Simon Property Group</t>
  </si>
  <si>
    <t>J1772</t>
  </si>
  <si>
    <t>https://driver.chargepoint.com/stations/748241</t>
  </si>
  <si>
    <t>1250 Indiana Ave, Indianapolis</t>
  </si>
  <si>
    <t>EMC2</t>
  </si>
  <si>
    <t>https://driver.chargepoint.com/stations/13488331</t>
  </si>
  <si>
    <t>1275 US Highway 31 North, Greenwood, IN, 46142</t>
  </si>
  <si>
    <t>https://chargehub.com/en/full-details-page.html?locId=68215</t>
  </si>
  <si>
    <t>https://chargehub.com/en/full-details-page.html?locId=40583</t>
  </si>
  <si>
    <t>Not Available</t>
  </si>
  <si>
    <t>Mercedes Benz Of Indianapolis | Indianapolis, IN | EV Station (plugshare.com)</t>
  </si>
  <si>
    <t>https://www.plugshare.com/location/62527</t>
  </si>
  <si>
    <t>Station: SIMON / CASTLETON SQR 1 (chargepoint.com)</t>
  </si>
  <si>
    <t>YMCA of Shelbyville | Shelbyville, IN | EV Station (plugshare.com)</t>
  </si>
  <si>
    <t xml:space="preserve"> Electron Charger</t>
  </si>
  <si>
    <t xml:space="preserve"> Fast Park &amp; Relax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</si>
</sst>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quot;$&quot;#,##0.00"/>
    <numFmt numFmtId="165" formatCode="0.00000"/>
    <numFmt numFmtId="166" formatCode="0.000"/>
    <numFmt numFmtId="167" formatCode="&quot;$&quot;#,##0.000"/>
    <numFmt numFmtId="168" formatCode="0.0"/>
    <numFmt numFmtId="169" formatCode="&quot;$&quot;#,##0.000_);[Red]\(&quot;$&quot;#,##0.000\)"/>
    <numFmt numFmtId="170" formatCode="_([$$-409]* #,##0.00_);_([$$-409]* \(#,##0.00\);_([$$-409]* &quot;-&quot;??_);_(@_)"/>
  </numFmts>
  <fonts count="27"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theme="0"/>
      <name val="Arial"/>
      <family val="2"/>
    </font>
    <font>
      <sz val="10"/>
      <color theme="1"/>
      <name val="Calibri"/>
      <family val="2"/>
      <scheme val="minor"/>
    </font>
    <font>
      <sz val="10"/>
      <color rgb="FF292929"/>
      <name val="Roboto"/>
      <family val="2"/>
      <charset val="1"/>
    </font>
    <font>
      <u/>
      <sz val="10"/>
      <color theme="10"/>
      <name val="Calibri"/>
      <family val="2"/>
      <scheme val="minor"/>
    </font>
    <font>
      <sz val="11"/>
      <color rgb="FFFF0000"/>
      <name val="Calibri"/>
      <family val="2"/>
      <scheme val="minor"/>
    </font>
    <font>
      <b/>
      <sz val="11"/>
      <color rgb="FFFF0000"/>
      <name val="Calibri"/>
      <family val="2"/>
      <scheme val="minor"/>
    </font>
    <font>
      <sz val="11"/>
      <color rgb="FF000000"/>
      <name val="Calibri"/>
      <family val="2"/>
    </font>
    <font>
      <b/>
      <sz val="11"/>
      <color rgb="FF000000"/>
      <name val="Calibri"/>
      <family val="2"/>
    </font>
    <font>
      <sz val="11"/>
      <color rgb="FF000000"/>
      <name val="Calibri"/>
      <family val="2"/>
      <scheme val="minor"/>
    </font>
    <font>
      <b/>
      <sz val="11"/>
      <color rgb="FF000000"/>
      <name val="Calibri"/>
      <family val="2"/>
      <scheme val="minor"/>
    </font>
    <font>
      <u/>
      <sz val="11"/>
      <color rgb="FFFF0000"/>
      <name val="Calibri"/>
      <family val="2"/>
      <scheme val="minor"/>
    </font>
    <font>
      <sz val="11"/>
      <color theme="2"/>
      <name val="Calibri"/>
      <family val="2"/>
      <scheme val="minor"/>
    </font>
    <font>
      <i/>
      <sz val="9"/>
      <color rgb="FF000000"/>
      <name val="Calibri"/>
      <family val="2"/>
    </font>
    <font>
      <i/>
      <sz val="11"/>
      <color rgb="FFFF0000"/>
      <name val="Calibri"/>
      <family val="2"/>
    </font>
    <font>
      <i/>
      <sz val="11"/>
      <color rgb="FF000000"/>
      <name val="Calibri"/>
      <family val="2"/>
      <scheme val="minor"/>
    </font>
    <font>
      <i/>
      <sz val="9"/>
      <color theme="1"/>
      <name val="Calibri"/>
      <family val="2"/>
      <scheme val="minor"/>
    </font>
    <font>
      <i/>
      <sz val="9"/>
      <color rgb="FFFF0000"/>
      <name val="Calibri"/>
      <family val="2"/>
      <scheme val="minor"/>
    </font>
    <font>
      <i/>
      <sz val="9"/>
      <color rgb="FF292929"/>
      <name val="Roboto"/>
      <family val="2"/>
      <charset val="1"/>
    </font>
    <font>
      <i/>
      <sz val="11"/>
      <color rgb="FF000000"/>
      <name val="Calibri"/>
      <family val="2"/>
    </font>
    <font>
      <i/>
      <sz val="10"/>
      <color theme="1"/>
      <name val="Calibri"/>
      <family val="2"/>
      <scheme val="minor"/>
    </font>
    <font>
      <sz val="11"/>
      <color theme="1"/>
      <name val="Calibri"/>
      <family val="2"/>
      <scheme val="minor"/>
    </font>
    <font>
      <sz val="8"/>
      <name val="Calibri"/>
      <family val="2"/>
      <scheme val="minor"/>
    </font>
    <font>
      <i/>
      <sz val="10"/>
      <color rgb="FFFF000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medium">
        <color rgb="FF000000"/>
      </left>
      <right style="medium">
        <color rgb="FF000000"/>
      </right>
      <top/>
      <bottom/>
      <diagonal/>
    </border>
    <border>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rgb="FF000000"/>
      </top>
      <bottom/>
      <diagonal/>
    </border>
    <border>
      <left style="medium">
        <color indexed="64"/>
      </left>
      <right/>
      <top style="medium">
        <color rgb="FF000000"/>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indexed="64"/>
      </top>
      <bottom style="thin">
        <color rgb="FF000000"/>
      </bottom>
      <diagonal/>
    </border>
    <border>
      <left/>
      <right/>
      <top style="medium">
        <color rgb="FF000000"/>
      </top>
      <bottom style="thin">
        <color rgb="FF000000"/>
      </bottom>
      <diagonal/>
    </border>
    <border>
      <left/>
      <right/>
      <top style="thin">
        <color rgb="FF000000"/>
      </top>
      <bottom style="medium">
        <color rgb="FF000000"/>
      </bottom>
      <diagonal/>
    </border>
  </borders>
  <cellStyleXfs count="3">
    <xf numFmtId="0" fontId="0" fillId="0" borderId="0"/>
    <xf numFmtId="0" fontId="3" fillId="0" borderId="0" applyNumberFormat="0" applyFill="0" applyBorder="0" applyAlignment="0" applyProtection="0"/>
    <xf numFmtId="44" fontId="24" fillId="0" borderId="0" applyFont="0" applyFill="0" applyBorder="0" applyAlignment="0" applyProtection="0"/>
  </cellStyleXfs>
  <cellXfs count="278">
    <xf numFmtId="0" fontId="0" fillId="0" borderId="0" xfId="0"/>
    <xf numFmtId="164" fontId="0" fillId="0" borderId="0" xfId="0" applyNumberFormat="1"/>
    <xf numFmtId="0" fontId="0" fillId="0" borderId="0" xfId="0" applyAlignment="1">
      <alignment horizontal="right"/>
    </xf>
    <xf numFmtId="1" fontId="0" fillId="0" borderId="0" xfId="0" applyNumberFormat="1"/>
    <xf numFmtId="1" fontId="0" fillId="0" borderId="0" xfId="0" applyNumberFormat="1" applyAlignment="1">
      <alignment horizontal="right"/>
    </xf>
    <xf numFmtId="165" fontId="0" fillId="0" borderId="0" xfId="0" applyNumberFormat="1"/>
    <xf numFmtId="166" fontId="0" fillId="0" borderId="0" xfId="0" applyNumberFormat="1"/>
    <xf numFmtId="166" fontId="0" fillId="0" borderId="0" xfId="0" applyNumberFormat="1" applyAlignment="1">
      <alignment horizontal="right"/>
    </xf>
    <xf numFmtId="167" fontId="0" fillId="0" borderId="0" xfId="0" applyNumberFormat="1"/>
    <xf numFmtId="0" fontId="2" fillId="2" borderId="0" xfId="0" applyFont="1" applyFill="1"/>
    <xf numFmtId="0" fontId="1" fillId="0" borderId="0" xfId="0" applyFont="1"/>
    <xf numFmtId="168" fontId="0" fillId="0" borderId="0" xfId="0" applyNumberFormat="1"/>
    <xf numFmtId="6" fontId="0" fillId="0" borderId="0" xfId="0" applyNumberFormat="1"/>
    <xf numFmtId="0" fontId="3" fillId="0" borderId="0" xfId="1"/>
    <xf numFmtId="0" fontId="0" fillId="0" borderId="0" xfId="0" applyAlignment="1">
      <alignment horizontal="center" vertical="center"/>
    </xf>
    <xf numFmtId="8" fontId="0" fillId="0" borderId="0" xfId="0" applyNumberFormat="1"/>
    <xf numFmtId="169" fontId="0" fillId="0" borderId="0" xfId="0" applyNumberFormat="1"/>
    <xf numFmtId="0" fontId="4" fillId="3" borderId="0" xfId="0" applyFont="1" applyFill="1"/>
    <xf numFmtId="0" fontId="5" fillId="0" borderId="0" xfId="0" applyFont="1"/>
    <xf numFmtId="0" fontId="6" fillId="0" borderId="0" xfId="0" applyFont="1"/>
    <xf numFmtId="8" fontId="5" fillId="0" borderId="0" xfId="0" applyNumberFormat="1" applyFont="1"/>
    <xf numFmtId="166" fontId="5" fillId="0" borderId="0" xfId="0" applyNumberFormat="1" applyFont="1"/>
    <xf numFmtId="169" fontId="5" fillId="0" borderId="0" xfId="0" applyNumberFormat="1" applyFont="1"/>
    <xf numFmtId="0" fontId="7" fillId="0" borderId="0" xfId="1" applyFont="1"/>
    <xf numFmtId="0" fontId="0" fillId="0" borderId="0" xfId="0" applyAlignment="1">
      <alignment wrapText="1"/>
    </xf>
    <xf numFmtId="168" fontId="5" fillId="0" borderId="0" xfId="0" applyNumberFormat="1" applyFont="1" applyAlignment="1">
      <alignment horizontal="center" vertical="center"/>
    </xf>
    <xf numFmtId="168" fontId="0" fillId="0" borderId="0" xfId="0" applyNumberFormat="1" applyAlignment="1">
      <alignment horizontal="center" vertical="center"/>
    </xf>
    <xf numFmtId="170" fontId="0" fillId="0" borderId="0" xfId="0" applyNumberFormat="1"/>
    <xf numFmtId="170" fontId="0" fillId="0" borderId="0" xfId="0" applyNumberFormat="1" applyAlignment="1">
      <alignment horizontal="right"/>
    </xf>
    <xf numFmtId="0" fontId="0" fillId="0" borderId="1" xfId="0" applyBorder="1"/>
    <xf numFmtId="170" fontId="0" fillId="0" borderId="1" xfId="0" applyNumberFormat="1" applyBorder="1"/>
    <xf numFmtId="170" fontId="1" fillId="0" borderId="3" xfId="0" applyNumberFormat="1" applyFont="1" applyBorder="1"/>
    <xf numFmtId="170" fontId="0" fillId="0" borderId="5" xfId="0" applyNumberFormat="1" applyBorder="1"/>
    <xf numFmtId="0" fontId="0" fillId="0" borderId="6" xfId="0" applyBorder="1"/>
    <xf numFmtId="0" fontId="0" fillId="0" borderId="3" xfId="0" applyBorder="1"/>
    <xf numFmtId="0" fontId="0" fillId="0" borderId="4" xfId="0" applyBorder="1"/>
    <xf numFmtId="0" fontId="0" fillId="0" borderId="5" xfId="0" applyBorder="1"/>
    <xf numFmtId="0" fontId="0" fillId="0" borderId="12" xfId="0" applyBorder="1"/>
    <xf numFmtId="9" fontId="0" fillId="0" borderId="14" xfId="0" applyNumberFormat="1" applyBorder="1"/>
    <xf numFmtId="0" fontId="0" fillId="0" borderId="16" xfId="0" applyBorder="1"/>
    <xf numFmtId="0" fontId="0" fillId="0" borderId="14" xfId="0" applyBorder="1"/>
    <xf numFmtId="0" fontId="0" fillId="0" borderId="15" xfId="0" applyBorder="1"/>
    <xf numFmtId="0" fontId="0" fillId="0" borderId="2" xfId="0" applyBorder="1"/>
    <xf numFmtId="0" fontId="0" fillId="0" borderId="17" xfId="0" applyBorder="1" applyAlignment="1">
      <alignment horizontal="center" vertical="center"/>
    </xf>
    <xf numFmtId="0" fontId="0" fillId="0" borderId="18" xfId="0" applyBorder="1"/>
    <xf numFmtId="170" fontId="0" fillId="0" borderId="7" xfId="0" applyNumberFormat="1" applyBorder="1"/>
    <xf numFmtId="170" fontId="1" fillId="0" borderId="2" xfId="0" applyNumberFormat="1" applyFont="1" applyBorder="1"/>
    <xf numFmtId="0" fontId="0" fillId="0" borderId="10" xfId="0" applyBorder="1"/>
    <xf numFmtId="0" fontId="0" fillId="0" borderId="8" xfId="0" applyBorder="1"/>
    <xf numFmtId="0" fontId="0" fillId="0" borderId="9" xfId="0" applyBorder="1"/>
    <xf numFmtId="170" fontId="0" fillId="0" borderId="11" xfId="0" applyNumberFormat="1" applyBorder="1"/>
    <xf numFmtId="9" fontId="0" fillId="0" borderId="13" xfId="0" applyNumberFormat="1" applyBorder="1"/>
    <xf numFmtId="9" fontId="8" fillId="0" borderId="15" xfId="0" applyNumberFormat="1" applyFont="1" applyBorder="1"/>
    <xf numFmtId="9" fontId="9" fillId="0" borderId="4" xfId="0" applyNumberFormat="1" applyFont="1" applyBorder="1"/>
    <xf numFmtId="0" fontId="0" fillId="0" borderId="19" xfId="0" applyBorder="1"/>
    <xf numFmtId="0" fontId="0" fillId="0" borderId="20" xfId="0" applyBorder="1"/>
    <xf numFmtId="17" fontId="0" fillId="0" borderId="21" xfId="0" applyNumberFormat="1" applyBorder="1" applyAlignment="1">
      <alignment horizontal="center" vertical="center"/>
    </xf>
    <xf numFmtId="17" fontId="0" fillId="0" borderId="22" xfId="0" applyNumberFormat="1" applyBorder="1" applyAlignment="1">
      <alignment horizontal="center" vertical="center"/>
    </xf>
    <xf numFmtId="17" fontId="1" fillId="4" borderId="23" xfId="0" applyNumberFormat="1" applyFont="1" applyFill="1" applyBorder="1" applyAlignment="1">
      <alignment horizontal="center" vertical="center"/>
    </xf>
    <xf numFmtId="17" fontId="0" fillId="0" borderId="24" xfId="0" applyNumberFormat="1" applyBorder="1" applyAlignment="1">
      <alignment horizontal="center" vertical="center"/>
    </xf>
    <xf numFmtId="0" fontId="1" fillId="4" borderId="23" xfId="0" applyFont="1" applyFill="1" applyBorder="1" applyAlignment="1">
      <alignment horizontal="center" vertical="center"/>
    </xf>
    <xf numFmtId="0" fontId="1" fillId="0" borderId="25" xfId="0" applyFont="1" applyBorder="1"/>
    <xf numFmtId="0" fontId="0" fillId="0" borderId="25" xfId="0" applyBorder="1"/>
    <xf numFmtId="0" fontId="10" fillId="0" borderId="0" xfId="0" applyFont="1"/>
    <xf numFmtId="8" fontId="10" fillId="0" borderId="0" xfId="0" applyNumberFormat="1" applyFont="1"/>
    <xf numFmtId="170" fontId="10" fillId="0" borderId="0" xfId="0" applyNumberFormat="1" applyFont="1"/>
    <xf numFmtId="0" fontId="11" fillId="0" borderId="0" xfId="0" applyFont="1" applyAlignment="1">
      <alignment horizontal="center" vertical="center"/>
    </xf>
    <xf numFmtId="17" fontId="11" fillId="0" borderId="0" xfId="0" applyNumberFormat="1" applyFont="1" applyAlignment="1">
      <alignment horizontal="center" vertical="center"/>
    </xf>
    <xf numFmtId="170" fontId="8" fillId="0" borderId="0" xfId="0" applyNumberFormat="1" applyFont="1"/>
    <xf numFmtId="0" fontId="8" fillId="0" borderId="0" xfId="0" applyFont="1"/>
    <xf numFmtId="0" fontId="1" fillId="5" borderId="0" xfId="0" applyFont="1" applyFill="1"/>
    <xf numFmtId="170" fontId="12" fillId="0" borderId="0" xfId="0" applyNumberFormat="1" applyFont="1"/>
    <xf numFmtId="166" fontId="8" fillId="0" borderId="0" xfId="0" applyNumberFormat="1" applyFont="1"/>
    <xf numFmtId="164" fontId="8" fillId="0" borderId="0" xfId="0" applyNumberFormat="1" applyFont="1"/>
    <xf numFmtId="168" fontId="8" fillId="0" borderId="0" xfId="0" applyNumberFormat="1" applyFont="1" applyAlignment="1">
      <alignment horizontal="center" vertical="center"/>
    </xf>
    <xf numFmtId="8" fontId="8" fillId="0" borderId="0" xfId="0" applyNumberFormat="1" applyFont="1"/>
    <xf numFmtId="169" fontId="8" fillId="0" borderId="0" xfId="0" applyNumberFormat="1" applyFont="1"/>
    <xf numFmtId="0" fontId="14" fillId="0" borderId="0" xfId="1" applyFont="1"/>
    <xf numFmtId="9" fontId="8" fillId="0" borderId="13" xfId="0" applyNumberFormat="1" applyFont="1" applyBorder="1"/>
    <xf numFmtId="9" fontId="8" fillId="0" borderId="14" xfId="0" applyNumberFormat="1" applyFont="1" applyBorder="1"/>
    <xf numFmtId="0" fontId="15" fillId="0" borderId="0" xfId="0" applyFont="1"/>
    <xf numFmtId="0" fontId="10" fillId="0" borderId="26" xfId="0" applyFont="1" applyBorder="1"/>
    <xf numFmtId="170" fontId="10" fillId="0" borderId="26" xfId="0" applyNumberFormat="1" applyFont="1" applyBorder="1"/>
    <xf numFmtId="0" fontId="1" fillId="0" borderId="0" xfId="0" applyFont="1" applyAlignment="1">
      <alignment horizontal="right"/>
    </xf>
    <xf numFmtId="0" fontId="18" fillId="0" borderId="0" xfId="0" applyFont="1"/>
    <xf numFmtId="0" fontId="12" fillId="0" borderId="0" xfId="0" applyFont="1"/>
    <xf numFmtId="0" fontId="19" fillId="0" borderId="0" xfId="0" applyFont="1"/>
    <xf numFmtId="0" fontId="20" fillId="0" borderId="0" xfId="0" applyFont="1"/>
    <xf numFmtId="0" fontId="21" fillId="0" borderId="0" xfId="0" applyFont="1"/>
    <xf numFmtId="0" fontId="0" fillId="0" borderId="0" xfId="0" applyAlignment="1">
      <alignment horizontal="left" vertical="center" wrapText="1"/>
    </xf>
    <xf numFmtId="0" fontId="0" fillId="0" borderId="26" xfId="0" applyBorder="1"/>
    <xf numFmtId="0" fontId="0" fillId="6" borderId="1" xfId="0" applyFill="1" applyBorder="1" applyAlignment="1">
      <alignment horizontal="center" vertical="center"/>
    </xf>
    <xf numFmtId="0" fontId="0" fillId="8" borderId="1" xfId="0" applyFill="1" applyBorder="1" applyAlignment="1">
      <alignment horizontal="center" vertical="center"/>
    </xf>
    <xf numFmtId="0" fontId="0" fillId="7" borderId="27" xfId="0" applyFill="1" applyBorder="1" applyAlignment="1">
      <alignment horizontal="center" vertical="center"/>
    </xf>
    <xf numFmtId="0" fontId="0" fillId="0" borderId="28" xfId="0" applyBorder="1"/>
    <xf numFmtId="0" fontId="0" fillId="0" borderId="29" xfId="0" applyBorder="1"/>
    <xf numFmtId="0" fontId="0" fillId="0" borderId="30" xfId="0" applyBorder="1"/>
    <xf numFmtId="0" fontId="11" fillId="0" borderId="31" xfId="0" applyFont="1" applyBorder="1" applyAlignment="1">
      <alignment horizontal="center" vertical="center"/>
    </xf>
    <xf numFmtId="0" fontId="11" fillId="0" borderId="26" xfId="0" applyFont="1" applyBorder="1" applyAlignment="1">
      <alignment horizontal="center" vertical="center"/>
    </xf>
    <xf numFmtId="0" fontId="11" fillId="0" borderId="32" xfId="0" applyFont="1" applyBorder="1"/>
    <xf numFmtId="0" fontId="0" fillId="0" borderId="34" xfId="0" applyBorder="1"/>
    <xf numFmtId="0" fontId="0" fillId="0" borderId="35" xfId="0" applyBorder="1"/>
    <xf numFmtId="170" fontId="10" fillId="7" borderId="37" xfId="0" applyNumberFormat="1" applyFont="1" applyFill="1" applyBorder="1"/>
    <xf numFmtId="170" fontId="0" fillId="6" borderId="37" xfId="0" applyNumberFormat="1" applyFill="1" applyBorder="1"/>
    <xf numFmtId="170" fontId="10" fillId="0" borderId="37" xfId="0" applyNumberFormat="1" applyFont="1" applyBorder="1"/>
    <xf numFmtId="170" fontId="10" fillId="6" borderId="37" xfId="0" applyNumberFormat="1" applyFont="1" applyFill="1" applyBorder="1"/>
    <xf numFmtId="170" fontId="10" fillId="0" borderId="36" xfId="0" applyNumberFormat="1" applyFont="1" applyBorder="1"/>
    <xf numFmtId="17" fontId="11" fillId="0" borderId="36" xfId="0" applyNumberFormat="1" applyFont="1" applyBorder="1" applyAlignment="1">
      <alignment horizontal="center" vertical="center"/>
    </xf>
    <xf numFmtId="0" fontId="8" fillId="6" borderId="37" xfId="0" applyFont="1" applyFill="1" applyBorder="1"/>
    <xf numFmtId="170" fontId="0" fillId="0" borderId="37" xfId="0" applyNumberFormat="1" applyBorder="1"/>
    <xf numFmtId="0" fontId="22" fillId="0" borderId="32" xfId="0" applyFont="1" applyBorder="1" applyAlignment="1">
      <alignment horizontal="center"/>
    </xf>
    <xf numFmtId="170" fontId="10" fillId="7" borderId="32" xfId="0" applyNumberFormat="1" applyFont="1" applyFill="1" applyBorder="1"/>
    <xf numFmtId="170" fontId="0" fillId="6" borderId="32" xfId="0" applyNumberFormat="1" applyFill="1" applyBorder="1"/>
    <xf numFmtId="170" fontId="10" fillId="0" borderId="32" xfId="0" applyNumberFormat="1" applyFont="1" applyBorder="1"/>
    <xf numFmtId="170" fontId="10" fillId="6" borderId="32" xfId="0" applyNumberFormat="1" applyFont="1" applyFill="1" applyBorder="1"/>
    <xf numFmtId="170" fontId="8" fillId="0" borderId="32" xfId="0" applyNumberFormat="1" applyFont="1" applyBorder="1"/>
    <xf numFmtId="170" fontId="10" fillId="0" borderId="31" xfId="0" applyNumberFormat="1" applyFont="1" applyBorder="1"/>
    <xf numFmtId="17" fontId="11" fillId="0" borderId="31" xfId="0" applyNumberFormat="1" applyFont="1" applyBorder="1" applyAlignment="1">
      <alignment horizontal="center" vertical="center"/>
    </xf>
    <xf numFmtId="0" fontId="8" fillId="6" borderId="32" xfId="0" applyFont="1" applyFill="1" applyBorder="1"/>
    <xf numFmtId="170" fontId="0" fillId="0" borderId="32" xfId="0" applyNumberFormat="1" applyBorder="1"/>
    <xf numFmtId="170" fontId="0" fillId="8" borderId="37" xfId="0" applyNumberFormat="1" applyFill="1" applyBorder="1"/>
    <xf numFmtId="0" fontId="11" fillId="0" borderId="23" xfId="0" applyFont="1" applyBorder="1" applyAlignment="1">
      <alignment horizontal="center" vertical="center"/>
    </xf>
    <xf numFmtId="0" fontId="22" fillId="0" borderId="25" xfId="0" applyFont="1" applyBorder="1" applyAlignment="1">
      <alignment horizontal="center"/>
    </xf>
    <xf numFmtId="170" fontId="10" fillId="7" borderId="25" xfId="0" applyNumberFormat="1" applyFont="1" applyFill="1" applyBorder="1"/>
    <xf numFmtId="170" fontId="0" fillId="6" borderId="25" xfId="0" applyNumberFormat="1" applyFill="1" applyBorder="1"/>
    <xf numFmtId="170" fontId="10" fillId="0" borderId="25" xfId="0" applyNumberFormat="1" applyFont="1" applyBorder="1"/>
    <xf numFmtId="170" fontId="10" fillId="6" borderId="25" xfId="0" applyNumberFormat="1" applyFont="1" applyFill="1" applyBorder="1"/>
    <xf numFmtId="8" fontId="10" fillId="0" borderId="25" xfId="0" applyNumberFormat="1" applyFont="1" applyBorder="1"/>
    <xf numFmtId="170" fontId="10" fillId="0" borderId="38" xfId="0" applyNumberFormat="1" applyFont="1" applyBorder="1"/>
    <xf numFmtId="170" fontId="17" fillId="7" borderId="25" xfId="0" applyNumberFormat="1" applyFont="1" applyFill="1" applyBorder="1"/>
    <xf numFmtId="17" fontId="11" fillId="0" borderId="26" xfId="0" applyNumberFormat="1" applyFont="1" applyBorder="1" applyAlignment="1">
      <alignment horizontal="center" vertical="center"/>
    </xf>
    <xf numFmtId="0" fontId="22" fillId="0" borderId="0" xfId="0" applyFont="1" applyAlignment="1">
      <alignment horizontal="center"/>
    </xf>
    <xf numFmtId="170" fontId="10" fillId="7" borderId="0" xfId="0" applyNumberFormat="1" applyFont="1" applyFill="1"/>
    <xf numFmtId="170" fontId="0" fillId="6" borderId="0" xfId="0" applyNumberFormat="1" applyFill="1"/>
    <xf numFmtId="170" fontId="10" fillId="6" borderId="0" xfId="0" applyNumberFormat="1" applyFont="1" applyFill="1"/>
    <xf numFmtId="0" fontId="8" fillId="6" borderId="0" xfId="0" applyFont="1" applyFill="1"/>
    <xf numFmtId="164" fontId="0" fillId="0" borderId="32" xfId="0" applyNumberFormat="1" applyBorder="1"/>
    <xf numFmtId="164" fontId="0" fillId="7" borderId="32" xfId="0" applyNumberFormat="1" applyFill="1" applyBorder="1"/>
    <xf numFmtId="170" fontId="12" fillId="8" borderId="37" xfId="0" applyNumberFormat="1" applyFont="1" applyFill="1" applyBorder="1"/>
    <xf numFmtId="170" fontId="12" fillId="0" borderId="37" xfId="0" applyNumberFormat="1" applyFont="1" applyBorder="1"/>
    <xf numFmtId="170" fontId="12" fillId="9" borderId="37" xfId="0" applyNumberFormat="1" applyFont="1" applyFill="1" applyBorder="1"/>
    <xf numFmtId="0" fontId="8" fillId="7" borderId="37" xfId="0" applyFont="1" applyFill="1" applyBorder="1"/>
    <xf numFmtId="164" fontId="0" fillId="7" borderId="0" xfId="0" applyNumberFormat="1" applyFill="1"/>
    <xf numFmtId="0" fontId="22" fillId="0" borderId="0" xfId="0" applyFont="1" applyAlignment="1">
      <alignment horizontal="center" vertical="center"/>
    </xf>
    <xf numFmtId="0" fontId="22" fillId="0" borderId="32" xfId="0" applyFont="1" applyBorder="1" applyAlignment="1">
      <alignment horizontal="center" vertical="center"/>
    </xf>
    <xf numFmtId="170" fontId="11" fillId="0" borderId="39" xfId="0" applyNumberFormat="1" applyFont="1" applyBorder="1"/>
    <xf numFmtId="170" fontId="11" fillId="0" borderId="29" xfId="0" applyNumberFormat="1" applyFont="1" applyBorder="1"/>
    <xf numFmtId="170" fontId="11" fillId="0" borderId="40" xfId="0" applyNumberFormat="1" applyFont="1" applyBorder="1"/>
    <xf numFmtId="170" fontId="0" fillId="0" borderId="33" xfId="0" applyNumberFormat="1" applyBorder="1"/>
    <xf numFmtId="8" fontId="10" fillId="0" borderId="33" xfId="0" applyNumberFormat="1" applyFont="1" applyBorder="1"/>
    <xf numFmtId="0" fontId="0" fillId="0" borderId="37" xfId="0" applyBorder="1"/>
    <xf numFmtId="0" fontId="3" fillId="5" borderId="32" xfId="1" applyFill="1" applyBorder="1"/>
    <xf numFmtId="170" fontId="11" fillId="0" borderId="41" xfId="0" applyNumberFormat="1" applyFont="1" applyBorder="1"/>
    <xf numFmtId="0" fontId="22" fillId="0" borderId="37" xfId="0" applyFont="1" applyBorder="1" applyAlignment="1">
      <alignment horizontal="center"/>
    </xf>
    <xf numFmtId="0" fontId="0" fillId="0" borderId="33" xfId="0" applyBorder="1"/>
    <xf numFmtId="170" fontId="11" fillId="0" borderId="42" xfId="0" applyNumberFormat="1" applyFont="1" applyBorder="1"/>
    <xf numFmtId="0" fontId="22" fillId="0" borderId="37" xfId="0" applyFont="1" applyBorder="1" applyAlignment="1">
      <alignment horizontal="center" vertical="center"/>
    </xf>
    <xf numFmtId="44" fontId="0" fillId="0" borderId="0" xfId="2" applyFont="1"/>
    <xf numFmtId="44" fontId="0" fillId="0" borderId="0" xfId="0" applyNumberFormat="1"/>
    <xf numFmtId="170" fontId="12" fillId="6" borderId="0" xfId="0" applyNumberFormat="1" applyFont="1" applyFill="1"/>
    <xf numFmtId="170" fontId="12" fillId="8" borderId="0" xfId="0" applyNumberFormat="1" applyFont="1" applyFill="1"/>
    <xf numFmtId="17" fontId="11" fillId="0" borderId="43" xfId="0" applyNumberFormat="1" applyFont="1" applyBorder="1" applyAlignment="1">
      <alignment horizontal="center" vertical="center"/>
    </xf>
    <xf numFmtId="0" fontId="0" fillId="0" borderId="44" xfId="0" applyBorder="1"/>
    <xf numFmtId="170" fontId="10" fillId="7" borderId="44" xfId="0" applyNumberFormat="1" applyFont="1" applyFill="1" applyBorder="1"/>
    <xf numFmtId="170" fontId="12" fillId="6" borderId="44" xfId="0" applyNumberFormat="1" applyFont="1" applyFill="1" applyBorder="1"/>
    <xf numFmtId="170" fontId="12" fillId="0" borderId="44" xfId="0" applyNumberFormat="1" applyFont="1" applyBorder="1"/>
    <xf numFmtId="170" fontId="10" fillId="6" borderId="44" xfId="0" applyNumberFormat="1" applyFont="1" applyFill="1" applyBorder="1"/>
    <xf numFmtId="44" fontId="0" fillId="0" borderId="44" xfId="2" applyFont="1" applyBorder="1"/>
    <xf numFmtId="0" fontId="8" fillId="6" borderId="44" xfId="0" applyFont="1" applyFill="1" applyBorder="1"/>
    <xf numFmtId="170" fontId="10" fillId="0" borderId="45" xfId="0" applyNumberFormat="1" applyFont="1" applyBorder="1"/>
    <xf numFmtId="170" fontId="10" fillId="0" borderId="44" xfId="0" applyNumberFormat="1" applyFont="1" applyBorder="1"/>
    <xf numFmtId="170" fontId="11" fillId="0" borderId="46" xfId="0" applyNumberFormat="1" applyFont="1" applyBorder="1"/>
    <xf numFmtId="170" fontId="12" fillId="9" borderId="0" xfId="0" applyNumberFormat="1" applyFont="1" applyFill="1"/>
    <xf numFmtId="0" fontId="8" fillId="7" borderId="0" xfId="0" applyFont="1" applyFill="1"/>
    <xf numFmtId="17" fontId="11" fillId="0" borderId="47" xfId="0" applyNumberFormat="1" applyFont="1" applyBorder="1" applyAlignment="1">
      <alignment horizontal="center" vertical="center"/>
    </xf>
    <xf numFmtId="0" fontId="0" fillId="0" borderId="48" xfId="0" applyBorder="1"/>
    <xf numFmtId="170" fontId="12" fillId="8" borderId="48" xfId="0" applyNumberFormat="1" applyFont="1" applyFill="1" applyBorder="1"/>
    <xf numFmtId="170" fontId="12" fillId="0" borderId="48" xfId="0" applyNumberFormat="1" applyFont="1" applyBorder="1"/>
    <xf numFmtId="170" fontId="12" fillId="9" borderId="48" xfId="0" applyNumberFormat="1" applyFont="1" applyFill="1" applyBorder="1"/>
    <xf numFmtId="0" fontId="8" fillId="7" borderId="48" xfId="0" applyFont="1" applyFill="1" applyBorder="1"/>
    <xf numFmtId="0" fontId="8" fillId="0" borderId="48" xfId="0" applyFont="1" applyBorder="1"/>
    <xf numFmtId="44" fontId="0" fillId="0" borderId="48" xfId="2" applyFont="1" applyBorder="1"/>
    <xf numFmtId="170" fontId="10" fillId="0" borderId="49" xfId="0" applyNumberFormat="1" applyFont="1" applyBorder="1"/>
    <xf numFmtId="170" fontId="10" fillId="0" borderId="48" xfId="0" applyNumberFormat="1" applyFont="1" applyBorder="1"/>
    <xf numFmtId="170" fontId="11" fillId="0" borderId="50" xfId="0" applyNumberFormat="1" applyFont="1" applyBorder="1"/>
    <xf numFmtId="0" fontId="11" fillId="0" borderId="43" xfId="0" applyFont="1" applyBorder="1" applyAlignment="1">
      <alignment horizontal="center" vertical="center"/>
    </xf>
    <xf numFmtId="0" fontId="22" fillId="0" borderId="44" xfId="0" applyFont="1" applyBorder="1" applyAlignment="1">
      <alignment horizontal="center" vertical="center"/>
    </xf>
    <xf numFmtId="164" fontId="0" fillId="0" borderId="44" xfId="0" applyNumberFormat="1" applyBorder="1"/>
    <xf numFmtId="164" fontId="0" fillId="7" borderId="44" xfId="0" applyNumberFormat="1" applyFill="1" applyBorder="1"/>
    <xf numFmtId="8" fontId="10" fillId="0" borderId="44" xfId="0" applyNumberFormat="1" applyFont="1" applyBorder="1"/>
    <xf numFmtId="170" fontId="26" fillId="0" borderId="44" xfId="0" applyNumberFormat="1" applyFont="1" applyBorder="1"/>
    <xf numFmtId="170" fontId="26" fillId="0" borderId="25" xfId="0" applyNumberFormat="1" applyFont="1" applyBorder="1"/>
    <xf numFmtId="170" fontId="0" fillId="0" borderId="19" xfId="0" applyNumberFormat="1" applyBorder="1"/>
    <xf numFmtId="0" fontId="20" fillId="10" borderId="0" xfId="0" applyFont="1" applyFill="1"/>
    <xf numFmtId="0" fontId="19" fillId="10" borderId="0" xfId="0" applyFont="1" applyFill="1"/>
    <xf numFmtId="17" fontId="11" fillId="0" borderId="23" xfId="0" applyNumberFormat="1" applyFont="1" applyBorder="1" applyAlignment="1">
      <alignment horizontal="center" vertical="center"/>
    </xf>
    <xf numFmtId="170" fontId="12" fillId="0" borderId="25" xfId="0" applyNumberFormat="1" applyFont="1" applyBorder="1"/>
    <xf numFmtId="44" fontId="0" fillId="0" borderId="25" xfId="2" applyFont="1" applyBorder="1"/>
    <xf numFmtId="0" fontId="8" fillId="6" borderId="25" xfId="0" applyFont="1" applyFill="1" applyBorder="1"/>
    <xf numFmtId="170" fontId="0" fillId="6" borderId="48" xfId="0" applyNumberFormat="1" applyFill="1" applyBorder="1"/>
    <xf numFmtId="170" fontId="10" fillId="6" borderId="48" xfId="0" applyNumberFormat="1" applyFont="1" applyFill="1" applyBorder="1"/>
    <xf numFmtId="0" fontId="8" fillId="6" borderId="48" xfId="0" applyFont="1" applyFill="1" applyBorder="1"/>
    <xf numFmtId="170" fontId="0" fillId="0" borderId="25" xfId="0" applyNumberFormat="1" applyBorder="1"/>
    <xf numFmtId="170" fontId="0" fillId="0" borderId="10" xfId="0" applyNumberFormat="1" applyBorder="1"/>
    <xf numFmtId="0" fontId="10" fillId="7" borderId="0" xfId="0" applyFont="1" applyFill="1"/>
    <xf numFmtId="164" fontId="5" fillId="0" borderId="0" xfId="0" applyNumberFormat="1" applyFont="1"/>
    <xf numFmtId="170" fontId="12" fillId="8" borderId="25" xfId="0" applyNumberFormat="1" applyFont="1" applyFill="1" applyBorder="1"/>
    <xf numFmtId="170" fontId="12" fillId="9" borderId="25" xfId="0" applyNumberFormat="1" applyFont="1" applyFill="1" applyBorder="1"/>
    <xf numFmtId="0" fontId="8" fillId="7" borderId="25" xfId="0" applyFont="1" applyFill="1" applyBorder="1"/>
    <xf numFmtId="0" fontId="8" fillId="0" borderId="25" xfId="0" applyFont="1" applyBorder="1"/>
    <xf numFmtId="0" fontId="0" fillId="0" borderId="51" xfId="0" applyBorder="1"/>
    <xf numFmtId="170" fontId="1" fillId="0" borderId="1" xfId="0" applyNumberFormat="1" applyFont="1" applyBorder="1"/>
    <xf numFmtId="9" fontId="9" fillId="0" borderId="1" xfId="0" applyNumberFormat="1" applyFont="1" applyBorder="1"/>
    <xf numFmtId="170" fontId="1" fillId="0" borderId="12" xfId="0" applyNumberFormat="1" applyFont="1" applyBorder="1"/>
    <xf numFmtId="170" fontId="0" fillId="0" borderId="6" xfId="0" applyNumberFormat="1" applyBorder="1"/>
    <xf numFmtId="170" fontId="1" fillId="0" borderId="6" xfId="0" applyNumberFormat="1" applyFont="1" applyBorder="1"/>
    <xf numFmtId="9" fontId="9" fillId="0" borderId="6" xfId="0" applyNumberFormat="1" applyFont="1" applyBorder="1"/>
    <xf numFmtId="170" fontId="1" fillId="0" borderId="52" xfId="0" applyNumberFormat="1" applyFont="1" applyBorder="1"/>
    <xf numFmtId="170" fontId="1" fillId="0" borderId="5" xfId="0" applyNumberFormat="1" applyFont="1" applyBorder="1"/>
    <xf numFmtId="9" fontId="9" fillId="0" borderId="5" xfId="0" applyNumberFormat="1" applyFont="1" applyBorder="1"/>
    <xf numFmtId="9" fontId="0" fillId="0" borderId="4" xfId="0" applyNumberFormat="1" applyBorder="1"/>
    <xf numFmtId="9" fontId="8" fillId="0" borderId="4" xfId="0" applyNumberFormat="1" applyFont="1" applyBorder="1"/>
    <xf numFmtId="9" fontId="13" fillId="0" borderId="6" xfId="0" applyNumberFormat="1" applyFont="1" applyBorder="1"/>
    <xf numFmtId="9" fontId="13" fillId="0" borderId="1" xfId="0" applyNumberFormat="1" applyFont="1" applyBorder="1"/>
    <xf numFmtId="9" fontId="13" fillId="0" borderId="5" xfId="0" applyNumberFormat="1" applyFont="1" applyBorder="1"/>
    <xf numFmtId="170" fontId="0" fillId="0" borderId="2" xfId="0" applyNumberFormat="1" applyBorder="1"/>
    <xf numFmtId="170" fontId="0" fillId="0" borderId="3" xfId="0" applyNumberFormat="1" applyBorder="1"/>
    <xf numFmtId="0" fontId="11" fillId="0" borderId="1" xfId="0" applyFont="1" applyBorder="1"/>
    <xf numFmtId="0" fontId="19" fillId="0" borderId="1" xfId="0" applyFont="1" applyBorder="1"/>
    <xf numFmtId="170" fontId="10" fillId="0" borderId="1" xfId="0" applyNumberFormat="1" applyFont="1" applyBorder="1"/>
    <xf numFmtId="170" fontId="10" fillId="7" borderId="1" xfId="0" applyNumberFormat="1" applyFont="1" applyFill="1" applyBorder="1"/>
    <xf numFmtId="170" fontId="12" fillId="6" borderId="1" xfId="0" applyNumberFormat="1" applyFont="1" applyFill="1" applyBorder="1"/>
    <xf numFmtId="170" fontId="0" fillId="6" borderId="1" xfId="0" applyNumberFormat="1" applyFill="1" applyBorder="1"/>
    <xf numFmtId="170" fontId="12" fillId="0" borderId="1" xfId="0" applyNumberFormat="1" applyFont="1" applyBorder="1"/>
    <xf numFmtId="170" fontId="10" fillId="6" borderId="1" xfId="0" applyNumberFormat="1" applyFont="1" applyFill="1" applyBorder="1"/>
    <xf numFmtId="44" fontId="0" fillId="0" borderId="1" xfId="2" applyFont="1" applyBorder="1"/>
    <xf numFmtId="0" fontId="20" fillId="0" borderId="1" xfId="0" applyFont="1" applyBorder="1"/>
    <xf numFmtId="0" fontId="8" fillId="0" borderId="1" xfId="0" applyFont="1" applyBorder="1"/>
    <xf numFmtId="0" fontId="8" fillId="6" borderId="1" xfId="0" applyFont="1" applyFill="1" applyBorder="1"/>
    <xf numFmtId="170" fontId="12" fillId="8" borderId="1" xfId="0" applyNumberFormat="1" applyFont="1" applyFill="1" applyBorder="1"/>
    <xf numFmtId="170" fontId="26" fillId="0" borderId="1" xfId="0" applyNumberFormat="1" applyFont="1" applyBorder="1"/>
    <xf numFmtId="0" fontId="21" fillId="0" borderId="5" xfId="0" applyFont="1" applyBorder="1"/>
    <xf numFmtId="0" fontId="19" fillId="0" borderId="5" xfId="0" applyFont="1" applyBorder="1"/>
    <xf numFmtId="0" fontId="20" fillId="10" borderId="5" xfId="0" applyFont="1" applyFill="1" applyBorder="1"/>
    <xf numFmtId="170" fontId="0" fillId="0" borderId="36" xfId="0" applyNumberFormat="1" applyBorder="1"/>
    <xf numFmtId="170" fontId="12" fillId="0" borderId="36" xfId="0" applyNumberFormat="1" applyFont="1" applyBorder="1"/>
    <xf numFmtId="17" fontId="11" fillId="0" borderId="1" xfId="0" applyNumberFormat="1" applyFont="1" applyBorder="1" applyAlignment="1">
      <alignment horizontal="center" vertical="center"/>
    </xf>
    <xf numFmtId="170" fontId="10" fillId="7" borderId="5" xfId="0" applyNumberFormat="1" applyFont="1" applyFill="1" applyBorder="1"/>
    <xf numFmtId="170" fontId="12" fillId="6" borderId="5" xfId="0" applyNumberFormat="1" applyFont="1" applyFill="1" applyBorder="1"/>
    <xf numFmtId="170" fontId="12" fillId="0" borderId="5" xfId="0" applyNumberFormat="1" applyFont="1" applyBorder="1"/>
    <xf numFmtId="170" fontId="10" fillId="6" borderId="5" xfId="0" applyNumberFormat="1" applyFont="1" applyFill="1" applyBorder="1"/>
    <xf numFmtId="44" fontId="0" fillId="0" borderId="5" xfId="2" applyFont="1" applyBorder="1"/>
    <xf numFmtId="0" fontId="8" fillId="6" borderId="5" xfId="0" applyFont="1" applyFill="1" applyBorder="1"/>
    <xf numFmtId="44" fontId="0" fillId="0" borderId="31" xfId="2" applyFont="1" applyBorder="1"/>
    <xf numFmtId="170" fontId="12" fillId="0" borderId="27" xfId="0" applyNumberFormat="1" applyFont="1" applyBorder="1"/>
    <xf numFmtId="0" fontId="11" fillId="0" borderId="1" xfId="0" applyFont="1" applyBorder="1" applyAlignment="1">
      <alignment horizontal="center" vertical="center"/>
    </xf>
    <xf numFmtId="17" fontId="11" fillId="0" borderId="6" xfId="0" applyNumberFormat="1" applyFont="1" applyBorder="1" applyAlignment="1">
      <alignment horizontal="center" vertical="center"/>
    </xf>
    <xf numFmtId="0" fontId="11" fillId="0" borderId="27" xfId="0" applyFont="1" applyBorder="1"/>
    <xf numFmtId="0" fontId="0" fillId="0" borderId="27" xfId="0" applyBorder="1"/>
    <xf numFmtId="170" fontId="11" fillId="0" borderId="1" xfId="0" applyNumberFormat="1" applyFont="1" applyBorder="1"/>
    <xf numFmtId="170" fontId="11" fillId="0" borderId="0" xfId="0" applyNumberFormat="1" applyFont="1"/>
    <xf numFmtId="9" fontId="12" fillId="0" borderId="13" xfId="0" applyNumberFormat="1" applyFont="1" applyBorder="1"/>
    <xf numFmtId="9" fontId="12" fillId="0" borderId="14" xfId="0" applyNumberFormat="1" applyFont="1" applyBorder="1"/>
    <xf numFmtId="9" fontId="12" fillId="0" borderId="15" xfId="0" applyNumberFormat="1" applyFont="1" applyBorder="1"/>
    <xf numFmtId="9" fontId="13" fillId="0" borderId="4" xfId="0" applyNumberFormat="1" applyFont="1" applyBorder="1"/>
    <xf numFmtId="9" fontId="12" fillId="0" borderId="4" xfId="0" applyNumberFormat="1" applyFont="1" applyBorder="1"/>
    <xf numFmtId="9" fontId="12" fillId="0" borderId="16" xfId="0" applyNumberFormat="1" applyFont="1" applyBorder="1"/>
    <xf numFmtId="170" fontId="0" fillId="0" borderId="53" xfId="0" applyNumberFormat="1" applyBorder="1"/>
    <xf numFmtId="170" fontId="0" fillId="0" borderId="12" xfId="0" applyNumberFormat="1" applyBorder="1"/>
    <xf numFmtId="9" fontId="12" fillId="0" borderId="54" xfId="0" applyNumberFormat="1" applyFont="1" applyBorder="1"/>
    <xf numFmtId="9" fontId="12" fillId="0" borderId="20" xfId="0" applyNumberFormat="1" applyFont="1" applyBorder="1"/>
    <xf numFmtId="0" fontId="11" fillId="0" borderId="0" xfId="0" applyFont="1"/>
    <xf numFmtId="0" fontId="23" fillId="0" borderId="0" xfId="0" applyFont="1" applyAlignment="1">
      <alignment horizontal="center" vertical="center" wrapText="1"/>
    </xf>
    <xf numFmtId="0" fontId="11" fillId="0" borderId="0" xfId="0" applyFont="1"/>
    <xf numFmtId="0" fontId="11" fillId="0" borderId="26" xfId="0" applyFont="1" applyBorder="1"/>
    <xf numFmtId="0" fontId="0" fillId="0" borderId="27" xfId="0" applyBorder="1" applyAlignment="1">
      <alignment horizontal="left" vertical="center" wrapText="1"/>
    </xf>
    <xf numFmtId="0" fontId="0" fillId="0" borderId="1" xfId="0" applyBorder="1" applyAlignment="1">
      <alignment horizontal="left" vertical="center" wrapText="1"/>
    </xf>
    <xf numFmtId="8" fontId="8" fillId="0" borderId="0" xfId="0" applyNumberFormat="1" applyFont="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513905</xdr:colOff>
      <xdr:row>13</xdr:row>
      <xdr:rowOff>56939</xdr:rowOff>
    </xdr:to>
    <xdr:pic>
      <xdr:nvPicPr>
        <xdr:cNvPr id="2" name="Picture 1">
          <a:extLst>
            <a:ext uri="{FF2B5EF4-FFF2-40B4-BE49-F238E27FC236}">
              <a16:creationId xmlns:a16="http://schemas.microsoft.com/office/drawing/2014/main" id="{8E44366C-5A8D-B983-94BE-0BD36573AC7C}"/>
            </a:ext>
          </a:extLst>
        </xdr:cNvPr>
        <xdr:cNvPicPr>
          <a:picLocks noChangeAspect="1"/>
        </xdr:cNvPicPr>
      </xdr:nvPicPr>
      <xdr:blipFill>
        <a:blip xmlns:r="http://schemas.openxmlformats.org/officeDocument/2006/relationships" r:embed="rId1"/>
        <a:stretch>
          <a:fillRect/>
        </a:stretch>
      </xdr:blipFill>
      <xdr:spPr>
        <a:xfrm>
          <a:off x="0" y="723900"/>
          <a:ext cx="3561905" cy="16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552450</xdr:colOff>
      <xdr:row>99</xdr:row>
      <xdr:rowOff>76200</xdr:rowOff>
    </xdr:from>
    <xdr:to>
      <xdr:col>4</xdr:col>
      <xdr:colOff>1011555</xdr:colOff>
      <xdr:row>112</xdr:row>
      <xdr:rowOff>11430</xdr:rowOff>
    </xdr:to>
    <xdr:pic>
      <xdr:nvPicPr>
        <xdr:cNvPr id="2" name="Picture 1">
          <a:extLst>
            <a:ext uri="{FF2B5EF4-FFF2-40B4-BE49-F238E27FC236}">
              <a16:creationId xmlns:a16="http://schemas.microsoft.com/office/drawing/2014/main" id="{2B80516F-0BDB-46D0-AFF9-92930B657D50}"/>
            </a:ext>
          </a:extLst>
        </xdr:cNvPr>
        <xdr:cNvPicPr>
          <a:picLocks noChangeAspect="1"/>
        </xdr:cNvPicPr>
      </xdr:nvPicPr>
      <xdr:blipFill>
        <a:blip xmlns:r="http://schemas.openxmlformats.org/officeDocument/2006/relationships" r:embed="rId1"/>
        <a:stretch>
          <a:fillRect/>
        </a:stretch>
      </xdr:blipFill>
      <xdr:spPr>
        <a:xfrm>
          <a:off x="552450" y="15887700"/>
          <a:ext cx="8239125" cy="254317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chargehub.com/en/full-details-page.html?locId=144856" TargetMode="External"/><Relationship Id="rId13" Type="http://schemas.openxmlformats.org/officeDocument/2006/relationships/hyperlink" Target="https://www.plugshare.com/location/507335" TargetMode="External"/><Relationship Id="rId18" Type="http://schemas.openxmlformats.org/officeDocument/2006/relationships/hyperlink" Target="https://www.plugshare.com/location/169562" TargetMode="External"/><Relationship Id="rId3" Type="http://schemas.openxmlformats.org/officeDocument/2006/relationships/hyperlink" Target="https://chargehub.com/en/full-details-page.html?locId=123793" TargetMode="External"/><Relationship Id="rId21" Type="http://schemas.openxmlformats.org/officeDocument/2006/relationships/hyperlink" Target="https://www.tesla.com/findus?v=2&amp;bounds=39.899557274262754%2C-86.00834641601561%2C39.70173245272285%2C-86.53294358398436&amp;zoom=12&amp;filters=store%2Cservice%2Csupercharger%2Cdestination%20charger%2Cbodyshop%2Cparty%2Cself%20serve%20demo%20drive%2Cnacs%2Cdelivery%20centers&amp;location=SpeedwayINsupercharger" TargetMode="External"/><Relationship Id="rId7" Type="http://schemas.openxmlformats.org/officeDocument/2006/relationships/hyperlink" Target="https://chargehub.com/en/full-details-page.html?locId=102106" TargetMode="External"/><Relationship Id="rId12" Type="http://schemas.openxmlformats.org/officeDocument/2006/relationships/hyperlink" Target="https://chargehub.com/en/full-details-page.html?locId=142036" TargetMode="External"/><Relationship Id="rId17" Type="http://schemas.openxmlformats.org/officeDocument/2006/relationships/hyperlink" Target="https://www.plugshare.com/location/420063" TargetMode="External"/><Relationship Id="rId2" Type="http://schemas.openxmlformats.org/officeDocument/2006/relationships/hyperlink" Target="https://chargehub.com/en/full-details-page.html?locId=144981" TargetMode="External"/><Relationship Id="rId16" Type="http://schemas.openxmlformats.org/officeDocument/2006/relationships/hyperlink" Target="https://www.plugshare.com/location/158717" TargetMode="External"/><Relationship Id="rId20" Type="http://schemas.openxmlformats.org/officeDocument/2006/relationships/hyperlink" Target="https://www.plugshare.com/location/62527" TargetMode="External"/><Relationship Id="rId1" Type="http://schemas.openxmlformats.org/officeDocument/2006/relationships/hyperlink" Target="https://chargehub.com/en/full-details-page.html?locId=129357" TargetMode="External"/><Relationship Id="rId6" Type="http://schemas.openxmlformats.org/officeDocument/2006/relationships/hyperlink" Target="https://chargehub.com/en/full-details-page.html?locId=50771" TargetMode="External"/><Relationship Id="rId11" Type="http://schemas.openxmlformats.org/officeDocument/2006/relationships/hyperlink" Target="https://chargehub.com/en/full-details-page.html?locId=58806" TargetMode="External"/><Relationship Id="rId5" Type="http://schemas.openxmlformats.org/officeDocument/2006/relationships/hyperlink" Target="https://chargehub.com/en/full-details-page.html?locId=146625" TargetMode="External"/><Relationship Id="rId15" Type="http://schemas.openxmlformats.org/officeDocument/2006/relationships/hyperlink" Target="https://www.plugshare.com/location/62528" TargetMode="External"/><Relationship Id="rId23" Type="http://schemas.openxmlformats.org/officeDocument/2006/relationships/drawing" Target="../drawings/drawing2.xml"/><Relationship Id="rId10" Type="http://schemas.openxmlformats.org/officeDocument/2006/relationships/hyperlink" Target="https://chargehub.com/en/full-details-page.html?locId=151422" TargetMode="External"/><Relationship Id="rId19" Type="http://schemas.openxmlformats.org/officeDocument/2006/relationships/hyperlink" Target="https://www.plugshare.com/location/425426" TargetMode="External"/><Relationship Id="rId4" Type="http://schemas.openxmlformats.org/officeDocument/2006/relationships/hyperlink" Target="https://chargehub.com/en/full-details-page.html?locId=136742" TargetMode="External"/><Relationship Id="rId9" Type="http://schemas.openxmlformats.org/officeDocument/2006/relationships/hyperlink" Target="https://chargehub.com/en/full-details-page.html?locId=145009" TargetMode="External"/><Relationship Id="rId14"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22" Type="http://schemas.openxmlformats.org/officeDocument/2006/relationships/hyperlink" Target="https://www.tesla.com/findus?v=2&amp;bounds=39.98220352026187%2C-85.65983383203125%2C39.586461448284965%2C-86.70902816796875&amp;zoom=11&amp;filters=store%2Cservice%2Csupercharger%2Cdestination%20charger%2Cbodyshop%2Cparty%2Cself%20serve%20demo%20drive%2Cnacs%2Cdelivery%20centers&amp;location=27279"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chargehub.com/en/full-details-page.html?locId=70371" TargetMode="External"/><Relationship Id="rId18" Type="http://schemas.openxmlformats.org/officeDocument/2006/relationships/hyperlink" Target="https://www.plugshare.com/location/226923" TargetMode="External"/><Relationship Id="rId26"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39" Type="http://schemas.openxmlformats.org/officeDocument/2006/relationships/customProperty" Target="../customProperty1.bin"/><Relationship Id="rId21" Type="http://schemas.openxmlformats.org/officeDocument/2006/relationships/hyperlink" Target="https://chargehub.com/en/full-details-page.html?locId=97181" TargetMode="External"/><Relationship Id="rId34" Type="http://schemas.openxmlformats.org/officeDocument/2006/relationships/hyperlink" Target="https://www.tesla.com/findus?v=2&amp;bounds=39.98220352026187%2C-85.65983383203125%2C39.586461448284965%2C-86.70902816796875&amp;zoom=11&amp;filters=store%2Cservice%2Csupercharger%2Cdestination%20charger%2Cbodyshop%2Cparty%2Cself%20serve%20demo%20drive%2Cnacs%2Cdelivery%20centers&amp;location=27279" TargetMode="External"/><Relationship Id="rId7" Type="http://schemas.openxmlformats.org/officeDocument/2006/relationships/hyperlink" Target="https://chargehub.com/en/full-details-page.html?locId=50771" TargetMode="External"/><Relationship Id="rId12" Type="http://schemas.openxmlformats.org/officeDocument/2006/relationships/hyperlink" Target="https://chargehub.com/en/full-details-page.html?locId=144854" TargetMode="External"/><Relationship Id="rId17" Type="http://schemas.openxmlformats.org/officeDocument/2006/relationships/hyperlink" Target="https://www.plugshare.com/location/62527" TargetMode="External"/><Relationship Id="rId25" Type="http://schemas.openxmlformats.org/officeDocument/2006/relationships/hyperlink" Target="https://www.plugshare.com/location/507335" TargetMode="External"/><Relationship Id="rId33" Type="http://schemas.openxmlformats.org/officeDocument/2006/relationships/hyperlink" Target="https://www.tesla.com/findus?v=2&amp;bounds=39.899557274262754%2C-86.00834641601561%2C39.70173245272285%2C-86.53294358398436&amp;zoom=12&amp;filters=store%2Cservice%2Csupercharger%2Cdestination%20charger%2Cbodyshop%2Cparty%2Cself%20serve%20demo%20drive%2Cnacs%2Cdelivery%20centers&amp;location=SpeedwayINsupercharger" TargetMode="External"/><Relationship Id="rId38" Type="http://schemas.openxmlformats.org/officeDocument/2006/relationships/hyperlink" Target="https://chargehub.com/en/full-details-page.html?locId=142036" TargetMode="External"/><Relationship Id="rId2" Type="http://schemas.openxmlformats.org/officeDocument/2006/relationships/hyperlink" Target="https://chargehub.com/en/full-details-page.html?locId=144981" TargetMode="External"/><Relationship Id="rId16" Type="http://schemas.openxmlformats.org/officeDocument/2006/relationships/hyperlink" Target="https://driver.chargepoint.com/stations/747311" TargetMode="External"/><Relationship Id="rId20" Type="http://schemas.openxmlformats.org/officeDocument/2006/relationships/hyperlink" Target="https://chargehub.com/en/full-details-page.html?locId=40583" TargetMode="External"/><Relationship Id="rId29" Type="http://schemas.openxmlformats.org/officeDocument/2006/relationships/hyperlink" Target="https://www.plugshare.com/location/420063" TargetMode="External"/><Relationship Id="rId1" Type="http://schemas.openxmlformats.org/officeDocument/2006/relationships/hyperlink" Target="https://chargehub.com/en/full-details-page.html?locId=129357" TargetMode="External"/><Relationship Id="rId6" Type="http://schemas.openxmlformats.org/officeDocument/2006/relationships/hyperlink" Target="https://chargehub.com/en/full-details-page.html?locId=146625" TargetMode="External"/><Relationship Id="rId11" Type="http://schemas.openxmlformats.org/officeDocument/2006/relationships/hyperlink" Target="https://chargehub.com/en/full-details-page.html?locId=114230" TargetMode="External"/><Relationship Id="rId24" Type="http://schemas.openxmlformats.org/officeDocument/2006/relationships/hyperlink" Target="https://www.plugshare.com/location/431902" TargetMode="External"/><Relationship Id="rId32" Type="http://schemas.openxmlformats.org/officeDocument/2006/relationships/hyperlink" Target="https://www.plugshare.com/location/62527" TargetMode="External"/><Relationship Id="rId37" Type="http://schemas.openxmlformats.org/officeDocument/2006/relationships/hyperlink" Target="https://chargehub.com/en/full-details-page.html?locId=58806" TargetMode="External"/><Relationship Id="rId5" Type="http://schemas.openxmlformats.org/officeDocument/2006/relationships/hyperlink" Target="https://chargehub.com/en/full-details-page.html?locId=129670" TargetMode="External"/><Relationship Id="rId15" Type="http://schemas.openxmlformats.org/officeDocument/2006/relationships/hyperlink" Target="https://www.plugshare.com/location/326665" TargetMode="External"/><Relationship Id="rId23" Type="http://schemas.openxmlformats.org/officeDocument/2006/relationships/hyperlink" Target="https://www.plugshare.com/location/272750" TargetMode="External"/><Relationship Id="rId28" Type="http://schemas.openxmlformats.org/officeDocument/2006/relationships/hyperlink" Target="https://www.plugshare.com/location/158717" TargetMode="External"/><Relationship Id="rId36" Type="http://schemas.openxmlformats.org/officeDocument/2006/relationships/hyperlink" Target="https://chargehub.com/en/full-details-page.html?locId=151422" TargetMode="External"/><Relationship Id="rId10" Type="http://schemas.openxmlformats.org/officeDocument/2006/relationships/hyperlink" Target="https://chargehub.com/en/full-details-page.html?locId=144856" TargetMode="External"/><Relationship Id="rId19" Type="http://schemas.openxmlformats.org/officeDocument/2006/relationships/hyperlink" Target="https://www.plugshare.com/location/213941" TargetMode="External"/><Relationship Id="rId31" Type="http://schemas.openxmlformats.org/officeDocument/2006/relationships/hyperlink" Target="https://www.plugshare.com/location/425426" TargetMode="External"/><Relationship Id="rId4" Type="http://schemas.openxmlformats.org/officeDocument/2006/relationships/hyperlink" Target="https://chargehub.com/en/full-details-page.html?locId=136742" TargetMode="External"/><Relationship Id="rId9" Type="http://schemas.openxmlformats.org/officeDocument/2006/relationships/hyperlink" Target="https://chargehub.com/en/full-details-page.html?locId=102106" TargetMode="External"/><Relationship Id="rId14" Type="http://schemas.openxmlformats.org/officeDocument/2006/relationships/hyperlink" Target="https://chargehub.com/en/full-details-page.html?locId=68215" TargetMode="External"/><Relationship Id="rId22" Type="http://schemas.openxmlformats.org/officeDocument/2006/relationships/hyperlink" Target="https://chargehub.com/en/full-details-page.html?locId=67959" TargetMode="External"/><Relationship Id="rId27" Type="http://schemas.openxmlformats.org/officeDocument/2006/relationships/hyperlink" Target="https://www.plugshare.com/location/62528" TargetMode="External"/><Relationship Id="rId30" Type="http://schemas.openxmlformats.org/officeDocument/2006/relationships/hyperlink" Target="https://www.plugshare.com/location/169562" TargetMode="External"/><Relationship Id="rId35" Type="http://schemas.openxmlformats.org/officeDocument/2006/relationships/hyperlink" Target="https://chargehub.com/en/full-details-page.html?locId=145009" TargetMode="External"/><Relationship Id="rId8" Type="http://schemas.openxmlformats.org/officeDocument/2006/relationships/hyperlink" Target="https://chargehub.com/en/full-details-page.html?locId=98053" TargetMode="External"/><Relationship Id="rId3" Type="http://schemas.openxmlformats.org/officeDocument/2006/relationships/hyperlink" Target="https://chargehub.com/en/full-details-page.html?locId=123793"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plugshare.com/location/62527" TargetMode="External"/><Relationship Id="rId2" Type="http://schemas.openxmlformats.org/officeDocument/2006/relationships/hyperlink" Target="https://www.plugshare.com/location/425426" TargetMode="External"/><Relationship Id="rId1" Type="http://schemas.openxmlformats.org/officeDocument/2006/relationships/hyperlink" Target="https://www.plugshare.com/location/169562" TargetMode="External"/><Relationship Id="rId4"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lugshare.com/location/425426" TargetMode="External"/><Relationship Id="rId7" Type="http://schemas.openxmlformats.org/officeDocument/2006/relationships/hyperlink" Target="https://www.tesla.com/findus?v=2&amp;bounds=39.91988963818074%2C-85.41968669453124%2C39.409289506643944%2C-86.73255290546874&amp;zoom=11&amp;filters=store%2Cservice%2Csupercharger%2Cdestination%20charger%2Cbodyshop%2Cparty%2Cself%20serve%20demo%20drive%2Cnacs%2Cdelivery%20centers&amp;location=IndianapolisINSupercharger" TargetMode="External"/><Relationship Id="rId2" Type="http://schemas.openxmlformats.org/officeDocument/2006/relationships/hyperlink" Target="https://www.plugshare.com/location/169562" TargetMode="External"/><Relationship Id="rId1" Type="http://schemas.openxmlformats.org/officeDocument/2006/relationships/hyperlink" Target="https://www.plugshare.com/location/62527" TargetMode="External"/><Relationship Id="rId6" Type="http://schemas.openxmlformats.org/officeDocument/2006/relationships/hyperlink" Target="https://chargehub.com/en/full-details-page.html?locId=44821" TargetMode="External"/><Relationship Id="rId5" Type="http://schemas.openxmlformats.org/officeDocument/2006/relationships/hyperlink" Target="https://chargehub.com/en/full-details-page.html?locId=64056" TargetMode="External"/><Relationship Id="rId4" Type="http://schemas.openxmlformats.org/officeDocument/2006/relationships/hyperlink" Target="https://chargehub.com/map/"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plugshare.com/location/326665" TargetMode="External"/><Relationship Id="rId13" Type="http://schemas.openxmlformats.org/officeDocument/2006/relationships/hyperlink" Target="https://chargehub.com/en/full-details-page.html?locId=50771" TargetMode="External"/><Relationship Id="rId3" Type="http://schemas.openxmlformats.org/officeDocument/2006/relationships/hyperlink" Target="https://chargehub.com/en/full-details-page.html?locId=68215" TargetMode="External"/><Relationship Id="rId7" Type="http://schemas.openxmlformats.org/officeDocument/2006/relationships/hyperlink" Target="https://chargehub.com/en/full-details-page.html?locId=129670" TargetMode="External"/><Relationship Id="rId12" Type="http://schemas.openxmlformats.org/officeDocument/2006/relationships/hyperlink" Target="https://chargehub.com/en/full-details-page.html?locId=144856" TargetMode="External"/><Relationship Id="rId2" Type="http://schemas.openxmlformats.org/officeDocument/2006/relationships/hyperlink" Target="https://driver.chargepoint.com/stations/13488331" TargetMode="External"/><Relationship Id="rId1" Type="http://schemas.openxmlformats.org/officeDocument/2006/relationships/hyperlink" Target="https://driver.chargepoint.com/stations/748241" TargetMode="External"/><Relationship Id="rId6" Type="http://schemas.openxmlformats.org/officeDocument/2006/relationships/hyperlink" Target="https://chargehub.com/en/full-details-page.html?locId=77723" TargetMode="External"/><Relationship Id="rId11" Type="http://schemas.openxmlformats.org/officeDocument/2006/relationships/hyperlink" Target="https://chargehub.com/en/full-details-page.html?locId=114230" TargetMode="External"/><Relationship Id="rId5" Type="http://schemas.openxmlformats.org/officeDocument/2006/relationships/hyperlink" Target="https://chargehub.com/en/full-details-page.html?locId=40583" TargetMode="External"/><Relationship Id="rId10" Type="http://schemas.openxmlformats.org/officeDocument/2006/relationships/hyperlink" Target="https://chargehub.com/en/full-details-page.html?locId=144854" TargetMode="External"/><Relationship Id="rId4" Type="http://schemas.openxmlformats.org/officeDocument/2006/relationships/hyperlink" Target="https://www.plugshare.com/location/62527" TargetMode="External"/><Relationship Id="rId9" Type="http://schemas.openxmlformats.org/officeDocument/2006/relationships/hyperlink" Target="https://driver.chargepoint.com/stations/747311" TargetMode="External"/><Relationship Id="rId14" Type="http://schemas.openxmlformats.org/officeDocument/2006/relationships/hyperlink" Target="https://www.plugshare.com/location/226923"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plugshare.com/location/326665" TargetMode="External"/><Relationship Id="rId13" Type="http://schemas.openxmlformats.org/officeDocument/2006/relationships/hyperlink" Target="https://chargehub.com/en/full-details-page.html?locId=50771" TargetMode="External"/><Relationship Id="rId3" Type="http://schemas.openxmlformats.org/officeDocument/2006/relationships/hyperlink" Target="https://chargehub.com/en/full-details-page.html?locId=68215" TargetMode="External"/><Relationship Id="rId7" Type="http://schemas.openxmlformats.org/officeDocument/2006/relationships/hyperlink" Target="https://chargehub.com/en/full-details-page.html?locId=129670" TargetMode="External"/><Relationship Id="rId12" Type="http://schemas.openxmlformats.org/officeDocument/2006/relationships/hyperlink" Target="https://chargehub.com/en/full-details-page.html?locId=144856" TargetMode="External"/><Relationship Id="rId2" Type="http://schemas.openxmlformats.org/officeDocument/2006/relationships/hyperlink" Target="https://driver.chargepoint.com/stations/13488331" TargetMode="External"/><Relationship Id="rId1" Type="http://schemas.openxmlformats.org/officeDocument/2006/relationships/hyperlink" Target="https://driver.chargepoint.com/stations/748241" TargetMode="External"/><Relationship Id="rId6" Type="http://schemas.openxmlformats.org/officeDocument/2006/relationships/hyperlink" Target="https://chargehub.com/en/full-details-page.html?locId=77723" TargetMode="External"/><Relationship Id="rId11" Type="http://schemas.openxmlformats.org/officeDocument/2006/relationships/hyperlink" Target="https://chargehub.com/en/full-details-page.html?locId=114230" TargetMode="External"/><Relationship Id="rId5" Type="http://schemas.openxmlformats.org/officeDocument/2006/relationships/hyperlink" Target="https://chargehub.com/en/full-details-page.html?locId=40583" TargetMode="External"/><Relationship Id="rId10" Type="http://schemas.openxmlformats.org/officeDocument/2006/relationships/hyperlink" Target="https://chargehub.com/en/full-details-page.html?locId=144854" TargetMode="External"/><Relationship Id="rId4" Type="http://schemas.openxmlformats.org/officeDocument/2006/relationships/hyperlink" Target="https://www.plugshare.com/location/62527" TargetMode="External"/><Relationship Id="rId9" Type="http://schemas.openxmlformats.org/officeDocument/2006/relationships/hyperlink" Target="https://driver.chargepoint.com/stations/747311" TargetMode="External"/><Relationship Id="rId14" Type="http://schemas.openxmlformats.org/officeDocument/2006/relationships/hyperlink" Target="https://www.plugshare.com/location/2269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6C0FA-5901-4EAE-AABC-5612AF2427E3}">
  <dimension ref="A1:A3"/>
  <sheetViews>
    <sheetView tabSelected="1" workbookViewId="0">
      <selection activeCell="C17" sqref="C17"/>
    </sheetView>
  </sheetViews>
  <sheetFormatPr defaultRowHeight="14.5" x14ac:dyDescent="0.35"/>
  <sheetData>
    <row r="1" spans="1:1" x14ac:dyDescent="0.35">
      <c r="A1" t="s">
        <v>0</v>
      </c>
    </row>
    <row r="2" spans="1:1" x14ac:dyDescent="0.35">
      <c r="A2" t="s">
        <v>1</v>
      </c>
    </row>
    <row r="3" spans="1:1" x14ac:dyDescent="0.35">
      <c r="A3" t="s">
        <v>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BE8F-EF85-4532-A415-0B30E8BE3C4A}">
  <dimension ref="B1:AC23"/>
  <sheetViews>
    <sheetView showGridLines="0" view="pageLayout" topLeftCell="H1" zoomScaleNormal="100" zoomScaleSheetLayoutView="100" workbookViewId="0">
      <selection activeCell="V27" sqref="V27"/>
    </sheetView>
  </sheetViews>
  <sheetFormatPr defaultRowHeight="14.5" x14ac:dyDescent="0.35"/>
  <sheetData>
    <row r="1" spans="2:21" x14ac:dyDescent="0.35">
      <c r="B1" s="10" t="s">
        <v>3</v>
      </c>
    </row>
    <row r="2" spans="2:21" s="14" customFormat="1" x14ac:dyDescent="0.35">
      <c r="B2" s="43"/>
      <c r="C2" s="56">
        <v>45292</v>
      </c>
      <c r="D2" s="56">
        <v>45323</v>
      </c>
      <c r="E2" s="57">
        <v>45352</v>
      </c>
      <c r="F2" s="58" t="s">
        <v>4</v>
      </c>
      <c r="G2" s="59">
        <v>45383</v>
      </c>
      <c r="H2" s="56">
        <v>45413</v>
      </c>
      <c r="I2" s="57">
        <v>45444</v>
      </c>
      <c r="J2" s="58" t="s">
        <v>5</v>
      </c>
      <c r="K2" s="59">
        <v>45474</v>
      </c>
      <c r="L2" s="56">
        <v>45505</v>
      </c>
      <c r="M2" s="57">
        <v>45536</v>
      </c>
      <c r="N2" s="58" t="s">
        <v>6</v>
      </c>
      <c r="O2" s="59">
        <v>45566</v>
      </c>
      <c r="P2" s="56">
        <v>45597</v>
      </c>
      <c r="Q2" s="57">
        <v>45627</v>
      </c>
      <c r="R2" s="60" t="s">
        <v>7</v>
      </c>
      <c r="T2" s="10" t="s">
        <v>8</v>
      </c>
    </row>
    <row r="3" spans="2:21" x14ac:dyDescent="0.35">
      <c r="B3" s="54" t="s">
        <v>9</v>
      </c>
      <c r="C3" s="45">
        <f>'Rate Comparisons - Summary - V1'!E71</f>
        <v>0.36165999999999998</v>
      </c>
      <c r="D3" s="45">
        <f>'Rate Comparisons - Summary - V1'!F71</f>
        <v>0.36165999999999998</v>
      </c>
      <c r="E3" s="45">
        <f>'Rate Comparisons - Summary - V1'!G71</f>
        <v>0.58154927999999995</v>
      </c>
      <c r="F3" s="46">
        <f>AVERAGE(C3:E3)</f>
        <v>0.43495642666666662</v>
      </c>
      <c r="G3" s="45">
        <f>'Rate Comparisons - Summary - V1'!H71</f>
        <v>0.5858892</v>
      </c>
      <c r="H3" s="45">
        <f>'Rate Comparisons - Summary - V1'!I71</f>
        <v>0.59131410000000006</v>
      </c>
      <c r="I3" s="45">
        <f>'Rate Comparisons - Summary - V1'!J71</f>
        <v>0.57232695000000011</v>
      </c>
      <c r="J3" s="46">
        <f>AVERAGE(G3:I3)</f>
        <v>0.58317675000000002</v>
      </c>
      <c r="K3" s="203">
        <f>'Rate Comparisons - Summary - V1'!K71</f>
        <v>0.57232695000000011</v>
      </c>
      <c r="L3" s="203">
        <f>'Rate Comparisons - Summary - V1'!L71</f>
        <v>0.57232695000000011</v>
      </c>
      <c r="M3" s="267">
        <f>'Rate Comparisons - Summary - V1'!M71</f>
        <v>0.60035559999999999</v>
      </c>
      <c r="N3" s="225">
        <f>AVERAGE(K3:M3)</f>
        <v>0.58166983333333333</v>
      </c>
      <c r="O3" s="47"/>
      <c r="P3" s="48"/>
      <c r="Q3" s="49"/>
      <c r="R3" s="42"/>
      <c r="T3" t="s">
        <v>10</v>
      </c>
    </row>
    <row r="4" spans="2:21" x14ac:dyDescent="0.35">
      <c r="B4" s="37" t="s">
        <v>11</v>
      </c>
      <c r="C4" s="50">
        <v>0.35699999999999998</v>
      </c>
      <c r="D4" s="30">
        <v>0.35699999999999998</v>
      </c>
      <c r="E4" s="32">
        <v>0.35699999999999998</v>
      </c>
      <c r="F4" s="31">
        <f>AVERAGE(C4:E4)</f>
        <v>0.35699999999999998</v>
      </c>
      <c r="G4" s="226">
        <f t="shared" ref="G4:J4" si="0">AVERAGE(D4:F4)</f>
        <v>0.35699999999999998</v>
      </c>
      <c r="H4" s="226">
        <f t="shared" si="0"/>
        <v>0.35699999999999998</v>
      </c>
      <c r="I4" s="226">
        <f t="shared" si="0"/>
        <v>0.35699999999999998</v>
      </c>
      <c r="J4" s="31">
        <f t="shared" si="0"/>
        <v>0.35699999999999998</v>
      </c>
      <c r="K4" s="226">
        <f t="shared" ref="K4" si="1">AVERAGE(H4:J4)</f>
        <v>0.35699999999999998</v>
      </c>
      <c r="L4" s="226">
        <f t="shared" ref="L4" si="2">AVERAGE(I4:K4)</f>
        <v>0.35699999999999998</v>
      </c>
      <c r="M4" s="268">
        <f t="shared" ref="M4" si="3">AVERAGE(J4:L4)</f>
        <v>0.35699999999999998</v>
      </c>
      <c r="N4" s="226">
        <f>AVERAGE(K4:M4)</f>
        <v>0.35699999999999998</v>
      </c>
      <c r="O4" s="33"/>
      <c r="P4" s="29"/>
      <c r="Q4" s="36"/>
      <c r="R4" s="34"/>
      <c r="T4" t="s">
        <v>12</v>
      </c>
    </row>
    <row r="5" spans="2:21" x14ac:dyDescent="0.35">
      <c r="B5" s="55" t="s">
        <v>13</v>
      </c>
      <c r="C5" s="261">
        <f>(C4-C3)/((C4+C3)/2)</f>
        <v>-1.2968580413547429E-2</v>
      </c>
      <c r="D5" s="262">
        <f t="shared" ref="D5:F5" si="4">(D4-D3)/((D4+D3)/2)</f>
        <v>-1.2968580413547429E-2</v>
      </c>
      <c r="E5" s="263">
        <f t="shared" si="4"/>
        <v>-0.4785029082330125</v>
      </c>
      <c r="F5" s="264">
        <f t="shared" si="4"/>
        <v>-0.19687049449117835</v>
      </c>
      <c r="G5" s="261">
        <f>(G4-G3)/((G4+G3)/2)</f>
        <v>-0.48550603824924504</v>
      </c>
      <c r="H5" s="262">
        <f t="shared" ref="H5:J5" si="5">(H4-H3)/((H4+H3)/2)</f>
        <v>-0.49416981145803923</v>
      </c>
      <c r="I5" s="263">
        <f t="shared" si="5"/>
        <v>-0.46340407969445008</v>
      </c>
      <c r="J5" s="264">
        <f t="shared" si="5"/>
        <v>-0.48113665861233013</v>
      </c>
      <c r="K5" s="266">
        <f>(K4-K3)/((K4+K3)/2)</f>
        <v>-0.46340407969445008</v>
      </c>
      <c r="L5" s="266">
        <f t="shared" ref="L5:M5" si="6">(L4-L3)/((L4+L3)/2)</f>
        <v>-0.46340407969445008</v>
      </c>
      <c r="M5" s="269">
        <f t="shared" si="6"/>
        <v>-0.50839123936810948</v>
      </c>
      <c r="N5" s="265">
        <f>AVERAGE(K5:M5)</f>
        <v>-0.47839979958566986</v>
      </c>
      <c r="O5" s="39"/>
      <c r="P5" s="40"/>
      <c r="Q5" s="41"/>
      <c r="R5" s="35"/>
    </row>
    <row r="6" spans="2:21" x14ac:dyDescent="0.35">
      <c r="B6" s="44"/>
      <c r="F6" s="61"/>
      <c r="J6" s="62"/>
      <c r="N6" s="62"/>
      <c r="R6" s="62"/>
    </row>
    <row r="7" spans="2:21" x14ac:dyDescent="0.35">
      <c r="B7" s="54" t="s">
        <v>14</v>
      </c>
      <c r="C7" s="45">
        <f>'Rate Comparisons - Summary - V1'!E46</f>
        <v>0.30680914033289242</v>
      </c>
      <c r="D7" s="45">
        <f>'Rate Comparisons - Summary - V1'!F46</f>
        <v>0.33691840293522057</v>
      </c>
      <c r="E7" s="45">
        <f>'Rate Comparisons - Summary - V1'!G46</f>
        <v>0.33773619599840743</v>
      </c>
      <c r="F7" s="46">
        <f>AVERAGE(C7:E7)</f>
        <v>0.32715457975550682</v>
      </c>
      <c r="G7" s="45">
        <f>'Rate Comparisons - Summary - V1'!H46</f>
        <v>0.33914139859519343</v>
      </c>
      <c r="H7" s="45">
        <f>'Rate Comparisons - Summary - V1'!I46</f>
        <v>0.40653326663336664</v>
      </c>
      <c r="I7" s="45">
        <f>'Rate Comparisons - Summary - V1'!J46</f>
        <v>0.3185581386169386</v>
      </c>
      <c r="J7" s="46">
        <f>AVERAGE(G7:I7)</f>
        <v>0.35474426794849956</v>
      </c>
      <c r="K7" s="203">
        <f>'Rate Comparisons - Summary - V1'!K46</f>
        <v>0.31009690784770788</v>
      </c>
      <c r="L7" s="203">
        <f>'Rate Comparisons - Summary - V1'!L46</f>
        <v>0.31032606618104125</v>
      </c>
      <c r="M7" s="267">
        <f>'Rate Comparisons - Summary - V1'!M46</f>
        <v>0.31032606618104125</v>
      </c>
      <c r="N7" s="225">
        <f>AVERAGE(K7:M7)</f>
        <v>0.31024968006993014</v>
      </c>
      <c r="O7" s="47"/>
      <c r="P7" s="48"/>
      <c r="Q7" s="49"/>
      <c r="R7" s="42"/>
    </row>
    <row r="8" spans="2:21" x14ac:dyDescent="0.35">
      <c r="B8" s="37" t="s">
        <v>11</v>
      </c>
      <c r="C8" s="50">
        <v>0.35699999999999998</v>
      </c>
      <c r="D8" s="30">
        <v>0.35699999999999998</v>
      </c>
      <c r="E8" s="32">
        <v>0.35699999999999998</v>
      </c>
      <c r="F8" s="31">
        <f>AVERAGE(C8:E8)</f>
        <v>0.35699999999999998</v>
      </c>
      <c r="G8" s="226">
        <f t="shared" ref="G8" si="7">AVERAGE(D8:F8)</f>
        <v>0.35699999999999998</v>
      </c>
      <c r="H8" s="226">
        <f t="shared" ref="H8" si="8">AVERAGE(E8:G8)</f>
        <v>0.35699999999999998</v>
      </c>
      <c r="I8" s="226">
        <f t="shared" ref="I8" si="9">AVERAGE(F8:H8)</f>
        <v>0.35699999999999998</v>
      </c>
      <c r="J8" s="31">
        <f t="shared" ref="J8" si="10">AVERAGE(G8:I8)</f>
        <v>0.35699999999999998</v>
      </c>
      <c r="K8" s="226">
        <f t="shared" ref="K8" si="11">AVERAGE(H8:J8)</f>
        <v>0.35699999999999998</v>
      </c>
      <c r="L8" s="226">
        <f t="shared" ref="L8" si="12">AVERAGE(I8:K8)</f>
        <v>0.35699999999999998</v>
      </c>
      <c r="M8" s="268">
        <f t="shared" ref="M8" si="13">AVERAGE(J8:L8)</f>
        <v>0.35699999999999998</v>
      </c>
      <c r="N8" s="226">
        <f>AVERAGE(K8:M8)</f>
        <v>0.35699999999999998</v>
      </c>
      <c r="O8" s="33"/>
      <c r="P8" s="29"/>
      <c r="Q8" s="36"/>
      <c r="R8" s="34"/>
    </row>
    <row r="9" spans="2:21" x14ac:dyDescent="0.35">
      <c r="B9" s="55" t="s">
        <v>13</v>
      </c>
      <c r="C9" s="261">
        <f>(C8-C7)/((C8+C7)/2)</f>
        <v>0.15122075493548476</v>
      </c>
      <c r="D9" s="262">
        <f t="shared" ref="D9:F9" si="14">(D8-D7)/((D8+D7)/2)</f>
        <v>5.7878842756830848E-2</v>
      </c>
      <c r="E9" s="263">
        <f t="shared" si="14"/>
        <v>5.5456457033762251E-2</v>
      </c>
      <c r="F9" s="264">
        <f t="shared" si="14"/>
        <v>8.7247593241746274E-2</v>
      </c>
      <c r="G9" s="261">
        <f>(G8-G7)/((G8+G7)/2)</f>
        <v>5.1307396574446038E-2</v>
      </c>
      <c r="H9" s="262">
        <f t="shared" ref="H9:M9" si="15">(H8-H7)/((H8+H7)/2)</f>
        <v>-0.12974750098780316</v>
      </c>
      <c r="I9" s="263">
        <f t="shared" si="15"/>
        <v>0.11380770709612915</v>
      </c>
      <c r="J9" s="264">
        <f t="shared" si="15"/>
        <v>6.3386026500845544E-3</v>
      </c>
      <c r="K9" s="265">
        <f t="shared" si="15"/>
        <v>0.14061852663541249</v>
      </c>
      <c r="L9" s="265">
        <f t="shared" si="15"/>
        <v>0.1398834428454542</v>
      </c>
      <c r="M9" s="270">
        <f t="shared" si="15"/>
        <v>0.1398834428454542</v>
      </c>
      <c r="N9" s="220">
        <f>AVERAGE(K9:M9)</f>
        <v>0.1401284707754403</v>
      </c>
      <c r="O9" s="39"/>
      <c r="P9" s="40"/>
      <c r="Q9" s="41"/>
      <c r="R9" s="35"/>
    </row>
    <row r="10" spans="2:21" x14ac:dyDescent="0.35">
      <c r="B10" s="84"/>
      <c r="C10" s="85"/>
      <c r="D10" s="85"/>
      <c r="E10" s="85"/>
      <c r="F10" s="85"/>
      <c r="G10" s="85"/>
      <c r="H10" s="85"/>
      <c r="I10" s="85"/>
      <c r="J10" s="85"/>
      <c r="K10" s="85"/>
      <c r="L10" s="85"/>
      <c r="M10" s="85"/>
      <c r="N10" s="85"/>
      <c r="O10" s="85"/>
      <c r="P10" s="85"/>
      <c r="Q10" s="85"/>
      <c r="R10" s="85"/>
      <c r="S10" s="85"/>
      <c r="T10" s="85"/>
      <c r="U10" s="80"/>
    </row>
    <row r="11" spans="2:21" x14ac:dyDescent="0.35">
      <c r="B11" s="84" t="s">
        <v>15</v>
      </c>
      <c r="C11" s="85"/>
      <c r="D11" s="85"/>
      <c r="E11" s="85"/>
      <c r="F11" s="85"/>
      <c r="G11" s="85"/>
      <c r="H11" s="85"/>
      <c r="I11" s="85"/>
      <c r="J11" s="85"/>
      <c r="K11" s="85"/>
      <c r="L11" s="85"/>
      <c r="M11" s="85"/>
      <c r="N11" s="85"/>
      <c r="O11" s="85"/>
      <c r="P11" s="85"/>
      <c r="Q11" s="85"/>
      <c r="R11" s="85"/>
      <c r="S11" s="85"/>
      <c r="T11" s="85"/>
      <c r="U11" s="80"/>
    </row>
    <row r="15" spans="2:21" x14ac:dyDescent="0.35">
      <c r="B15" s="10" t="s">
        <v>16</v>
      </c>
    </row>
    <row r="16" spans="2:21" x14ac:dyDescent="0.35">
      <c r="B16" s="43"/>
      <c r="C16" s="56">
        <v>45292</v>
      </c>
      <c r="D16" s="56">
        <v>45323</v>
      </c>
      <c r="E16" s="57">
        <v>45352</v>
      </c>
      <c r="F16" s="58" t="s">
        <v>4</v>
      </c>
      <c r="G16" s="59">
        <v>45383</v>
      </c>
      <c r="H16" s="56">
        <v>45413</v>
      </c>
      <c r="I16" s="57">
        <v>45444</v>
      </c>
      <c r="J16" s="58" t="s">
        <v>5</v>
      </c>
      <c r="K16" s="59">
        <v>45474</v>
      </c>
      <c r="L16" s="56">
        <v>45505</v>
      </c>
      <c r="M16" s="57">
        <v>45536</v>
      </c>
      <c r="N16" s="58" t="s">
        <v>6</v>
      </c>
      <c r="O16" s="59">
        <v>45566</v>
      </c>
      <c r="P16" s="56">
        <v>45597</v>
      </c>
      <c r="Q16" s="57">
        <v>45627</v>
      </c>
      <c r="R16" s="60" t="s">
        <v>7</v>
      </c>
    </row>
    <row r="17" spans="2:29" x14ac:dyDescent="0.35">
      <c r="B17" s="54" t="s">
        <v>9</v>
      </c>
      <c r="C17" s="45">
        <f>'Rate Comparisons - Summary - V2'!E71</f>
        <v>0.42097224</v>
      </c>
      <c r="D17" s="45">
        <f>'Rate Comparisons - Summary - V2'!F71</f>
        <v>0.42097224</v>
      </c>
      <c r="E17" s="45">
        <f>'Rate Comparisons - Summary - V2'!G71</f>
        <v>0.56780620000000004</v>
      </c>
      <c r="F17" s="46">
        <f>AVERAGE(C17:E17)</f>
        <v>0.46991689333333336</v>
      </c>
      <c r="G17" s="45">
        <f>'Rate Comparisons - Summary - V2'!H71</f>
        <v>0.58950579999999997</v>
      </c>
      <c r="H17" s="45">
        <f>'Rate Comparisons - Summary - V2'!I71</f>
        <v>0.60578050000000006</v>
      </c>
      <c r="I17" s="192">
        <f>'Rate Comparisons - Summary - V2'!J71</f>
        <v>0.57232695000000011</v>
      </c>
      <c r="J17" s="217">
        <f>AVERAGE(G17:I17)</f>
        <v>0.58920441666666667</v>
      </c>
      <c r="K17" s="214">
        <f>'Rate Comparisons - Summary - V2'!K71</f>
        <v>0.57232695000000011</v>
      </c>
      <c r="L17" s="30">
        <f>'Rate Comparisons - Summary - V2'!L71</f>
        <v>0.57232695000000011</v>
      </c>
      <c r="M17" s="32">
        <f>'Rate Comparisons - Summary - V2'!M71</f>
        <v>0.60035559999999999</v>
      </c>
      <c r="N17" s="225">
        <f>AVERAGE(K17:M17)</f>
        <v>0.58166983333333333</v>
      </c>
      <c r="O17" s="47"/>
      <c r="P17" s="48"/>
      <c r="Q17" s="49"/>
      <c r="R17" s="42"/>
      <c r="T17" s="272" t="s">
        <v>17</v>
      </c>
      <c r="U17" s="272"/>
      <c r="V17" s="272"/>
      <c r="W17" s="272"/>
      <c r="X17" s="272"/>
      <c r="Y17" s="272"/>
      <c r="Z17" s="272"/>
      <c r="AA17" s="272"/>
      <c r="AB17" s="272"/>
      <c r="AC17" s="272"/>
    </row>
    <row r="18" spans="2:29" x14ac:dyDescent="0.35">
      <c r="B18" s="37" t="s">
        <v>11</v>
      </c>
      <c r="C18" s="50">
        <v>0.35699999999999998</v>
      </c>
      <c r="D18" s="30">
        <v>0.35699999999999998</v>
      </c>
      <c r="E18" s="32">
        <v>0.35699999999999998</v>
      </c>
      <c r="F18" s="31">
        <f>AVERAGE(C18:E18)</f>
        <v>0.35699999999999998</v>
      </c>
      <c r="G18" s="31">
        <f t="shared" ref="G18" si="16">AVERAGE(D18:F18)</f>
        <v>0.35699999999999998</v>
      </c>
      <c r="H18" s="31">
        <f t="shared" ref="H18" si="17">AVERAGE(E18:G18)</f>
        <v>0.35699999999999998</v>
      </c>
      <c r="I18" s="213">
        <f t="shared" ref="I18:K18" si="18">AVERAGE(F18:H18)</f>
        <v>0.35699999999999998</v>
      </c>
      <c r="J18" s="31">
        <f t="shared" si="18"/>
        <v>0.35699999999999998</v>
      </c>
      <c r="K18" s="215">
        <f t="shared" si="18"/>
        <v>0.35699999999999998</v>
      </c>
      <c r="L18" s="211">
        <f t="shared" ref="L18" si="19">AVERAGE(I18:K18)</f>
        <v>0.35699999999999998</v>
      </c>
      <c r="M18" s="218">
        <f t="shared" ref="M18" si="20">AVERAGE(J18:L18)</f>
        <v>0.35699999999999998</v>
      </c>
      <c r="N18" s="226">
        <f>AVERAGE(K18:M18)</f>
        <v>0.35699999999999998</v>
      </c>
      <c r="O18" s="33"/>
      <c r="P18" s="29"/>
      <c r="Q18" s="36"/>
      <c r="R18" s="34"/>
      <c r="T18" s="272"/>
      <c r="U18" s="272"/>
      <c r="V18" s="272"/>
      <c r="W18" s="272"/>
      <c r="X18" s="272"/>
      <c r="Y18" s="272"/>
      <c r="Z18" s="272"/>
      <c r="AA18" s="272"/>
      <c r="AB18" s="272"/>
      <c r="AC18" s="272"/>
    </row>
    <row r="19" spans="2:29" x14ac:dyDescent="0.35">
      <c r="B19" s="55" t="s">
        <v>13</v>
      </c>
      <c r="C19" s="51">
        <f>(C18-C17)/((C18+C17)/2)</f>
        <v>-0.1644589272234187</v>
      </c>
      <c r="D19" s="38">
        <f t="shared" ref="D19:F19" si="21">(D18-D17)/((D18+D17)/2)</f>
        <v>-0.1644589272234187</v>
      </c>
      <c r="E19" s="52">
        <f t="shared" si="21"/>
        <v>-0.45589270487157213</v>
      </c>
      <c r="F19" s="53">
        <f t="shared" si="21"/>
        <v>-0.27310336563124527</v>
      </c>
      <c r="G19" s="51">
        <f>(G18-G17)/((G18+G17)/2)</f>
        <v>-0.49129292181833434</v>
      </c>
      <c r="H19" s="38">
        <f t="shared" ref="H19:M19" si="22">(H18-H17)/((H18+H17)/2)</f>
        <v>-0.51679588442017688</v>
      </c>
      <c r="I19" s="52">
        <f t="shared" si="22"/>
        <v>-0.46340407969445008</v>
      </c>
      <c r="J19" s="53">
        <f t="shared" si="22"/>
        <v>-0.49081237114636878</v>
      </c>
      <c r="K19" s="216">
        <f t="shared" si="22"/>
        <v>-0.46340407969445008</v>
      </c>
      <c r="L19" s="212">
        <f t="shared" si="22"/>
        <v>-0.46340407969445008</v>
      </c>
      <c r="M19" s="219">
        <f t="shared" si="22"/>
        <v>-0.50839123936810948</v>
      </c>
      <c r="N19" s="221">
        <f>AVERAGE(K19:M19)</f>
        <v>-0.47839979958566986</v>
      </c>
      <c r="O19" s="39"/>
      <c r="P19" s="40"/>
      <c r="Q19" s="41"/>
      <c r="R19" s="35"/>
      <c r="T19" s="272"/>
      <c r="U19" s="272"/>
      <c r="V19" s="272"/>
      <c r="W19" s="272"/>
      <c r="X19" s="272"/>
      <c r="Y19" s="272"/>
      <c r="Z19" s="272"/>
      <c r="AA19" s="272"/>
      <c r="AB19" s="272"/>
      <c r="AC19" s="272"/>
    </row>
    <row r="20" spans="2:29" x14ac:dyDescent="0.35">
      <c r="B20" s="44"/>
      <c r="F20" s="61"/>
      <c r="J20" s="61"/>
      <c r="N20" s="62"/>
      <c r="R20" s="62"/>
      <c r="T20" s="272"/>
      <c r="U20" s="272"/>
      <c r="V20" s="272"/>
      <c r="W20" s="272"/>
      <c r="X20" s="272"/>
      <c r="Y20" s="272"/>
      <c r="Z20" s="272"/>
      <c r="AA20" s="272"/>
      <c r="AB20" s="272"/>
      <c r="AC20" s="272"/>
    </row>
    <row r="21" spans="2:29" x14ac:dyDescent="0.35">
      <c r="B21" s="54" t="s">
        <v>14</v>
      </c>
      <c r="C21" s="45">
        <f>'Rate Comparisons - Summary - V2'!E45</f>
        <v>0.30129092115440109</v>
      </c>
      <c r="D21" s="45">
        <f>'Rate Comparisons - Summary - V2'!F45</f>
        <v>0.31795326101430982</v>
      </c>
      <c r="E21" s="45">
        <f>'Rate Comparisons - Summary - V2'!G45</f>
        <v>0.32231645351430976</v>
      </c>
      <c r="F21" s="46">
        <f>AVERAGE(C21:E21)</f>
        <v>0.31385354522767356</v>
      </c>
      <c r="G21" s="45">
        <f>'Rate Comparisons - Summary - V2'!H45</f>
        <v>0.31320714068813121</v>
      </c>
      <c r="H21" s="45">
        <f>'Rate Comparisons - Summary - V2'!I45</f>
        <v>0.32089245959595952</v>
      </c>
      <c r="I21" s="192">
        <f>'Rate Comparisons - Summary - V2'!J45</f>
        <v>0.32089245959595952</v>
      </c>
      <c r="J21" s="46">
        <f>AVERAGE(G21:I21)</f>
        <v>0.31833068662668346</v>
      </c>
      <c r="K21" s="214">
        <f>'Rate Comparisons - Summary - V2'!K45</f>
        <v>0.33198894632034637</v>
      </c>
      <c r="L21" s="30">
        <f>'Rate Comparisons - Summary - V2'!L45</f>
        <v>0.33250560346320351</v>
      </c>
      <c r="M21" s="32">
        <f>'Rate Comparisons - Summary - V2'!M45</f>
        <v>0.33250560346320351</v>
      </c>
      <c r="N21" s="225">
        <f>AVERAGE(K21:M21)</f>
        <v>0.33233338441558447</v>
      </c>
      <c r="O21" s="47"/>
      <c r="P21" s="48"/>
      <c r="Q21" s="49"/>
      <c r="R21" s="42"/>
      <c r="T21" s="272"/>
      <c r="U21" s="272"/>
      <c r="V21" s="272"/>
      <c r="W21" s="272"/>
      <c r="X21" s="272"/>
      <c r="Y21" s="272"/>
      <c r="Z21" s="272"/>
      <c r="AA21" s="272"/>
      <c r="AB21" s="272"/>
      <c r="AC21" s="272"/>
    </row>
    <row r="22" spans="2:29" x14ac:dyDescent="0.35">
      <c r="B22" s="37" t="s">
        <v>11</v>
      </c>
      <c r="C22" s="50">
        <v>0.35699999999999998</v>
      </c>
      <c r="D22" s="30">
        <v>0.35699999999999998</v>
      </c>
      <c r="E22" s="32">
        <v>0.35699999999999998</v>
      </c>
      <c r="F22" s="31">
        <f>AVERAGE(C22:E22)</f>
        <v>0.35699999999999998</v>
      </c>
      <c r="G22" s="31">
        <f t="shared" ref="G22" si="23">AVERAGE(D22:F22)</f>
        <v>0.35699999999999998</v>
      </c>
      <c r="H22" s="31">
        <f t="shared" ref="H22" si="24">AVERAGE(E22:G22)</f>
        <v>0.35699999999999998</v>
      </c>
      <c r="I22" s="213">
        <f t="shared" ref="I22:K22" si="25">AVERAGE(F22:H22)</f>
        <v>0.35699999999999998</v>
      </c>
      <c r="J22" s="31">
        <f t="shared" si="25"/>
        <v>0.35699999999999998</v>
      </c>
      <c r="K22" s="215">
        <f t="shared" si="25"/>
        <v>0.35699999999999998</v>
      </c>
      <c r="L22" s="211">
        <f t="shared" ref="L22" si="26">AVERAGE(I22:K22)</f>
        <v>0.35699999999999998</v>
      </c>
      <c r="M22" s="218">
        <f t="shared" ref="M22" si="27">AVERAGE(J22:L22)</f>
        <v>0.35699999999999998</v>
      </c>
      <c r="N22" s="226">
        <f>AVERAGE(K22:M22)</f>
        <v>0.35699999999999998</v>
      </c>
      <c r="O22" s="33"/>
      <c r="P22" s="29"/>
      <c r="Q22" s="36"/>
      <c r="R22" s="34"/>
      <c r="T22" s="272"/>
      <c r="U22" s="272"/>
      <c r="V22" s="272"/>
      <c r="W22" s="272"/>
      <c r="X22" s="272"/>
      <c r="Y22" s="272"/>
      <c r="Z22" s="272"/>
      <c r="AA22" s="272"/>
      <c r="AB22" s="272"/>
      <c r="AC22" s="272"/>
    </row>
    <row r="23" spans="2:29" x14ac:dyDescent="0.35">
      <c r="B23" s="55" t="s">
        <v>13</v>
      </c>
      <c r="C23" s="78">
        <f>(C22-C21)/((C22+C21)/2)</f>
        <v>0.16925367510129286</v>
      </c>
      <c r="D23" s="79">
        <f t="shared" ref="D23:F23" si="28">(D22-D21)/((D22+D21)/2)</f>
        <v>0.11570205298959901</v>
      </c>
      <c r="E23" s="52">
        <f t="shared" si="28"/>
        <v>0.10211307647933958</v>
      </c>
      <c r="F23" s="53">
        <f t="shared" si="28"/>
        <v>0.12863151750262697</v>
      </c>
      <c r="G23" s="78">
        <f>(G22-G21)/((G22+G21)/2)</f>
        <v>0.13068455005389742</v>
      </c>
      <c r="H23" s="79">
        <f t="shared" ref="H23:M23" si="29">(H22-H21)/((H22+H21)/2)</f>
        <v>0.10652881557514725</v>
      </c>
      <c r="I23" s="52">
        <f t="shared" si="29"/>
        <v>0.10652881557514725</v>
      </c>
      <c r="J23" s="53">
        <f t="shared" si="29"/>
        <v>0.1145196394568475</v>
      </c>
      <c r="K23" s="222">
        <f t="shared" si="29"/>
        <v>7.2602191408814534E-2</v>
      </c>
      <c r="L23" s="223">
        <f t="shared" si="29"/>
        <v>7.1049158741473967E-2</v>
      </c>
      <c r="M23" s="224">
        <f t="shared" si="29"/>
        <v>7.1049158741473967E-2</v>
      </c>
      <c r="N23" s="220">
        <f>AVERAGE(K23:M23)</f>
        <v>7.1566836297254161E-2</v>
      </c>
      <c r="O23" s="39"/>
      <c r="P23" s="40"/>
      <c r="Q23" s="41"/>
      <c r="R23" s="35"/>
      <c r="T23" s="272"/>
      <c r="U23" s="272"/>
      <c r="V23" s="272"/>
      <c r="W23" s="272"/>
      <c r="X23" s="272"/>
      <c r="Y23" s="272"/>
      <c r="Z23" s="272"/>
      <c r="AA23" s="272"/>
      <c r="AB23" s="272"/>
      <c r="AC23" s="272"/>
    </row>
  </sheetData>
  <mergeCells count="1">
    <mergeCell ref="T17:AC23"/>
  </mergeCells>
  <pageMargins left="0.7" right="0.7" top="0.75" bottom="0.75" header="0.3" footer="0.3"/>
  <pageSetup scale="35" orientation="portrait" r:id="rId1"/>
  <headerFooter>
    <oddHeader xml:space="preserve">&amp;RIndianapolis Power and Light d/b/a AES Indiana
Cause No. 45843
Third Quarterly Report Work Paper  1
Page 1 of 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228F6-94A3-43D0-8A38-6623D398772D}">
  <dimension ref="A1:M78"/>
  <sheetViews>
    <sheetView topLeftCell="C1" workbookViewId="0">
      <selection activeCell="M40" sqref="M40"/>
    </sheetView>
  </sheetViews>
  <sheetFormatPr defaultRowHeight="15" customHeight="1" x14ac:dyDescent="0.35"/>
  <cols>
    <col min="2" max="3" width="42.81640625" customWidth="1"/>
    <col min="4" max="5" width="21.81640625" customWidth="1"/>
    <col min="6" max="6" width="18.54296875" customWidth="1"/>
    <col min="7" max="7" width="20.54296875" customWidth="1"/>
    <col min="8" max="8" width="20.81640625" customWidth="1"/>
    <col min="9" max="9" width="20.54296875" customWidth="1"/>
    <col min="10" max="10" width="16" customWidth="1"/>
    <col min="11" max="13" width="19.1796875" customWidth="1"/>
  </cols>
  <sheetData>
    <row r="1" spans="2:13" ht="14.5" customHeight="1" x14ac:dyDescent="0.35">
      <c r="B1" s="63"/>
      <c r="C1" s="63"/>
      <c r="D1" s="63"/>
      <c r="E1" s="271"/>
    </row>
    <row r="2" spans="2:13" ht="14.5" x14ac:dyDescent="0.35">
      <c r="B2" s="273" t="s">
        <v>18</v>
      </c>
      <c r="C2" s="273"/>
      <c r="D2" s="273"/>
      <c r="E2" s="273"/>
    </row>
    <row r="3" spans="2:13" ht="14.5" x14ac:dyDescent="0.35">
      <c r="B3" s="273" t="s">
        <v>19</v>
      </c>
      <c r="C3" s="273"/>
      <c r="D3" s="273"/>
      <c r="E3" s="273"/>
    </row>
    <row r="4" spans="2:13" ht="14.5" x14ac:dyDescent="0.35">
      <c r="B4" s="271"/>
      <c r="C4" s="271"/>
      <c r="D4" s="271"/>
      <c r="E4" s="271"/>
    </row>
    <row r="5" spans="2:13" s="14" customFormat="1" ht="14.5" x14ac:dyDescent="0.35">
      <c r="B5" s="66" t="s">
        <v>20</v>
      </c>
      <c r="C5" s="66" t="s">
        <v>21</v>
      </c>
      <c r="D5" s="255" t="s">
        <v>22</v>
      </c>
      <c r="E5" s="246">
        <v>45292</v>
      </c>
      <c r="F5" s="246">
        <v>45323</v>
      </c>
      <c r="G5" s="246">
        <v>45352</v>
      </c>
      <c r="H5" s="246">
        <v>45383</v>
      </c>
      <c r="I5" s="246">
        <v>45413</v>
      </c>
      <c r="J5" s="256">
        <v>45444</v>
      </c>
      <c r="K5" s="246">
        <v>45474</v>
      </c>
      <c r="L5" s="246">
        <v>45505</v>
      </c>
      <c r="M5" s="246">
        <v>45536</v>
      </c>
    </row>
    <row r="6" spans="2:13" ht="14.5" x14ac:dyDescent="0.35">
      <c r="B6" s="271"/>
      <c r="C6" s="227"/>
      <c r="D6" s="257" t="s">
        <v>23</v>
      </c>
      <c r="E6" s="257" t="s">
        <v>23</v>
      </c>
      <c r="F6" s="257" t="s">
        <v>23</v>
      </c>
      <c r="G6" s="257" t="s">
        <v>23</v>
      </c>
      <c r="H6" s="258"/>
      <c r="I6" s="100"/>
      <c r="J6" s="29"/>
      <c r="K6" s="29"/>
      <c r="L6" s="29"/>
      <c r="M6" s="29"/>
    </row>
    <row r="7" spans="2:13" ht="14.5" x14ac:dyDescent="0.35">
      <c r="B7" s="70" t="s">
        <v>24</v>
      </c>
      <c r="C7" s="228" t="s">
        <v>25</v>
      </c>
      <c r="D7" s="229">
        <v>7.575757575757576E-2</v>
      </c>
      <c r="E7" s="229">
        <v>7.575757575757576E-2</v>
      </c>
      <c r="F7" s="229">
        <v>7.575757575757576E-2</v>
      </c>
      <c r="G7" s="229">
        <v>7.575757575757576E-2</v>
      </c>
      <c r="H7" s="230">
        <v>7.575757575757576E-2</v>
      </c>
      <c r="I7" s="247">
        <v>7.575757575757576E-2</v>
      </c>
      <c r="J7" s="29" t="s">
        <v>26</v>
      </c>
      <c r="K7" s="29" t="s">
        <v>26</v>
      </c>
      <c r="L7" s="29" t="s">
        <v>26</v>
      </c>
      <c r="M7" s="29" t="s">
        <v>26</v>
      </c>
    </row>
    <row r="8" spans="2:13" ht="14.5" x14ac:dyDescent="0.35">
      <c r="B8" s="70" t="s">
        <v>27</v>
      </c>
      <c r="C8" s="228" t="s">
        <v>28</v>
      </c>
      <c r="D8" s="30">
        <v>1.1299999999999999</v>
      </c>
      <c r="E8" s="30">
        <v>1.1299999999999999</v>
      </c>
      <c r="F8" s="30">
        <v>1.1299999999999999</v>
      </c>
      <c r="G8" s="30">
        <v>1.1299999999999999</v>
      </c>
      <c r="H8" s="231">
        <v>1.1299999999999999</v>
      </c>
      <c r="I8" s="248">
        <v>1.1299999999999999</v>
      </c>
      <c r="J8" s="232">
        <v>0</v>
      </c>
      <c r="K8" s="232">
        <v>0</v>
      </c>
      <c r="L8" s="232">
        <v>0</v>
      </c>
      <c r="M8" s="232">
        <v>0</v>
      </c>
    </row>
    <row r="9" spans="2:13" ht="14.5" x14ac:dyDescent="0.35">
      <c r="B9" s="70" t="s">
        <v>29</v>
      </c>
      <c r="C9" s="228" t="s">
        <v>30</v>
      </c>
      <c r="D9" s="229">
        <v>0.2857142857142857</v>
      </c>
      <c r="E9" s="229">
        <v>0.2857142857142857</v>
      </c>
      <c r="F9" s="30">
        <v>0.36923076923076925</v>
      </c>
      <c r="G9" s="30">
        <v>0.36923076923076925</v>
      </c>
      <c r="H9" s="233">
        <f>2.4/6.5</f>
        <v>0.3692307692307692</v>
      </c>
      <c r="I9" s="249">
        <f>2.4/6.5</f>
        <v>0.3692307692307692</v>
      </c>
      <c r="J9" s="233">
        <f>2.4/6.5</f>
        <v>0.3692307692307692</v>
      </c>
      <c r="K9" s="233">
        <v>0.37</v>
      </c>
      <c r="L9" s="233">
        <v>0.37</v>
      </c>
      <c r="M9" s="233">
        <v>0.37</v>
      </c>
    </row>
    <row r="10" spans="2:13" ht="14.5" x14ac:dyDescent="0.35">
      <c r="B10" s="70" t="s">
        <v>31</v>
      </c>
      <c r="C10" s="228" t="s">
        <v>32</v>
      </c>
      <c r="D10" s="229">
        <v>1.21</v>
      </c>
      <c r="E10" s="229">
        <f>10/6.6+0.15</f>
        <v>1.665151515151515</v>
      </c>
      <c r="F10" s="229">
        <f>10/6.6+0.15</f>
        <v>1.665151515151515</v>
      </c>
      <c r="G10" s="229">
        <f>10/6.6+0.15</f>
        <v>1.665151515151515</v>
      </c>
      <c r="H10" s="234">
        <f>10/6.6+0.15</f>
        <v>1.665151515151515</v>
      </c>
      <c r="I10" s="250">
        <f>10/6.6+0.15</f>
        <v>1.665151515151515</v>
      </c>
      <c r="J10" s="234">
        <f>10/6+0.15</f>
        <v>1.8166666666666667</v>
      </c>
      <c r="K10" s="234">
        <v>1.82</v>
      </c>
      <c r="L10" s="234">
        <v>1.82</v>
      </c>
      <c r="M10" s="234">
        <v>1.82</v>
      </c>
    </row>
    <row r="11" spans="2:13" ht="14.5" x14ac:dyDescent="0.35">
      <c r="B11" s="70" t="s">
        <v>33</v>
      </c>
      <c r="C11" s="228" t="s">
        <v>34</v>
      </c>
      <c r="D11" s="229">
        <v>1.54</v>
      </c>
      <c r="E11" s="229">
        <v>1.54</v>
      </c>
      <c r="F11" s="229">
        <v>1.54</v>
      </c>
      <c r="G11" s="229">
        <v>1.54</v>
      </c>
      <c r="H11" s="234">
        <v>1.54</v>
      </c>
      <c r="I11" s="250">
        <v>1.54</v>
      </c>
      <c r="J11" s="234">
        <v>1.54</v>
      </c>
      <c r="K11" s="234">
        <f>10/6.5</f>
        <v>1.5384615384615385</v>
      </c>
      <c r="L11" s="234">
        <f>10/6.5</f>
        <v>1.5384615384615385</v>
      </c>
      <c r="M11" s="234">
        <f>10/6.5</f>
        <v>1.5384615384615385</v>
      </c>
    </row>
    <row r="12" spans="2:13" ht="14.5" x14ac:dyDescent="0.35">
      <c r="B12" s="70" t="s">
        <v>35</v>
      </c>
      <c r="C12" s="228" t="s">
        <v>36</v>
      </c>
      <c r="D12" s="229">
        <v>0.36363636363636365</v>
      </c>
      <c r="E12" s="229">
        <v>0.36363636363636365</v>
      </c>
      <c r="F12" s="30">
        <v>0.36923076923076925</v>
      </c>
      <c r="G12" s="30">
        <v>0.36923076923076925</v>
      </c>
      <c r="H12" s="233">
        <v>0.36923076923076925</v>
      </c>
      <c r="I12" s="251">
        <f>2.4/6.5</f>
        <v>0.3692307692307692</v>
      </c>
      <c r="J12" s="235">
        <f>2.4/6.5</f>
        <v>0.3692307692307692</v>
      </c>
      <c r="K12" s="235">
        <v>0.37</v>
      </c>
      <c r="L12" s="235">
        <v>0.37</v>
      </c>
      <c r="M12" s="235">
        <v>0.37</v>
      </c>
    </row>
    <row r="13" spans="2:13" ht="14.5" x14ac:dyDescent="0.35">
      <c r="B13" s="70" t="s">
        <v>37</v>
      </c>
      <c r="C13" s="228" t="s">
        <v>38</v>
      </c>
      <c r="D13" s="229">
        <v>0.4</v>
      </c>
      <c r="E13" s="229">
        <v>0.4</v>
      </c>
      <c r="F13" s="30">
        <v>0.37846153846153846</v>
      </c>
      <c r="G13" s="30">
        <v>0.36923076923076925</v>
      </c>
      <c r="H13" s="233">
        <v>0.4</v>
      </c>
      <c r="I13" s="249">
        <v>0.4</v>
      </c>
      <c r="J13" s="233">
        <v>0.4</v>
      </c>
      <c r="K13" s="233">
        <v>0.4</v>
      </c>
      <c r="L13" s="233">
        <v>0.4</v>
      </c>
      <c r="M13" s="233">
        <v>0.4</v>
      </c>
    </row>
    <row r="14" spans="2:13" ht="14.5" x14ac:dyDescent="0.35">
      <c r="B14" s="70" t="s">
        <v>39</v>
      </c>
      <c r="C14" s="228" t="s">
        <v>40</v>
      </c>
      <c r="D14" s="229">
        <v>7.716049382716049E-2</v>
      </c>
      <c r="E14" s="229">
        <f>0.5/6.48</f>
        <v>7.716049382716049E-2</v>
      </c>
      <c r="F14" s="229">
        <f>0.5/6.48</f>
        <v>7.716049382716049E-2</v>
      </c>
      <c r="G14" s="229">
        <f>0.5/6.48</f>
        <v>7.716049382716049E-2</v>
      </c>
      <c r="H14" s="230">
        <f>0.5/6.48</f>
        <v>7.716049382716049E-2</v>
      </c>
      <c r="I14" s="250">
        <f>10/6.6+0.15</f>
        <v>1.665151515151515</v>
      </c>
      <c r="J14" s="234">
        <f>10/6.6+0.15</f>
        <v>1.665151515151515</v>
      </c>
      <c r="K14" s="234">
        <v>1.67</v>
      </c>
      <c r="L14" s="234">
        <v>1.67</v>
      </c>
      <c r="M14" s="234">
        <v>1.67</v>
      </c>
    </row>
    <row r="15" spans="2:13" ht="14.5" x14ac:dyDescent="0.35">
      <c r="B15" s="70" t="s">
        <v>41</v>
      </c>
      <c r="C15" s="228" t="s">
        <v>42</v>
      </c>
      <c r="D15" s="229">
        <v>0.1929012345679012</v>
      </c>
      <c r="E15" s="229">
        <v>0.1929012345679012</v>
      </c>
      <c r="F15" s="30">
        <v>0.1929012345679012</v>
      </c>
      <c r="G15" s="30">
        <v>0.1929012345679012</v>
      </c>
      <c r="H15" s="233">
        <f>1.25/6.5</f>
        <v>0.19230769230769232</v>
      </c>
      <c r="I15" s="249">
        <f>1.25/6.5</f>
        <v>0.19230769230769232</v>
      </c>
      <c r="J15" s="233">
        <f>1.25/6.5</f>
        <v>0.19230769230769232</v>
      </c>
      <c r="K15" s="238" t="s">
        <v>43</v>
      </c>
      <c r="L15" s="238" t="s">
        <v>43</v>
      </c>
      <c r="M15" s="238" t="s">
        <v>43</v>
      </c>
    </row>
    <row r="16" spans="2:13" ht="14.5" x14ac:dyDescent="0.35">
      <c r="B16" s="70" t="s">
        <v>44</v>
      </c>
      <c r="C16" s="236" t="s">
        <v>45</v>
      </c>
      <c r="D16" s="229">
        <v>1.5432098765432096</v>
      </c>
      <c r="E16" s="237" t="s">
        <v>46</v>
      </c>
      <c r="F16" s="237" t="s">
        <v>46</v>
      </c>
      <c r="G16" s="237" t="s">
        <v>46</v>
      </c>
      <c r="H16" s="238" t="s">
        <v>46</v>
      </c>
      <c r="I16" s="252" t="s">
        <v>47</v>
      </c>
      <c r="J16" s="238" t="s">
        <v>47</v>
      </c>
      <c r="K16" s="238" t="s">
        <v>43</v>
      </c>
      <c r="L16" s="238" t="s">
        <v>43</v>
      </c>
      <c r="M16" s="238" t="s">
        <v>43</v>
      </c>
    </row>
    <row r="17" spans="2:13" ht="14.5" x14ac:dyDescent="0.35">
      <c r="B17" s="70" t="s">
        <v>48</v>
      </c>
      <c r="C17" s="228" t="s">
        <v>49</v>
      </c>
      <c r="D17" s="229">
        <v>0.18181818181818182</v>
      </c>
      <c r="E17" s="229">
        <v>0.18181818181818182</v>
      </c>
      <c r="F17" s="30">
        <v>0.31550480769230771</v>
      </c>
      <c r="G17" s="30">
        <v>0.34555288461538458</v>
      </c>
      <c r="H17" s="239">
        <v>0.34555288461538458</v>
      </c>
      <c r="I17" s="251">
        <f>((0.035*60)+0.99)/6.5</f>
        <v>0.47538461538461535</v>
      </c>
      <c r="J17" s="235">
        <f>((0.035*60)+0.99)/6.5</f>
        <v>0.47538461538461535</v>
      </c>
      <c r="K17" s="235">
        <v>0.48</v>
      </c>
      <c r="L17" s="235">
        <v>0.48</v>
      </c>
      <c r="M17" s="235">
        <v>0.48</v>
      </c>
    </row>
    <row r="18" spans="2:13" ht="14.5" x14ac:dyDescent="0.35">
      <c r="B18" s="70" t="s">
        <v>50</v>
      </c>
      <c r="C18" s="228" t="s">
        <v>51</v>
      </c>
      <c r="D18" s="229">
        <v>0.37037037037037035</v>
      </c>
      <c r="E18" s="229">
        <v>0.37037037037037035</v>
      </c>
      <c r="F18" s="30">
        <v>0.36923076923076925</v>
      </c>
      <c r="G18" s="30">
        <v>0.36923076923076925</v>
      </c>
      <c r="H18" s="233">
        <v>0.36923076923076925</v>
      </c>
      <c r="I18" s="249">
        <v>0.36923076923076925</v>
      </c>
      <c r="J18" s="233">
        <v>0.36923076923076925</v>
      </c>
      <c r="K18" s="233">
        <v>0.37</v>
      </c>
      <c r="L18" s="233">
        <v>0.37</v>
      </c>
      <c r="M18" s="233">
        <v>0.37</v>
      </c>
    </row>
    <row r="19" spans="2:13" ht="14.5" x14ac:dyDescent="0.35">
      <c r="B19" s="70" t="s">
        <v>52</v>
      </c>
      <c r="C19" s="228" t="s">
        <v>53</v>
      </c>
      <c r="D19" s="106">
        <v>0.15432098765432098</v>
      </c>
      <c r="E19" s="106">
        <v>0.15432098765432098</v>
      </c>
      <c r="F19" s="244">
        <v>0.15384615384615383</v>
      </c>
      <c r="G19" s="244">
        <v>0.15384615384615383</v>
      </c>
      <c r="H19" s="245">
        <v>0.15384615384615383</v>
      </c>
      <c r="I19" s="253">
        <f>1/6.6</f>
        <v>0.15151515151515152</v>
      </c>
      <c r="J19" s="235">
        <f>1/6.6</f>
        <v>0.15151515151515152</v>
      </c>
      <c r="K19" s="235">
        <v>0.15</v>
      </c>
      <c r="L19" s="235">
        <v>0.15</v>
      </c>
      <c r="M19" s="235">
        <v>0.15</v>
      </c>
    </row>
    <row r="20" spans="2:13" ht="14.5" x14ac:dyDescent="0.35">
      <c r="B20" s="70" t="s">
        <v>54</v>
      </c>
      <c r="C20" s="241" t="s">
        <v>55</v>
      </c>
      <c r="D20" s="240" t="s">
        <v>56</v>
      </c>
      <c r="E20" s="30">
        <v>0.36363636363636365</v>
      </c>
      <c r="F20" s="30">
        <v>0.36363636363636365</v>
      </c>
      <c r="G20" s="30">
        <v>0.36363636363636365</v>
      </c>
      <c r="H20" s="233">
        <f>2.4/6.5</f>
        <v>0.3692307692307692</v>
      </c>
      <c r="I20" s="233">
        <f>2.4/6.5</f>
        <v>0.3692307692307692</v>
      </c>
      <c r="J20" s="254">
        <f>2.4/6.5</f>
        <v>0.3692307692307692</v>
      </c>
      <c r="K20" s="254">
        <v>0.37</v>
      </c>
      <c r="L20" s="254">
        <v>0.37</v>
      </c>
      <c r="M20" s="254">
        <v>0.37</v>
      </c>
    </row>
    <row r="21" spans="2:13" ht="14.5" x14ac:dyDescent="0.35">
      <c r="B21" s="70" t="s">
        <v>57</v>
      </c>
      <c r="C21" s="242" t="s">
        <v>58</v>
      </c>
      <c r="D21" s="240" t="s">
        <v>56</v>
      </c>
      <c r="E21" s="30">
        <v>0.24</v>
      </c>
      <c r="F21" s="30">
        <v>0.24</v>
      </c>
      <c r="G21" s="30">
        <v>0.24</v>
      </c>
      <c r="H21" s="233">
        <v>0.24</v>
      </c>
      <c r="I21" s="233">
        <v>0.24</v>
      </c>
      <c r="J21" s="233">
        <v>0.24</v>
      </c>
      <c r="K21" s="233">
        <v>0.24</v>
      </c>
      <c r="L21" s="233">
        <v>0.24</v>
      </c>
      <c r="M21" s="233">
        <v>0.24</v>
      </c>
    </row>
    <row r="22" spans="2:13" ht="14.5" x14ac:dyDescent="0.35">
      <c r="B22" s="70" t="s">
        <v>59</v>
      </c>
      <c r="C22" s="242" t="s">
        <v>60</v>
      </c>
      <c r="D22" s="240" t="s">
        <v>56</v>
      </c>
      <c r="E22" s="30">
        <v>0.2</v>
      </c>
      <c r="F22" s="30">
        <v>0.2</v>
      </c>
      <c r="G22" s="30">
        <v>0.2</v>
      </c>
      <c r="H22" s="233">
        <v>0.2</v>
      </c>
      <c r="I22" s="233">
        <v>0.2</v>
      </c>
      <c r="J22" s="233">
        <v>0.2</v>
      </c>
      <c r="K22" s="233">
        <v>0.2</v>
      </c>
      <c r="L22" s="233">
        <v>0.2</v>
      </c>
      <c r="M22" s="233">
        <v>0.2</v>
      </c>
    </row>
    <row r="23" spans="2:13" ht="14.5" x14ac:dyDescent="0.35">
      <c r="B23" s="151" t="s">
        <v>61</v>
      </c>
      <c r="C23" s="242" t="s">
        <v>62</v>
      </c>
      <c r="D23" s="240" t="s">
        <v>56</v>
      </c>
      <c r="E23" s="30">
        <v>0.3</v>
      </c>
      <c r="F23" s="30">
        <v>0.3</v>
      </c>
      <c r="G23" s="30">
        <v>0.3</v>
      </c>
      <c r="H23" s="233">
        <v>0.3</v>
      </c>
      <c r="I23" s="233">
        <v>0.3</v>
      </c>
      <c r="J23" s="233">
        <v>0.3</v>
      </c>
      <c r="K23" s="233">
        <v>0.3</v>
      </c>
      <c r="L23" s="233">
        <v>0.3</v>
      </c>
      <c r="M23" s="233">
        <v>0.3</v>
      </c>
    </row>
    <row r="24" spans="2:13" ht="14.5" x14ac:dyDescent="0.35">
      <c r="B24" s="151" t="s">
        <v>63</v>
      </c>
      <c r="C24" s="242" t="s">
        <v>64</v>
      </c>
      <c r="D24" s="240" t="s">
        <v>56</v>
      </c>
      <c r="E24" s="30">
        <v>0.2106060606060606</v>
      </c>
      <c r="F24" s="30">
        <v>0.2106060606060606</v>
      </c>
      <c r="G24" s="30">
        <v>0.2106060606060606</v>
      </c>
      <c r="H24" s="233">
        <v>0.2106060606060606</v>
      </c>
      <c r="I24" s="233">
        <v>0.2106060606060606</v>
      </c>
      <c r="J24" s="233">
        <v>0.2106060606060606</v>
      </c>
      <c r="K24" s="233">
        <v>0.21</v>
      </c>
      <c r="L24" s="233">
        <v>0.21</v>
      </c>
      <c r="M24" s="233">
        <v>0.21</v>
      </c>
    </row>
    <row r="25" spans="2:13" ht="14.5" x14ac:dyDescent="0.35">
      <c r="B25" s="151" t="s">
        <v>65</v>
      </c>
      <c r="C25" s="242" t="s">
        <v>66</v>
      </c>
      <c r="D25" s="240" t="s">
        <v>56</v>
      </c>
      <c r="E25" s="30">
        <v>0.34699999999999998</v>
      </c>
      <c r="F25" s="30">
        <v>0.34699999999999998</v>
      </c>
      <c r="G25" s="30">
        <v>0.37846153846153846</v>
      </c>
      <c r="H25" s="233">
        <v>0.32</v>
      </c>
      <c r="I25" s="233">
        <v>0.32</v>
      </c>
      <c r="J25" s="233">
        <v>0.32</v>
      </c>
      <c r="K25" s="233">
        <v>0.32</v>
      </c>
      <c r="L25" s="233">
        <v>0.32</v>
      </c>
      <c r="M25" s="233">
        <v>0.32</v>
      </c>
    </row>
    <row r="26" spans="2:13" ht="14.5" x14ac:dyDescent="0.35">
      <c r="B26" s="151" t="s">
        <v>67</v>
      </c>
      <c r="C26" s="242" t="s">
        <v>68</v>
      </c>
      <c r="D26" s="240" t="s">
        <v>69</v>
      </c>
      <c r="E26" s="30"/>
      <c r="F26" s="30"/>
      <c r="G26" s="30"/>
      <c r="H26" s="233">
        <v>0.3</v>
      </c>
      <c r="I26" s="233">
        <v>0.3</v>
      </c>
      <c r="J26" s="233">
        <v>0.3</v>
      </c>
      <c r="K26" s="233">
        <v>0.3</v>
      </c>
      <c r="L26" s="233">
        <v>0.3</v>
      </c>
      <c r="M26" s="233">
        <v>0.3</v>
      </c>
    </row>
    <row r="27" spans="2:13" ht="14.5" x14ac:dyDescent="0.35">
      <c r="B27" s="151" t="s">
        <v>70</v>
      </c>
      <c r="C27" s="242" t="s">
        <v>71</v>
      </c>
      <c r="D27" s="240" t="s">
        <v>69</v>
      </c>
      <c r="E27" s="30"/>
      <c r="F27" s="30"/>
      <c r="G27" s="30"/>
      <c r="H27" s="233">
        <v>0.14000000000000001</v>
      </c>
      <c r="I27" s="233">
        <v>0.14000000000000001</v>
      </c>
      <c r="J27" s="233">
        <v>0.14000000000000001</v>
      </c>
      <c r="K27" s="233">
        <v>0.14000000000000001</v>
      </c>
      <c r="L27" s="233">
        <v>0.14000000000000001</v>
      </c>
      <c r="M27" s="233">
        <v>0.14000000000000001</v>
      </c>
    </row>
    <row r="28" spans="2:13" ht="14.5" x14ac:dyDescent="0.35">
      <c r="B28" s="151" t="s">
        <v>72</v>
      </c>
      <c r="C28" s="242" t="s">
        <v>73</v>
      </c>
      <c r="D28" s="240" t="s">
        <v>69</v>
      </c>
      <c r="E28" s="30"/>
      <c r="F28" s="30"/>
      <c r="G28" s="30"/>
      <c r="H28" s="233">
        <f t="shared" ref="H28:M28" si="0">2.46/6.5</f>
        <v>0.37846153846153846</v>
      </c>
      <c r="I28" s="233">
        <f t="shared" si="0"/>
        <v>0.37846153846153846</v>
      </c>
      <c r="J28" s="233">
        <f t="shared" si="0"/>
        <v>0.37846153846153846</v>
      </c>
      <c r="K28" s="233">
        <f t="shared" si="0"/>
        <v>0.37846153846153846</v>
      </c>
      <c r="L28" s="233">
        <f t="shared" si="0"/>
        <v>0.37846153846153846</v>
      </c>
      <c r="M28" s="233">
        <f t="shared" si="0"/>
        <v>0.37846153846153846</v>
      </c>
    </row>
    <row r="29" spans="2:13" ht="14.5" x14ac:dyDescent="0.35">
      <c r="B29" s="151" t="s">
        <v>74</v>
      </c>
      <c r="C29" s="243" t="s">
        <v>75</v>
      </c>
      <c r="D29" s="240" t="s">
        <v>69</v>
      </c>
      <c r="E29" s="30"/>
      <c r="F29" s="30"/>
      <c r="G29" s="30"/>
      <c r="H29" s="233">
        <v>0.16</v>
      </c>
      <c r="I29" s="233">
        <v>0.16</v>
      </c>
      <c r="J29" s="233">
        <v>0.16</v>
      </c>
      <c r="K29" s="233">
        <f t="shared" ref="K29:L29" si="1">0.16+2.5/6.6</f>
        <v>0.53878787878787882</v>
      </c>
      <c r="L29" s="233">
        <f t="shared" si="1"/>
        <v>0.53878787878787882</v>
      </c>
      <c r="M29" s="233">
        <f>0.16+2.5/6.6</f>
        <v>0.53878787878787882</v>
      </c>
    </row>
    <row r="30" spans="2:13" ht="14.5" x14ac:dyDescent="0.35">
      <c r="B30" s="151" t="s">
        <v>76</v>
      </c>
      <c r="C30" s="242" t="s">
        <v>77</v>
      </c>
      <c r="D30" s="240" t="s">
        <v>69</v>
      </c>
      <c r="E30" s="30"/>
      <c r="F30" s="30"/>
      <c r="G30" s="30"/>
      <c r="H30" s="233">
        <f t="shared" ref="H30:M30" si="2">2.46/6.5</f>
        <v>0.37846153846153846</v>
      </c>
      <c r="I30" s="233">
        <f t="shared" si="2"/>
        <v>0.37846153846153846</v>
      </c>
      <c r="J30" s="233">
        <f t="shared" si="2"/>
        <v>0.37846153846153846</v>
      </c>
      <c r="K30" s="233">
        <f t="shared" si="2"/>
        <v>0.37846153846153846</v>
      </c>
      <c r="L30" s="233">
        <f t="shared" si="2"/>
        <v>0.37846153846153846</v>
      </c>
      <c r="M30" s="233">
        <f t="shared" si="2"/>
        <v>0.37846153846153846</v>
      </c>
    </row>
    <row r="31" spans="2:13" ht="14.5" x14ac:dyDescent="0.35">
      <c r="B31" s="151" t="s">
        <v>78</v>
      </c>
      <c r="C31" s="242" t="s">
        <v>79</v>
      </c>
      <c r="D31" s="240" t="s">
        <v>80</v>
      </c>
      <c r="E31" s="30"/>
      <c r="F31" s="30"/>
      <c r="G31" s="30"/>
      <c r="H31" s="233"/>
      <c r="I31" s="233"/>
      <c r="J31" s="233"/>
      <c r="K31" s="233">
        <v>0.2</v>
      </c>
      <c r="L31" s="233">
        <v>0.2</v>
      </c>
      <c r="M31" s="233">
        <v>0.2</v>
      </c>
    </row>
    <row r="32" spans="2:13" ht="14.5" x14ac:dyDescent="0.35">
      <c r="B32" s="151" t="s">
        <v>81</v>
      </c>
      <c r="C32" s="242" t="s">
        <v>82</v>
      </c>
      <c r="D32" s="240" t="s">
        <v>80</v>
      </c>
      <c r="E32" s="30"/>
      <c r="F32" s="30"/>
      <c r="G32" s="30"/>
      <c r="H32" s="233"/>
      <c r="I32" s="233"/>
      <c r="J32" s="233"/>
      <c r="K32" s="233">
        <v>0.28000000000000003</v>
      </c>
      <c r="L32" s="233">
        <v>0.28000000000000003</v>
      </c>
      <c r="M32" s="233">
        <v>0.28000000000000003</v>
      </c>
    </row>
    <row r="33" spans="1:13" ht="14.5" x14ac:dyDescent="0.35">
      <c r="B33" s="151" t="s">
        <v>83</v>
      </c>
      <c r="C33" s="242" t="s">
        <v>84</v>
      </c>
      <c r="D33" s="240" t="s">
        <v>80</v>
      </c>
      <c r="E33" s="30"/>
      <c r="F33" s="30"/>
      <c r="G33" s="30"/>
      <c r="H33" s="29"/>
      <c r="I33" s="29"/>
      <c r="J33" s="29"/>
      <c r="K33" s="30">
        <v>0.19</v>
      </c>
      <c r="L33" s="30">
        <v>0.19</v>
      </c>
      <c r="M33" s="30">
        <v>0.19</v>
      </c>
    </row>
    <row r="34" spans="1:13" ht="14.5" x14ac:dyDescent="0.35">
      <c r="B34" s="151" t="s">
        <v>85</v>
      </c>
      <c r="C34" s="242" t="s">
        <v>86</v>
      </c>
      <c r="D34" s="240" t="s">
        <v>80</v>
      </c>
      <c r="E34" s="30"/>
      <c r="F34" s="30"/>
      <c r="G34" s="30"/>
      <c r="H34" s="29"/>
      <c r="I34" s="29"/>
      <c r="J34" s="29"/>
      <c r="K34" s="30">
        <v>0.24</v>
      </c>
      <c r="L34" s="30">
        <v>0.25</v>
      </c>
      <c r="M34" s="30">
        <v>0.25</v>
      </c>
    </row>
    <row r="35" spans="1:13" ht="14.5" x14ac:dyDescent="0.35">
      <c r="D35" s="64"/>
      <c r="E35" s="64"/>
      <c r="F35" s="27"/>
      <c r="G35" s="27"/>
      <c r="H35" s="71"/>
      <c r="I35" s="71"/>
    </row>
    <row r="36" spans="1:13" ht="14.5" x14ac:dyDescent="0.35">
      <c r="D36" s="64"/>
      <c r="E36" s="64"/>
      <c r="F36" s="27"/>
      <c r="G36" s="27"/>
      <c r="H36" s="71"/>
      <c r="I36" s="71"/>
    </row>
    <row r="37" spans="1:13" ht="14.5" x14ac:dyDescent="0.35">
      <c r="D37" s="64"/>
      <c r="E37" s="64"/>
      <c r="F37" s="27"/>
      <c r="G37" s="27"/>
      <c r="H37" s="71"/>
      <c r="I37" s="71"/>
    </row>
    <row r="38" spans="1:13" ht="14.5" x14ac:dyDescent="0.35">
      <c r="D38" s="64"/>
      <c r="E38" s="64"/>
      <c r="F38" s="27"/>
      <c r="G38" s="27"/>
      <c r="H38" s="71"/>
      <c r="I38" s="71"/>
    </row>
    <row r="39" spans="1:13" ht="14.5" x14ac:dyDescent="0.35">
      <c r="D39" s="64"/>
      <c r="E39" s="246">
        <v>45292</v>
      </c>
      <c r="F39" s="246">
        <v>45323</v>
      </c>
      <c r="G39" s="246">
        <v>45352</v>
      </c>
      <c r="H39" s="246">
        <v>45383</v>
      </c>
      <c r="I39" s="246">
        <v>45413</v>
      </c>
      <c r="J39" s="256">
        <v>45444</v>
      </c>
      <c r="K39" s="246">
        <v>45474</v>
      </c>
      <c r="L39" s="246">
        <v>45505</v>
      </c>
      <c r="M39" s="246">
        <v>45536</v>
      </c>
    </row>
    <row r="40" spans="1:13" ht="14.5" x14ac:dyDescent="0.35">
      <c r="A40" s="83" t="s">
        <v>87</v>
      </c>
      <c r="B40" s="81" t="s">
        <v>88</v>
      </c>
      <c r="C40" s="81"/>
      <c r="D40" s="229">
        <f>AVERAGE(D7:D19)</f>
        <v>0.5788376438376438</v>
      </c>
      <c r="E40" s="229">
        <f>AVERAGE(E7:E23)</f>
        <v>0.47127921075837742</v>
      </c>
      <c r="F40" s="229">
        <f>AVERAGE(F8:F22)</f>
        <v>0.52602531534823194</v>
      </c>
      <c r="G40" s="229">
        <f>AVERAGE(G8:G22)</f>
        <v>0.52751226589768263</v>
      </c>
      <c r="H40" s="229">
        <f>AVERAGE(H8:H22)</f>
        <v>0.53006727261935604</v>
      </c>
      <c r="I40" s="229">
        <f>AVERAGE(I8:I22)</f>
        <v>0.65260239760239769</v>
      </c>
      <c r="J40" s="229">
        <f>AVERAGE(J9:J15,J17:J30)</f>
        <v>0.49264180264180268</v>
      </c>
      <c r="K40" s="229">
        <f>AVERAGE(K9:K14,K17:K34)</f>
        <v>0.47725718725718735</v>
      </c>
      <c r="L40" s="229">
        <f t="shared" ref="L40:M40" si="3">AVERAGE(L9:L14,L17:L34)</f>
        <v>0.47767385392385403</v>
      </c>
      <c r="M40" s="229">
        <f t="shared" si="3"/>
        <v>0.47767385392385403</v>
      </c>
    </row>
    <row r="41" spans="1:13" ht="14.5" x14ac:dyDescent="0.35">
      <c r="A41" s="83" t="s">
        <v>89</v>
      </c>
      <c r="B41" s="63" t="s">
        <v>90</v>
      </c>
      <c r="C41" s="63"/>
      <c r="D41" s="229">
        <v>8.8999999999999996E-2</v>
      </c>
      <c r="E41" s="229">
        <v>8.8999999999999996E-2</v>
      </c>
      <c r="F41" s="229">
        <v>8.8999999999999996E-2</v>
      </c>
      <c r="G41" s="229">
        <v>8.8999999999999996E-2</v>
      </c>
      <c r="H41" s="229">
        <v>8.8999999999999996E-2</v>
      </c>
      <c r="I41" s="229">
        <v>8.8999999999999996E-2</v>
      </c>
      <c r="J41" s="229">
        <v>8.8999999999999996E-2</v>
      </c>
      <c r="K41" s="229">
        <v>8.8999999999999996E-2</v>
      </c>
      <c r="L41" s="229">
        <v>8.8999999999999996E-2</v>
      </c>
      <c r="M41" s="229">
        <v>8.8999999999999996E-2</v>
      </c>
    </row>
    <row r="42" spans="1:13" ht="14.5" x14ac:dyDescent="0.35">
      <c r="A42" s="83" t="s">
        <v>91</v>
      </c>
      <c r="B42" t="s">
        <v>92</v>
      </c>
      <c r="D42" s="229">
        <f>(D40+D41)/2</f>
        <v>0.33391882191882188</v>
      </c>
      <c r="E42" s="229">
        <f t="shared" ref="E42:G42" si="4">(E40+E41)/2</f>
        <v>0.28013960537918869</v>
      </c>
      <c r="F42" s="229">
        <f t="shared" si="4"/>
        <v>0.30751265767411595</v>
      </c>
      <c r="G42" s="229">
        <f t="shared" si="4"/>
        <v>0.3082561329488413</v>
      </c>
      <c r="H42" s="229">
        <f t="shared" ref="H42:I42" si="5">(H40+H41)/2</f>
        <v>0.30953363630967801</v>
      </c>
      <c r="I42" s="229">
        <f t="shared" si="5"/>
        <v>0.37080119880119883</v>
      </c>
      <c r="J42" s="229">
        <f t="shared" ref="J42:M42" si="6">(J40+J41)/2</f>
        <v>0.29082090132090133</v>
      </c>
      <c r="K42" s="229">
        <f>(K40+K41)/2</f>
        <v>0.28312859362859366</v>
      </c>
      <c r="L42" s="229">
        <f t="shared" si="6"/>
        <v>0.28333692696192703</v>
      </c>
      <c r="M42" s="229">
        <f t="shared" si="6"/>
        <v>0.28333692696192703</v>
      </c>
    </row>
    <row r="43" spans="1:13" ht="14.5" x14ac:dyDescent="0.35">
      <c r="A43" s="83" t="s">
        <v>93</v>
      </c>
      <c r="B43" t="s">
        <v>94</v>
      </c>
      <c r="D43" s="229">
        <f>D40*0.014</f>
        <v>8.1037270137270141E-3</v>
      </c>
      <c r="E43" s="229">
        <f>E40*0.014</f>
        <v>6.5979089506172841E-3</v>
      </c>
      <c r="F43" s="229">
        <f t="shared" ref="F43:G43" si="7">F40*0.014</f>
        <v>7.364354414875247E-3</v>
      </c>
      <c r="G43" s="229">
        <f t="shared" si="7"/>
        <v>7.3851717225675573E-3</v>
      </c>
      <c r="H43" s="229">
        <f t="shared" ref="H43:I43" si="8">H40*0.014</f>
        <v>7.4209418166709847E-3</v>
      </c>
      <c r="I43" s="229">
        <f t="shared" si="8"/>
        <v>9.1364335664335678E-3</v>
      </c>
      <c r="J43" s="229">
        <f t="shared" ref="J43:M43" si="9">J40*0.014</f>
        <v>6.8969852369852374E-3</v>
      </c>
      <c r="K43" s="229">
        <f t="shared" si="9"/>
        <v>6.6816006216006227E-3</v>
      </c>
      <c r="L43" s="229">
        <f t="shared" si="9"/>
        <v>6.6874339549339561E-3</v>
      </c>
      <c r="M43" s="229">
        <f t="shared" si="9"/>
        <v>6.6874339549339561E-3</v>
      </c>
    </row>
    <row r="44" spans="1:13" ht="14.5" x14ac:dyDescent="0.35">
      <c r="A44" s="83" t="s">
        <v>95</v>
      </c>
      <c r="B44" t="s">
        <v>96</v>
      </c>
      <c r="D44" s="229">
        <f>D42+D43</f>
        <v>0.34202254893254891</v>
      </c>
      <c r="E44" s="229">
        <f t="shared" ref="E44:G44" si="10">E42+E43</f>
        <v>0.28673751432980599</v>
      </c>
      <c r="F44" s="229">
        <f>F42+F43</f>
        <v>0.31487701208899121</v>
      </c>
      <c r="G44" s="229">
        <f t="shared" si="10"/>
        <v>0.31564130467140883</v>
      </c>
      <c r="H44" s="229">
        <f t="shared" ref="H44:I44" si="11">H42+H43</f>
        <v>0.31695457812634897</v>
      </c>
      <c r="I44" s="229">
        <f t="shared" si="11"/>
        <v>0.37993763236763239</v>
      </c>
      <c r="J44" s="229">
        <f t="shared" ref="J44:M44" si="12">J42+J43</f>
        <v>0.29771788655788656</v>
      </c>
      <c r="K44" s="229">
        <f t="shared" si="12"/>
        <v>0.28981019425019428</v>
      </c>
      <c r="L44" s="229">
        <f t="shared" si="12"/>
        <v>0.29002436091686096</v>
      </c>
      <c r="M44" s="229">
        <f t="shared" si="12"/>
        <v>0.29002436091686096</v>
      </c>
    </row>
    <row r="45" spans="1:13" ht="14.5" x14ac:dyDescent="0.35">
      <c r="A45" s="83" t="s">
        <v>97</v>
      </c>
      <c r="B45" t="s">
        <v>98</v>
      </c>
      <c r="D45" s="229">
        <f>D44*0.07</f>
        <v>2.3941578425278425E-2</v>
      </c>
      <c r="E45" s="229">
        <f t="shared" ref="E45:G45" si="13">E44*0.07</f>
        <v>2.0071626003086422E-2</v>
      </c>
      <c r="F45" s="229">
        <f t="shared" si="13"/>
        <v>2.2041390846229386E-2</v>
      </c>
      <c r="G45" s="229">
        <f t="shared" si="13"/>
        <v>2.2094891326998621E-2</v>
      </c>
      <c r="H45" s="229">
        <f t="shared" ref="H45:I45" si="14">H44*0.07</f>
        <v>2.2186820468844431E-2</v>
      </c>
      <c r="I45" s="229">
        <f t="shared" si="14"/>
        <v>2.6595634265734271E-2</v>
      </c>
      <c r="J45" s="229">
        <f t="shared" ref="J45:M45" si="15">J44*0.07</f>
        <v>2.0840252059052062E-2</v>
      </c>
      <c r="K45" s="229">
        <f t="shared" si="15"/>
        <v>2.0286713597513602E-2</v>
      </c>
      <c r="L45" s="229">
        <f t="shared" si="15"/>
        <v>2.0301705264180268E-2</v>
      </c>
      <c r="M45" s="229">
        <f t="shared" si="15"/>
        <v>2.0301705264180268E-2</v>
      </c>
    </row>
    <row r="46" spans="1:13" ht="14.5" x14ac:dyDescent="0.35">
      <c r="A46" s="83" t="s">
        <v>99</v>
      </c>
      <c r="B46" s="10" t="s">
        <v>100</v>
      </c>
      <c r="C46" s="10"/>
      <c r="D46" s="259">
        <f>SUM(D44:D45)</f>
        <v>0.36596412735782735</v>
      </c>
      <c r="E46" s="259">
        <f>SUM(E44:E45)</f>
        <v>0.30680914033289242</v>
      </c>
      <c r="F46" s="259">
        <f t="shared" ref="F46:G46" si="16">SUM(F44:F45)</f>
        <v>0.33691840293522057</v>
      </c>
      <c r="G46" s="259">
        <f t="shared" si="16"/>
        <v>0.33773619599840743</v>
      </c>
      <c r="H46" s="259">
        <f t="shared" ref="H46:I46" si="17">SUM(H44:H45)</f>
        <v>0.33914139859519343</v>
      </c>
      <c r="I46" s="259">
        <f t="shared" si="17"/>
        <v>0.40653326663336664</v>
      </c>
      <c r="J46" s="259">
        <f t="shared" ref="J46:M46" si="18">SUM(J44:J45)</f>
        <v>0.3185581386169386</v>
      </c>
      <c r="K46" s="259">
        <f t="shared" si="18"/>
        <v>0.31009690784770788</v>
      </c>
      <c r="L46" s="259">
        <f t="shared" si="18"/>
        <v>0.31032606618104125</v>
      </c>
      <c r="M46" s="259">
        <f t="shared" si="18"/>
        <v>0.31032606618104125</v>
      </c>
    </row>
    <row r="47" spans="1:13" ht="14.5" x14ac:dyDescent="0.35">
      <c r="B47" s="63"/>
      <c r="C47" s="63"/>
      <c r="D47" s="63"/>
      <c r="E47" s="63"/>
    </row>
    <row r="48" spans="1:13" ht="14.5" x14ac:dyDescent="0.35">
      <c r="B48" s="271"/>
      <c r="C48" s="271"/>
      <c r="D48" s="271"/>
      <c r="E48" s="63"/>
    </row>
    <row r="49" spans="2:13" ht="14.5" x14ac:dyDescent="0.35">
      <c r="B49" s="63"/>
      <c r="C49" s="63"/>
      <c r="D49" s="63"/>
      <c r="E49" s="63"/>
    </row>
    <row r="50" spans="2:13" ht="14.5" x14ac:dyDescent="0.35">
      <c r="B50" s="271"/>
      <c r="C50" s="271"/>
    </row>
    <row r="51" spans="2:13" ht="14.5" x14ac:dyDescent="0.35">
      <c r="B51" s="273" t="s">
        <v>101</v>
      </c>
      <c r="C51" s="273"/>
      <c r="D51" s="273"/>
      <c r="E51" s="273"/>
    </row>
    <row r="52" spans="2:13" ht="14.5" x14ac:dyDescent="0.35">
      <c r="B52" s="273" t="s">
        <v>19</v>
      </c>
      <c r="C52" s="273"/>
      <c r="D52" s="273"/>
      <c r="E52" s="273"/>
    </row>
    <row r="53" spans="2:13" ht="14.5" x14ac:dyDescent="0.35">
      <c r="B53" s="271"/>
      <c r="C53" s="271"/>
      <c r="D53" s="271"/>
      <c r="E53" s="271"/>
    </row>
    <row r="54" spans="2:13" ht="14.5" x14ac:dyDescent="0.35">
      <c r="B54" s="66" t="s">
        <v>20</v>
      </c>
      <c r="C54" s="66" t="s">
        <v>21</v>
      </c>
      <c r="D54" s="66" t="s">
        <v>102</v>
      </c>
      <c r="E54" s="246">
        <v>45292</v>
      </c>
      <c r="F54" s="246">
        <v>45323</v>
      </c>
      <c r="G54" s="246">
        <v>45352</v>
      </c>
      <c r="H54" s="246">
        <v>45383</v>
      </c>
      <c r="I54" s="246">
        <v>45413</v>
      </c>
      <c r="J54" s="256">
        <v>45444</v>
      </c>
      <c r="K54" s="246">
        <v>45474</v>
      </c>
      <c r="L54" s="246">
        <v>45505</v>
      </c>
      <c r="M54" s="246">
        <v>45536</v>
      </c>
    </row>
    <row r="55" spans="2:13" ht="14.5" x14ac:dyDescent="0.35">
      <c r="B55" s="271"/>
      <c r="C55" s="271"/>
      <c r="D55" s="271" t="s">
        <v>23</v>
      </c>
      <c r="E55" s="271" t="s">
        <v>23</v>
      </c>
      <c r="F55" s="271" t="s">
        <v>23</v>
      </c>
      <c r="G55" s="271" t="s">
        <v>23</v>
      </c>
      <c r="H55" s="154"/>
    </row>
    <row r="56" spans="2:13" ht="14.5" x14ac:dyDescent="0.35">
      <c r="B56" s="151" t="s">
        <v>48</v>
      </c>
      <c r="C56" s="86" t="s">
        <v>103</v>
      </c>
      <c r="D56" s="187">
        <v>0.36</v>
      </c>
      <c r="E56" s="1">
        <v>0.36</v>
      </c>
      <c r="F56" s="136">
        <v>0.36</v>
      </c>
      <c r="G56" s="138">
        <v>0.52</v>
      </c>
      <c r="H56" s="160">
        <v>0.52</v>
      </c>
      <c r="I56" s="176">
        <v>0.53</v>
      </c>
      <c r="J56" s="176">
        <v>0.56000000000000005</v>
      </c>
      <c r="K56" s="206">
        <v>0.56000000000000005</v>
      </c>
      <c r="L56" s="206">
        <v>0.56000000000000005</v>
      </c>
      <c r="M56" s="206">
        <v>0.56000000000000005</v>
      </c>
    </row>
    <row r="57" spans="2:13" ht="14.5" x14ac:dyDescent="0.35">
      <c r="B57" s="151" t="s">
        <v>104</v>
      </c>
      <c r="C57" s="86" t="s">
        <v>105</v>
      </c>
      <c r="D57" s="187">
        <v>0.43</v>
      </c>
      <c r="E57" s="1">
        <v>0.43</v>
      </c>
      <c r="F57" s="136">
        <v>0.43</v>
      </c>
      <c r="G57" s="139">
        <v>0.56000000000000005</v>
      </c>
      <c r="H57" s="71">
        <v>0.56000000000000005</v>
      </c>
      <c r="I57" s="177">
        <v>0.56000000000000005</v>
      </c>
      <c r="J57" s="177">
        <f>0.56</f>
        <v>0.56000000000000005</v>
      </c>
      <c r="K57" s="196">
        <f>0.56</f>
        <v>0.56000000000000005</v>
      </c>
      <c r="L57" s="196">
        <f>0.56</f>
        <v>0.56000000000000005</v>
      </c>
      <c r="M57" s="196">
        <f>0.56+(0.4/60)</f>
        <v>0.56666666666666676</v>
      </c>
    </row>
    <row r="58" spans="2:13" ht="14.5" x14ac:dyDescent="0.35">
      <c r="B58" s="151" t="s">
        <v>106</v>
      </c>
      <c r="C58" s="86" t="s">
        <v>107</v>
      </c>
      <c r="D58" s="187">
        <v>0.43</v>
      </c>
      <c r="E58" s="1">
        <v>0.43</v>
      </c>
      <c r="F58" s="136">
        <v>0.43</v>
      </c>
      <c r="G58" s="140">
        <v>0.56000000000000005</v>
      </c>
      <c r="H58" s="172">
        <v>0.56000000000000005</v>
      </c>
      <c r="I58" s="178">
        <v>0.56000000000000005</v>
      </c>
      <c r="J58" s="178">
        <v>0.56000000000000005</v>
      </c>
      <c r="K58" s="207">
        <v>0.56000000000000005</v>
      </c>
      <c r="L58" s="207">
        <v>0.56000000000000005</v>
      </c>
      <c r="M58" s="196">
        <f>0.56+(0.4/60)</f>
        <v>0.56666666666666676</v>
      </c>
    </row>
    <row r="59" spans="2:13" ht="14.5" x14ac:dyDescent="0.35">
      <c r="B59" s="151" t="s">
        <v>108</v>
      </c>
      <c r="C59" s="86" t="s">
        <v>109</v>
      </c>
      <c r="D59" s="187">
        <v>0.36</v>
      </c>
      <c r="E59" s="1">
        <v>0.36</v>
      </c>
      <c r="F59" s="136">
        <v>0.36</v>
      </c>
      <c r="G59" s="138">
        <v>0.52</v>
      </c>
      <c r="H59" s="160">
        <v>0.52</v>
      </c>
      <c r="I59" s="176">
        <v>0.53</v>
      </c>
      <c r="J59" s="176">
        <v>0.56000000000000005</v>
      </c>
      <c r="K59" s="206">
        <v>0.56000000000000005</v>
      </c>
      <c r="L59" s="206">
        <v>0.56000000000000005</v>
      </c>
      <c r="M59" s="206">
        <v>0.56000000000000005</v>
      </c>
    </row>
    <row r="60" spans="2:13" ht="14.5" x14ac:dyDescent="0.35">
      <c r="B60" s="151" t="s">
        <v>110</v>
      </c>
      <c r="C60" s="86" t="s">
        <v>111</v>
      </c>
      <c r="D60" s="188">
        <v>0.06</v>
      </c>
      <c r="E60" s="142">
        <v>0.06</v>
      </c>
      <c r="F60" s="137">
        <v>0.06</v>
      </c>
      <c r="G60" s="141" t="s">
        <v>46</v>
      </c>
      <c r="H60" s="173" t="s">
        <v>46</v>
      </c>
      <c r="I60" s="179" t="s">
        <v>46</v>
      </c>
      <c r="J60" s="179" t="s">
        <v>46</v>
      </c>
      <c r="K60" s="208" t="s">
        <v>46</v>
      </c>
      <c r="L60" s="208" t="s">
        <v>46</v>
      </c>
      <c r="M60" s="208" t="s">
        <v>46</v>
      </c>
    </row>
    <row r="61" spans="2:13" ht="14.5" x14ac:dyDescent="0.35">
      <c r="B61" s="151" t="s">
        <v>112</v>
      </c>
      <c r="C61" s="86" t="s">
        <v>113</v>
      </c>
      <c r="D61" s="187">
        <v>0.36</v>
      </c>
      <c r="E61" s="1">
        <v>0.36</v>
      </c>
      <c r="F61" s="136">
        <v>0.36</v>
      </c>
      <c r="G61" s="138">
        <v>0.52</v>
      </c>
      <c r="H61" s="69" t="s">
        <v>46</v>
      </c>
      <c r="I61" s="180" t="s">
        <v>46</v>
      </c>
      <c r="J61" s="180" t="s">
        <v>46</v>
      </c>
      <c r="K61" s="209" t="s">
        <v>46</v>
      </c>
      <c r="L61" s="209" t="s">
        <v>46</v>
      </c>
      <c r="M61" s="206">
        <v>0.56000000000000005</v>
      </c>
    </row>
    <row r="62" spans="2:13" ht="14.5" x14ac:dyDescent="0.35">
      <c r="B62" s="151" t="s">
        <v>104</v>
      </c>
      <c r="C62" s="86" t="s">
        <v>114</v>
      </c>
      <c r="D62" s="190" t="s">
        <v>115</v>
      </c>
      <c r="E62" s="64"/>
      <c r="F62" s="115"/>
      <c r="G62" s="139">
        <v>0.46</v>
      </c>
      <c r="H62" s="71">
        <v>0.46</v>
      </c>
      <c r="I62" s="181">
        <v>0.53</v>
      </c>
      <c r="J62" s="181">
        <v>0.53</v>
      </c>
      <c r="K62" s="197">
        <v>0.53</v>
      </c>
      <c r="L62" s="197">
        <v>0.53</v>
      </c>
      <c r="M62" s="197">
        <v>0.52</v>
      </c>
    </row>
    <row r="63" spans="2:13" ht="14.5" x14ac:dyDescent="0.35">
      <c r="B63" s="151" t="s">
        <v>104</v>
      </c>
      <c r="C63" s="86" t="s">
        <v>116</v>
      </c>
      <c r="D63" s="190" t="s">
        <v>69</v>
      </c>
      <c r="E63" s="64"/>
      <c r="F63" s="115"/>
      <c r="G63" s="150"/>
      <c r="H63" s="71">
        <v>0.64</v>
      </c>
      <c r="I63" s="177">
        <v>0.64</v>
      </c>
      <c r="J63" s="177">
        <v>0.64</v>
      </c>
      <c r="K63" s="196">
        <v>0.64</v>
      </c>
      <c r="L63" s="196">
        <v>0.64</v>
      </c>
      <c r="M63" s="196">
        <f>0.64+(0.4/60)</f>
        <v>0.64666666666666672</v>
      </c>
    </row>
    <row r="64" spans="2:13" ht="14.5" x14ac:dyDescent="0.35">
      <c r="B64" s="151" t="s">
        <v>117</v>
      </c>
      <c r="C64" s="86" t="s">
        <v>118</v>
      </c>
      <c r="D64" s="190" t="s">
        <v>119</v>
      </c>
      <c r="E64" s="64"/>
      <c r="F64" s="115"/>
      <c r="G64" s="150"/>
      <c r="H64" s="71"/>
      <c r="I64" s="177"/>
      <c r="J64" s="181">
        <v>0.4</v>
      </c>
      <c r="K64" s="197">
        <v>0.4</v>
      </c>
      <c r="L64" s="197">
        <v>0.4</v>
      </c>
      <c r="M64" s="197">
        <v>0.49</v>
      </c>
    </row>
    <row r="65" spans="2:13" ht="14.5" x14ac:dyDescent="0.35">
      <c r="B65" s="151" t="s">
        <v>120</v>
      </c>
      <c r="C65" s="86" t="s">
        <v>121</v>
      </c>
      <c r="D65" s="190" t="s">
        <v>119</v>
      </c>
      <c r="E65" s="64"/>
      <c r="F65" s="115"/>
      <c r="G65" s="150"/>
      <c r="H65" s="71"/>
      <c r="I65" s="177"/>
      <c r="J65" s="181">
        <v>0.41</v>
      </c>
      <c r="K65" s="197">
        <v>0.41</v>
      </c>
      <c r="L65" s="197">
        <v>0.41</v>
      </c>
      <c r="M65" s="197">
        <v>0.51</v>
      </c>
    </row>
    <row r="66" spans="2:13" ht="14.5" x14ac:dyDescent="0.35">
      <c r="D66" s="64"/>
      <c r="E66" s="64"/>
      <c r="F66" s="27"/>
      <c r="G66" s="71"/>
    </row>
    <row r="67" spans="2:13" ht="14.5" x14ac:dyDescent="0.35">
      <c r="B67" s="63" t="s">
        <v>88</v>
      </c>
      <c r="C67" s="63"/>
      <c r="D67" s="65">
        <f>AVERAGE(D56:D61)</f>
        <v>0.33333333333333331</v>
      </c>
      <c r="E67" s="65">
        <f>AVERAGE(E56:E62)</f>
        <v>0.33333333333333331</v>
      </c>
      <c r="F67" s="65">
        <f>AVERAGE(F56:F61)</f>
        <v>0.33333333333333331</v>
      </c>
      <c r="G67" s="65">
        <f>AVERAGE(G56:G61)</f>
        <v>0.53600000000000003</v>
      </c>
      <c r="H67" s="65">
        <f t="shared" ref="H67:I67" si="19">AVERAGE(H56:H61)</f>
        <v>0.54</v>
      </c>
      <c r="I67" s="65">
        <f t="shared" si="19"/>
        <v>0.54500000000000004</v>
      </c>
      <c r="J67" s="65">
        <f>AVERAGE(J56:J59,J62:J65)</f>
        <v>0.52750000000000008</v>
      </c>
      <c r="K67" s="65">
        <f t="shared" ref="K67:L67" si="20">AVERAGE(K56:K59,K62:K65)</f>
        <v>0.52750000000000008</v>
      </c>
      <c r="L67" s="65">
        <f t="shared" si="20"/>
        <v>0.52750000000000008</v>
      </c>
      <c r="M67" s="65">
        <f>AVERAGE(M56:M65)</f>
        <v>0.55333333333333334</v>
      </c>
    </row>
    <row r="68" spans="2:13" ht="14.5" x14ac:dyDescent="0.35">
      <c r="B68" t="s">
        <v>94</v>
      </c>
      <c r="D68" s="65">
        <f>D67*0.014</f>
        <v>4.6666666666666662E-3</v>
      </c>
      <c r="E68" s="65">
        <f>E67*0.014</f>
        <v>4.6666666666666662E-3</v>
      </c>
      <c r="F68" s="65">
        <f t="shared" ref="F68" si="21">F67*0.014</f>
        <v>4.6666666666666662E-3</v>
      </c>
      <c r="G68" s="65">
        <f t="shared" ref="G68:I68" si="22">G67*0.014</f>
        <v>7.5040000000000003E-3</v>
      </c>
      <c r="H68" s="65">
        <f t="shared" si="22"/>
        <v>7.5600000000000007E-3</v>
      </c>
      <c r="I68" s="65">
        <f t="shared" si="22"/>
        <v>7.6300000000000005E-3</v>
      </c>
      <c r="J68" s="65">
        <f t="shared" ref="J68:M68" si="23">J67*0.014</f>
        <v>7.3850000000000009E-3</v>
      </c>
      <c r="K68" s="65">
        <f t="shared" si="23"/>
        <v>7.3850000000000009E-3</v>
      </c>
      <c r="L68" s="65">
        <f t="shared" si="23"/>
        <v>7.3850000000000009E-3</v>
      </c>
      <c r="M68" s="65">
        <f t="shared" si="23"/>
        <v>7.7466666666666673E-3</v>
      </c>
    </row>
    <row r="69" spans="2:13" ht="14.5" x14ac:dyDescent="0.35">
      <c r="B69" t="s">
        <v>122</v>
      </c>
      <c r="D69" s="65">
        <f>D67+D68</f>
        <v>0.33799999999999997</v>
      </c>
      <c r="E69" s="65">
        <f t="shared" ref="E69" si="24">E67+E68</f>
        <v>0.33799999999999997</v>
      </c>
      <c r="F69" s="65">
        <f t="shared" ref="F69" si="25">F67+F68</f>
        <v>0.33799999999999997</v>
      </c>
      <c r="G69" s="65">
        <f t="shared" ref="G69:I69" si="26">G67+G68</f>
        <v>0.54350399999999999</v>
      </c>
      <c r="H69" s="65">
        <f t="shared" si="26"/>
        <v>0.54756000000000005</v>
      </c>
      <c r="I69" s="65">
        <f t="shared" si="26"/>
        <v>0.55263000000000007</v>
      </c>
      <c r="J69" s="65">
        <f t="shared" ref="J69:M69" si="27">J67+J68</f>
        <v>0.53488500000000005</v>
      </c>
      <c r="K69" s="65">
        <f t="shared" si="27"/>
        <v>0.53488500000000005</v>
      </c>
      <c r="L69" s="65">
        <f t="shared" si="27"/>
        <v>0.53488500000000005</v>
      </c>
      <c r="M69" s="65">
        <f t="shared" si="27"/>
        <v>0.56108000000000002</v>
      </c>
    </row>
    <row r="70" spans="2:13" ht="14.5" x14ac:dyDescent="0.35">
      <c r="B70" t="s">
        <v>98</v>
      </c>
      <c r="D70" s="65">
        <f>D69*0.07</f>
        <v>2.366E-2</v>
      </c>
      <c r="E70" s="65">
        <f t="shared" ref="E70" si="28">E69*0.07</f>
        <v>2.366E-2</v>
      </c>
      <c r="F70" s="65">
        <f t="shared" ref="F70" si="29">F69*0.07</f>
        <v>2.366E-2</v>
      </c>
      <c r="G70" s="65">
        <f t="shared" ref="G70:I70" si="30">G69*0.07</f>
        <v>3.8045280000000001E-2</v>
      </c>
      <c r="H70" s="65">
        <f t="shared" si="30"/>
        <v>3.8329200000000008E-2</v>
      </c>
      <c r="I70" s="65">
        <f t="shared" si="30"/>
        <v>3.8684100000000006E-2</v>
      </c>
      <c r="J70" s="65">
        <f t="shared" ref="J70:M70" si="31">J69*0.07</f>
        <v>3.7441950000000009E-2</v>
      </c>
      <c r="K70" s="65">
        <f t="shared" si="31"/>
        <v>3.7441950000000009E-2</v>
      </c>
      <c r="L70" s="65">
        <f t="shared" si="31"/>
        <v>3.7441950000000009E-2</v>
      </c>
      <c r="M70" s="65">
        <f t="shared" si="31"/>
        <v>3.9275600000000008E-2</v>
      </c>
    </row>
    <row r="71" spans="2:13" ht="14.5" x14ac:dyDescent="0.35">
      <c r="B71" s="10" t="s">
        <v>123</v>
      </c>
      <c r="C71" s="10"/>
      <c r="D71" s="260">
        <f>SUM(D69:D70)</f>
        <v>0.36165999999999998</v>
      </c>
      <c r="E71" s="260">
        <f>SUM(E69:E70)</f>
        <v>0.36165999999999998</v>
      </c>
      <c r="F71" s="260">
        <f t="shared" ref="F71" si="32">SUM(F69:F70)</f>
        <v>0.36165999999999998</v>
      </c>
      <c r="G71" s="260">
        <f t="shared" ref="G71:I71" si="33">SUM(G69:G70)</f>
        <v>0.58154927999999995</v>
      </c>
      <c r="H71" s="260">
        <f t="shared" si="33"/>
        <v>0.5858892</v>
      </c>
      <c r="I71" s="260">
        <f t="shared" si="33"/>
        <v>0.59131410000000006</v>
      </c>
      <c r="J71" s="260">
        <f t="shared" ref="J71:M71" si="34">SUM(J69:J70)</f>
        <v>0.57232695000000011</v>
      </c>
      <c r="K71" s="260">
        <f t="shared" si="34"/>
        <v>0.57232695000000011</v>
      </c>
      <c r="L71" s="260">
        <f t="shared" si="34"/>
        <v>0.57232695000000011</v>
      </c>
      <c r="M71" s="260">
        <f t="shared" si="34"/>
        <v>0.60035559999999999</v>
      </c>
    </row>
    <row r="72" spans="2:13" ht="14.5" x14ac:dyDescent="0.35">
      <c r="B72" s="63"/>
      <c r="C72" s="63"/>
      <c r="D72" s="63"/>
      <c r="E72" s="63"/>
    </row>
    <row r="75" spans="2:13" ht="14.5" x14ac:dyDescent="0.35">
      <c r="B75" t="s">
        <v>124</v>
      </c>
    </row>
    <row r="76" spans="2:13" ht="14.5" x14ac:dyDescent="0.35"/>
    <row r="77" spans="2:13" ht="14.5" x14ac:dyDescent="0.35"/>
    <row r="78" spans="2:13" ht="14.5" x14ac:dyDescent="0.35"/>
  </sheetData>
  <mergeCells count="4">
    <mergeCell ref="B2:E2"/>
    <mergeCell ref="B3:E3"/>
    <mergeCell ref="B51:E51"/>
    <mergeCell ref="B52:E52"/>
  </mergeCells>
  <hyperlinks>
    <hyperlink ref="B25" r:id="rId1" xr:uid="{55D5E865-F0B5-4E15-84F7-FA2E8BA680E2}"/>
    <hyperlink ref="B26" r:id="rId2" xr:uid="{2F2D89D5-BA52-48B1-8989-4F28256B02EF}"/>
    <hyperlink ref="B27" r:id="rId3" xr:uid="{514DA18A-DBAD-4671-AB3E-DCA66428BE78}"/>
    <hyperlink ref="B28" r:id="rId4" xr:uid="{3631499D-034E-46D9-881C-209F2288D6C4}"/>
    <hyperlink ref="B29" r:id="rId5" xr:uid="{E6261165-4B4E-4DFD-979C-AD5367A4AF30}"/>
    <hyperlink ref="B24" r:id="rId6" xr:uid="{BD472786-2786-46EF-8926-5F6FAEC9859C}"/>
    <hyperlink ref="B30" r:id="rId7" xr:uid="{97F42DCF-562E-4234-9951-4D4302E8DF54}"/>
    <hyperlink ref="B23" r:id="rId8" xr:uid="{E846B029-AC60-4228-8282-E66DC7ED958B}"/>
    <hyperlink ref="B31" r:id="rId9" xr:uid="{21894C04-28F5-4722-83D4-B11EB2C9539F}"/>
    <hyperlink ref="B32" r:id="rId10" xr:uid="{011B97A6-F415-4881-ABD8-9053256F5407}"/>
    <hyperlink ref="B33" r:id="rId11" xr:uid="{922E21E6-55BE-407D-A73E-26F66D77AD28}"/>
    <hyperlink ref="B34" r:id="rId12" xr:uid="{91D00A08-C0EA-49AD-B91D-969ABB3DC27D}"/>
    <hyperlink ref="B63" r:id="rId13" xr:uid="{E89AF3B7-CE82-49DD-817A-363FAD8600B9}"/>
    <hyperlink ref="B62" r:id="rId14" xr:uid="{364649C8-507E-46D3-9D1A-488212BBB77D}"/>
    <hyperlink ref="B61" r:id="rId15" xr:uid="{20A67791-A5D4-4630-B4B0-3EDA32AD959D}"/>
    <hyperlink ref="B60" r:id="rId16" xr:uid="{A4BA4C5D-64DC-4D2F-A797-C063F37F3374}"/>
    <hyperlink ref="B59" r:id="rId17" xr:uid="{82C1D11D-B397-40EC-8C67-AD4E6C35AB86}"/>
    <hyperlink ref="B58" r:id="rId18" xr:uid="{712E3AF2-3BCC-4894-8CEF-525459B50DFD}"/>
    <hyperlink ref="B57" r:id="rId19" xr:uid="{46E1C7B8-4997-494E-B9ED-703D8B8FC9D5}"/>
    <hyperlink ref="B56" r:id="rId20" xr:uid="{BB0A7E2E-D523-4024-912A-EB3CC4ADA85F}"/>
    <hyperlink ref="B65" r:id="rId21" xr:uid="{F5C87ADE-E6BE-4882-A2CD-5D38B627368C}"/>
    <hyperlink ref="B64" r:id="rId22" xr:uid="{46F5F37B-CC68-405C-860B-508D389FC3DA}"/>
  </hyperlinks>
  <pageMargins left="0.7" right="0.7" top="0.75" bottom="0.75" header="0.3" footer="0.3"/>
  <ignoredErrors>
    <ignoredError sqref="K29:M29 E67" formula="1"/>
  </ignoredErrors>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2BCA6-CEEC-42AC-8F36-D48AE3A178F6}">
  <dimension ref="A1:AY95"/>
  <sheetViews>
    <sheetView showGridLines="0" workbookViewId="0">
      <selection activeCell="M40" sqref="M40"/>
    </sheetView>
  </sheetViews>
  <sheetFormatPr defaultRowHeight="14.5" x14ac:dyDescent="0.35"/>
  <cols>
    <col min="2" max="3" width="42.81640625" customWidth="1"/>
    <col min="4" max="4" width="24.1796875" customWidth="1"/>
    <col min="5" max="16" width="18.1796875" customWidth="1"/>
  </cols>
  <sheetData>
    <row r="1" spans="1:49" x14ac:dyDescent="0.35">
      <c r="B1" s="94" t="s">
        <v>125</v>
      </c>
      <c r="C1" s="95"/>
      <c r="D1" s="95"/>
      <c r="E1" s="95"/>
      <c r="F1" s="95"/>
      <c r="G1" s="96"/>
    </row>
    <row r="2" spans="1:49" ht="36.75" customHeight="1" x14ac:dyDescent="0.35">
      <c r="B2" s="93">
        <v>1</v>
      </c>
      <c r="C2" s="275" t="s">
        <v>126</v>
      </c>
      <c r="D2" s="275"/>
      <c r="E2" s="275"/>
      <c r="F2" s="275"/>
      <c r="G2" s="275"/>
    </row>
    <row r="3" spans="1:49" ht="36.75" customHeight="1" x14ac:dyDescent="0.35">
      <c r="B3" s="91">
        <v>2</v>
      </c>
      <c r="C3" s="276" t="s">
        <v>127</v>
      </c>
      <c r="D3" s="276"/>
      <c r="E3" s="276"/>
      <c r="F3" s="276"/>
      <c r="G3" s="276"/>
    </row>
    <row r="4" spans="1:49" ht="36.75" customHeight="1" x14ac:dyDescent="0.35">
      <c r="B4" s="92">
        <v>3</v>
      </c>
      <c r="C4" s="276" t="s">
        <v>128</v>
      </c>
      <c r="D4" s="276"/>
      <c r="E4" s="276"/>
      <c r="F4" s="276"/>
      <c r="G4" s="276"/>
    </row>
    <row r="5" spans="1:49" ht="36.75" customHeight="1" x14ac:dyDescent="0.35">
      <c r="B5" s="89"/>
      <c r="C5" s="89"/>
      <c r="D5" s="89"/>
      <c r="E5" s="89"/>
      <c r="F5" s="89"/>
      <c r="G5" s="89"/>
    </row>
    <row r="6" spans="1:49" x14ac:dyDescent="0.35">
      <c r="A6" s="90"/>
      <c r="B6" s="274" t="s">
        <v>18</v>
      </c>
      <c r="C6" s="274"/>
      <c r="D6" s="274"/>
      <c r="E6" s="274"/>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row>
    <row r="7" spans="1:49" x14ac:dyDescent="0.35">
      <c r="B7" s="273" t="s">
        <v>19</v>
      </c>
      <c r="C7" s="273"/>
      <c r="D7" s="273"/>
      <c r="E7" s="273"/>
    </row>
    <row r="8" spans="1:49" x14ac:dyDescent="0.35">
      <c r="B8" s="271"/>
      <c r="C8" s="271"/>
      <c r="D8" s="271"/>
      <c r="E8" s="271"/>
    </row>
    <row r="9" spans="1:49" s="14" customFormat="1" x14ac:dyDescent="0.35">
      <c r="B9" s="97" t="s">
        <v>20</v>
      </c>
      <c r="C9" s="98"/>
      <c r="D9" s="121" t="s">
        <v>22</v>
      </c>
      <c r="E9" s="130">
        <v>45292</v>
      </c>
      <c r="F9" s="117">
        <v>45323</v>
      </c>
      <c r="G9" s="107">
        <v>45352</v>
      </c>
      <c r="H9" s="130">
        <v>45383</v>
      </c>
      <c r="I9" s="161">
        <v>45413</v>
      </c>
      <c r="J9" s="174">
        <v>45444</v>
      </c>
      <c r="K9" s="195">
        <v>45474</v>
      </c>
      <c r="L9" s="195">
        <v>45505</v>
      </c>
      <c r="M9" s="195">
        <v>45536</v>
      </c>
      <c r="N9" s="67">
        <v>45566</v>
      </c>
      <c r="O9" s="67">
        <v>45597</v>
      </c>
      <c r="P9" s="67">
        <v>45627</v>
      </c>
    </row>
    <row r="10" spans="1:49" x14ac:dyDescent="0.35">
      <c r="B10" s="99"/>
      <c r="C10" s="271"/>
      <c r="D10" s="122" t="s">
        <v>23</v>
      </c>
      <c r="E10" s="131" t="s">
        <v>23</v>
      </c>
      <c r="F10" s="110" t="s">
        <v>23</v>
      </c>
      <c r="G10" s="153" t="s">
        <v>23</v>
      </c>
      <c r="I10" s="162"/>
      <c r="J10" s="175"/>
      <c r="K10" s="62"/>
      <c r="L10" s="62"/>
      <c r="M10" s="62"/>
    </row>
    <row r="11" spans="1:49" x14ac:dyDescent="0.35">
      <c r="B11" s="151" t="s">
        <v>24</v>
      </c>
      <c r="C11" s="86" t="s">
        <v>25</v>
      </c>
      <c r="D11" s="123">
        <v>7.575757575757576E-2</v>
      </c>
      <c r="E11" s="132">
        <v>7.575757575757576E-2</v>
      </c>
      <c r="F11" s="111">
        <v>7.575757575757576E-2</v>
      </c>
      <c r="G11" s="102">
        <v>7.575757575757576E-2</v>
      </c>
      <c r="H11" s="132">
        <v>7.575757575757576E-2</v>
      </c>
      <c r="I11" s="163">
        <v>7.575757575757576E-2</v>
      </c>
      <c r="J11" s="175" t="s">
        <v>26</v>
      </c>
      <c r="K11" s="62" t="s">
        <v>26</v>
      </c>
      <c r="L11" s="62" t="s">
        <v>26</v>
      </c>
      <c r="M11" s="62" t="s">
        <v>26</v>
      </c>
    </row>
    <row r="12" spans="1:49" x14ac:dyDescent="0.35">
      <c r="B12" s="151" t="s">
        <v>27</v>
      </c>
      <c r="C12" s="86" t="s">
        <v>28</v>
      </c>
      <c r="D12" s="124">
        <v>1.1299999999999999</v>
      </c>
      <c r="E12" s="133">
        <v>1.1299999999999999</v>
      </c>
      <c r="F12" s="112">
        <v>1.1299999999999999</v>
      </c>
      <c r="G12" s="103">
        <v>1.1299999999999999</v>
      </c>
      <c r="H12" s="159">
        <v>1.1299999999999999</v>
      </c>
      <c r="I12" s="164">
        <v>1.1299999999999999</v>
      </c>
      <c r="J12" s="199">
        <v>0</v>
      </c>
      <c r="K12" s="124">
        <v>0</v>
      </c>
      <c r="L12" s="124">
        <v>0</v>
      </c>
      <c r="M12" s="124">
        <v>0</v>
      </c>
    </row>
    <row r="13" spans="1:49" x14ac:dyDescent="0.35">
      <c r="B13" s="151" t="s">
        <v>29</v>
      </c>
      <c r="C13" s="194" t="s">
        <v>30</v>
      </c>
      <c r="D13" s="125">
        <v>0.2857142857142857</v>
      </c>
      <c r="E13" s="65">
        <v>0.2857142857142857</v>
      </c>
      <c r="F13" s="119">
        <v>0.36923076923076925</v>
      </c>
      <c r="G13" s="109">
        <v>0.36923076923076925</v>
      </c>
      <c r="H13" s="71">
        <f>2.4/6.5</f>
        <v>0.3692307692307692</v>
      </c>
      <c r="I13" s="165">
        <f>2.4/6.5</f>
        <v>0.3692307692307692</v>
      </c>
      <c r="J13" s="177">
        <f>2.4/6.5</f>
        <v>0.3692307692307692</v>
      </c>
      <c r="K13" s="196">
        <v>0.37</v>
      </c>
      <c r="L13" s="196">
        <v>0.37</v>
      </c>
      <c r="M13" s="196">
        <v>0.37</v>
      </c>
    </row>
    <row r="14" spans="1:49" x14ac:dyDescent="0.35">
      <c r="B14" s="151" t="s">
        <v>31</v>
      </c>
      <c r="C14" s="86" t="s">
        <v>32</v>
      </c>
      <c r="D14" s="126">
        <v>1.21</v>
      </c>
      <c r="E14" s="134">
        <f>10/6.6+0.15</f>
        <v>1.665151515151515</v>
      </c>
      <c r="F14" s="114">
        <f>10/6.6+0.15</f>
        <v>1.665151515151515</v>
      </c>
      <c r="G14" s="105">
        <f>10/6.6+0.15</f>
        <v>1.665151515151515</v>
      </c>
      <c r="H14" s="134">
        <f>10/6.6+0.15</f>
        <v>1.665151515151515</v>
      </c>
      <c r="I14" s="166">
        <f>10/6.6+0.15</f>
        <v>1.665151515151515</v>
      </c>
      <c r="J14" s="200">
        <f>10/6+0.15</f>
        <v>1.8166666666666667</v>
      </c>
      <c r="K14" s="126">
        <v>1.82</v>
      </c>
      <c r="L14" s="126">
        <v>1.82</v>
      </c>
      <c r="M14" s="126">
        <v>1.82</v>
      </c>
    </row>
    <row r="15" spans="1:49" x14ac:dyDescent="0.35">
      <c r="B15" s="151" t="s">
        <v>33</v>
      </c>
      <c r="C15" s="86" t="s">
        <v>34</v>
      </c>
      <c r="D15" s="126">
        <v>1.54</v>
      </c>
      <c r="E15" s="134">
        <v>1.54</v>
      </c>
      <c r="F15" s="114">
        <v>1.54</v>
      </c>
      <c r="G15" s="105">
        <v>1.54</v>
      </c>
      <c r="H15" s="134">
        <v>1.54</v>
      </c>
      <c r="I15" s="166">
        <v>1.54</v>
      </c>
      <c r="J15" s="200">
        <v>1.54</v>
      </c>
      <c r="K15" s="126">
        <f>10/6.5</f>
        <v>1.5384615384615385</v>
      </c>
      <c r="L15" s="126">
        <f>10/6.5</f>
        <v>1.5384615384615385</v>
      </c>
      <c r="M15" s="126">
        <f>10/6.5</f>
        <v>1.5384615384615385</v>
      </c>
    </row>
    <row r="16" spans="1:49" x14ac:dyDescent="0.35">
      <c r="B16" s="151" t="s">
        <v>35</v>
      </c>
      <c r="C16" s="86" t="s">
        <v>36</v>
      </c>
      <c r="D16" s="125">
        <v>0.36363636363636365</v>
      </c>
      <c r="E16" s="65">
        <v>0.36363636363636365</v>
      </c>
      <c r="F16" s="119">
        <v>0.36923076923076925</v>
      </c>
      <c r="G16" s="109">
        <v>0.36923076923076925</v>
      </c>
      <c r="H16" s="71">
        <v>0.36923076923076925</v>
      </c>
      <c r="I16" s="167">
        <f>2.4/6.5</f>
        <v>0.3692307692307692</v>
      </c>
      <c r="J16" s="181">
        <f>2.4/6.5</f>
        <v>0.3692307692307692</v>
      </c>
      <c r="K16" s="197">
        <v>0.37</v>
      </c>
      <c r="L16" s="197">
        <v>0.37</v>
      </c>
      <c r="M16" s="197">
        <v>0.37</v>
      </c>
    </row>
    <row r="17" spans="2:13" x14ac:dyDescent="0.35">
      <c r="B17" s="151" t="s">
        <v>37</v>
      </c>
      <c r="C17" s="86" t="s">
        <v>38</v>
      </c>
      <c r="D17" s="125">
        <v>0.4</v>
      </c>
      <c r="E17" s="65">
        <v>0.4</v>
      </c>
      <c r="F17" s="119">
        <v>0.37846153846153846</v>
      </c>
      <c r="G17" s="109">
        <v>0.36923076923076925</v>
      </c>
      <c r="H17" s="71">
        <v>0.4</v>
      </c>
      <c r="I17" s="165">
        <v>0.4</v>
      </c>
      <c r="J17" s="177">
        <v>0.4</v>
      </c>
      <c r="K17" s="196">
        <v>0.4</v>
      </c>
      <c r="L17" s="196">
        <v>0.4</v>
      </c>
      <c r="M17" s="196">
        <v>0.4</v>
      </c>
    </row>
    <row r="18" spans="2:13" x14ac:dyDescent="0.35">
      <c r="B18" s="151" t="s">
        <v>39</v>
      </c>
      <c r="C18" s="86" t="s">
        <v>40</v>
      </c>
      <c r="D18" s="123">
        <v>7.716049382716049E-2</v>
      </c>
      <c r="E18" s="132">
        <f>0.5/6.48</f>
        <v>7.716049382716049E-2</v>
      </c>
      <c r="F18" s="111">
        <f>0.5/6.48</f>
        <v>7.716049382716049E-2</v>
      </c>
      <c r="G18" s="102">
        <f>0.5/6.48</f>
        <v>7.716049382716049E-2</v>
      </c>
      <c r="H18" s="132">
        <f>0.5/6.48</f>
        <v>7.716049382716049E-2</v>
      </c>
      <c r="I18" s="166">
        <f>10/6.6+0.15</f>
        <v>1.665151515151515</v>
      </c>
      <c r="J18" s="200">
        <f>10/6.6+0.15</f>
        <v>1.665151515151515</v>
      </c>
      <c r="K18" s="126">
        <v>1.67</v>
      </c>
      <c r="L18" s="126">
        <v>1.67</v>
      </c>
      <c r="M18" s="126">
        <v>1.67</v>
      </c>
    </row>
    <row r="19" spans="2:13" x14ac:dyDescent="0.35">
      <c r="B19" s="151" t="s">
        <v>41</v>
      </c>
      <c r="C19" s="86" t="s">
        <v>42</v>
      </c>
      <c r="D19" s="125">
        <v>0.1929012345679012</v>
      </c>
      <c r="E19" s="65">
        <v>0.1929012345679012</v>
      </c>
      <c r="F19" s="119">
        <v>0.1929012345679012</v>
      </c>
      <c r="G19" s="109">
        <v>0.1929012345679012</v>
      </c>
      <c r="H19" s="71">
        <f>1.25/6.5</f>
        <v>0.19230769230769232</v>
      </c>
      <c r="I19" s="165">
        <f>1.25/6.5</f>
        <v>0.19230769230769232</v>
      </c>
      <c r="J19" s="177">
        <f>1.25/6.5</f>
        <v>0.19230769230769232</v>
      </c>
      <c r="K19" s="198" t="s">
        <v>43</v>
      </c>
      <c r="L19" s="198" t="s">
        <v>43</v>
      </c>
      <c r="M19" s="198" t="s">
        <v>43</v>
      </c>
    </row>
    <row r="20" spans="2:13" x14ac:dyDescent="0.35">
      <c r="B20" s="151" t="s">
        <v>44</v>
      </c>
      <c r="C20" s="87" t="s">
        <v>45</v>
      </c>
      <c r="D20" s="126">
        <v>1.5432098765432096</v>
      </c>
      <c r="E20" s="135" t="s">
        <v>46</v>
      </c>
      <c r="F20" s="118" t="s">
        <v>46</v>
      </c>
      <c r="G20" s="108" t="s">
        <v>46</v>
      </c>
      <c r="H20" s="135" t="s">
        <v>46</v>
      </c>
      <c r="I20" s="168" t="s">
        <v>47</v>
      </c>
      <c r="J20" s="201" t="s">
        <v>47</v>
      </c>
      <c r="K20" s="198" t="s">
        <v>43</v>
      </c>
      <c r="L20" s="198" t="s">
        <v>43</v>
      </c>
      <c r="M20" s="198" t="s">
        <v>43</v>
      </c>
    </row>
    <row r="21" spans="2:13" x14ac:dyDescent="0.35">
      <c r="B21" s="151" t="s">
        <v>48</v>
      </c>
      <c r="C21" s="86" t="s">
        <v>103</v>
      </c>
      <c r="D21" s="125">
        <v>0.18181818181818182</v>
      </c>
      <c r="E21" s="65">
        <v>0.18181818181818182</v>
      </c>
      <c r="F21" s="119">
        <v>0.31550480769230771</v>
      </c>
      <c r="G21" s="120">
        <v>0.34555288461538458</v>
      </c>
      <c r="H21" s="160">
        <v>0.34555288461538458</v>
      </c>
      <c r="I21" s="167">
        <f>((0.035*60)+0.99)/6.5</f>
        <v>0.47538461538461535</v>
      </c>
      <c r="J21" s="181">
        <f>((0.035*60)+0.99)/6.5</f>
        <v>0.47538461538461535</v>
      </c>
      <c r="K21" s="197">
        <v>0.48</v>
      </c>
      <c r="L21" s="197">
        <v>0.48</v>
      </c>
      <c r="M21" s="197">
        <v>0.48</v>
      </c>
    </row>
    <row r="22" spans="2:13" x14ac:dyDescent="0.35">
      <c r="B22" s="151" t="s">
        <v>50</v>
      </c>
      <c r="C22" s="86" t="s">
        <v>51</v>
      </c>
      <c r="D22" s="125">
        <v>0.37037037037037035</v>
      </c>
      <c r="E22" s="65">
        <v>0.37037037037037035</v>
      </c>
      <c r="F22" s="119">
        <v>0.36923076923076925</v>
      </c>
      <c r="G22" s="109">
        <v>0.36923076923076925</v>
      </c>
      <c r="H22" s="71">
        <v>0.36923076923076925</v>
      </c>
      <c r="I22" s="165">
        <v>0.36923076923076925</v>
      </c>
      <c r="J22" s="177">
        <v>0.36923076923076925</v>
      </c>
      <c r="K22" s="196">
        <v>0.37</v>
      </c>
      <c r="L22" s="196">
        <v>0.37</v>
      </c>
      <c r="M22" s="196">
        <v>0.37</v>
      </c>
    </row>
    <row r="23" spans="2:13" x14ac:dyDescent="0.35">
      <c r="B23" s="151" t="s">
        <v>52</v>
      </c>
      <c r="C23" s="86" t="s">
        <v>53</v>
      </c>
      <c r="D23" s="125">
        <v>0.15432098765432098</v>
      </c>
      <c r="E23" s="65">
        <v>0.15432098765432098</v>
      </c>
      <c r="F23" s="119">
        <v>0.15384615384615383</v>
      </c>
      <c r="G23" s="109">
        <v>0.15384615384615383</v>
      </c>
      <c r="H23" s="71">
        <v>0.15384615384615383</v>
      </c>
      <c r="I23" s="167">
        <f>1/6.6</f>
        <v>0.15151515151515152</v>
      </c>
      <c r="J23" s="181">
        <f>1/6.6</f>
        <v>0.15151515151515152</v>
      </c>
      <c r="K23" s="197">
        <v>0.15</v>
      </c>
      <c r="L23" s="197">
        <v>0.15</v>
      </c>
      <c r="M23" s="197">
        <v>0.15</v>
      </c>
    </row>
    <row r="24" spans="2:13" x14ac:dyDescent="0.35">
      <c r="B24" s="151" t="s">
        <v>54</v>
      </c>
      <c r="C24" s="88" t="s">
        <v>55</v>
      </c>
      <c r="D24" s="191" t="s">
        <v>56</v>
      </c>
      <c r="E24" s="27">
        <v>0.36363636363636365</v>
      </c>
      <c r="F24" s="119">
        <v>0.36363636363636365</v>
      </c>
      <c r="G24" s="109">
        <v>0.36363636363636365</v>
      </c>
      <c r="H24" s="71">
        <f>2.4/6.5</f>
        <v>0.3692307692307692</v>
      </c>
      <c r="I24" s="165">
        <f>2.4/6.5</f>
        <v>0.3692307692307692</v>
      </c>
      <c r="J24" s="177">
        <f>2.4/6.5</f>
        <v>0.3692307692307692</v>
      </c>
      <c r="K24" s="196">
        <v>0.37</v>
      </c>
      <c r="L24" s="196">
        <v>0.37</v>
      </c>
      <c r="M24" s="196">
        <v>0.37</v>
      </c>
    </row>
    <row r="25" spans="2:13" x14ac:dyDescent="0.35">
      <c r="B25" s="151" t="s">
        <v>57</v>
      </c>
      <c r="C25" s="86" t="s">
        <v>58</v>
      </c>
      <c r="D25" s="191" t="s">
        <v>56</v>
      </c>
      <c r="E25" s="27">
        <v>0.24</v>
      </c>
      <c r="F25" s="119">
        <v>0.24</v>
      </c>
      <c r="G25" s="109">
        <v>0.24</v>
      </c>
      <c r="H25" s="71">
        <v>0.24</v>
      </c>
      <c r="I25" s="165">
        <v>0.24</v>
      </c>
      <c r="J25" s="177">
        <v>0.24</v>
      </c>
      <c r="K25" s="196">
        <v>0.24</v>
      </c>
      <c r="L25" s="196">
        <v>0.24</v>
      </c>
      <c r="M25" s="196">
        <v>0.24</v>
      </c>
    </row>
    <row r="26" spans="2:13" x14ac:dyDescent="0.35">
      <c r="B26" s="151" t="s">
        <v>59</v>
      </c>
      <c r="C26" s="86" t="s">
        <v>60</v>
      </c>
      <c r="D26" s="191" t="s">
        <v>56</v>
      </c>
      <c r="E26" s="27">
        <v>0.2</v>
      </c>
      <c r="F26" s="119">
        <v>0.2</v>
      </c>
      <c r="G26" s="109">
        <v>0.2</v>
      </c>
      <c r="H26" s="71">
        <v>0.2</v>
      </c>
      <c r="I26" s="165">
        <v>0.2</v>
      </c>
      <c r="J26" s="177">
        <v>0.2</v>
      </c>
      <c r="K26" s="196">
        <v>0.2</v>
      </c>
      <c r="L26" s="196">
        <v>0.2</v>
      </c>
      <c r="M26" s="196">
        <v>0.2</v>
      </c>
    </row>
    <row r="27" spans="2:13" x14ac:dyDescent="0.35">
      <c r="B27" s="151" t="s">
        <v>61</v>
      </c>
      <c r="C27" s="86" t="s">
        <v>62</v>
      </c>
      <c r="D27" s="191" t="s">
        <v>56</v>
      </c>
      <c r="E27" s="27">
        <v>0.3</v>
      </c>
      <c r="F27" s="119">
        <v>0.3</v>
      </c>
      <c r="G27" s="109">
        <v>0.3</v>
      </c>
      <c r="H27" s="71">
        <v>0.3</v>
      </c>
      <c r="I27" s="165">
        <v>0.3</v>
      </c>
      <c r="J27" s="177">
        <v>0.3</v>
      </c>
      <c r="K27" s="196">
        <v>0.3</v>
      </c>
      <c r="L27" s="196">
        <v>0.3</v>
      </c>
      <c r="M27" s="196">
        <v>0.3</v>
      </c>
    </row>
    <row r="28" spans="2:13" x14ac:dyDescent="0.35">
      <c r="B28" s="151" t="s">
        <v>63</v>
      </c>
      <c r="C28" s="86" t="s">
        <v>64</v>
      </c>
      <c r="D28" s="191" t="s">
        <v>56</v>
      </c>
      <c r="E28" s="27">
        <v>0.2106060606060606</v>
      </c>
      <c r="F28" s="119">
        <v>0.2106060606060606</v>
      </c>
      <c r="G28" s="109">
        <v>0.2106060606060606</v>
      </c>
      <c r="H28" s="71">
        <v>0.2106060606060606</v>
      </c>
      <c r="I28" s="165">
        <v>0.2106060606060606</v>
      </c>
      <c r="J28" s="177">
        <v>0.2106060606060606</v>
      </c>
      <c r="K28" s="196">
        <v>0.21</v>
      </c>
      <c r="L28" s="196">
        <v>0.21</v>
      </c>
      <c r="M28" s="196">
        <v>0.21</v>
      </c>
    </row>
    <row r="29" spans="2:13" x14ac:dyDescent="0.35">
      <c r="B29" s="151" t="s">
        <v>65</v>
      </c>
      <c r="C29" s="86" t="s">
        <v>66</v>
      </c>
      <c r="D29" s="191" t="s">
        <v>56</v>
      </c>
      <c r="E29" s="27">
        <v>0.34699999999999998</v>
      </c>
      <c r="F29" s="119">
        <v>0.34699999999999998</v>
      </c>
      <c r="G29" s="109">
        <v>0.37846153846153846</v>
      </c>
      <c r="H29" s="71">
        <v>0.32</v>
      </c>
      <c r="I29" s="165">
        <v>0.32</v>
      </c>
      <c r="J29" s="177">
        <v>0.32</v>
      </c>
      <c r="K29" s="196">
        <v>0.32</v>
      </c>
      <c r="L29" s="196">
        <v>0.32</v>
      </c>
      <c r="M29" s="196">
        <v>0.32</v>
      </c>
    </row>
    <row r="30" spans="2:13" x14ac:dyDescent="0.35">
      <c r="B30" s="151" t="s">
        <v>67</v>
      </c>
      <c r="C30" s="86" t="s">
        <v>68</v>
      </c>
      <c r="D30" s="191" t="s">
        <v>69</v>
      </c>
      <c r="E30" s="148"/>
      <c r="F30" s="148"/>
      <c r="G30" s="148"/>
      <c r="H30" s="71">
        <v>0.3</v>
      </c>
      <c r="I30" s="165">
        <v>0.3</v>
      </c>
      <c r="J30" s="177">
        <v>0.3</v>
      </c>
      <c r="K30" s="196">
        <v>0.3</v>
      </c>
      <c r="L30" s="196">
        <v>0.3</v>
      </c>
      <c r="M30" s="196">
        <v>0.3</v>
      </c>
    </row>
    <row r="31" spans="2:13" x14ac:dyDescent="0.35">
      <c r="B31" s="151" t="s">
        <v>70</v>
      </c>
      <c r="C31" s="86" t="s">
        <v>71</v>
      </c>
      <c r="D31" s="191" t="s">
        <v>69</v>
      </c>
      <c r="E31" s="148"/>
      <c r="F31" s="148"/>
      <c r="G31" s="148"/>
      <c r="H31" s="71">
        <v>0.14000000000000001</v>
      </c>
      <c r="I31" s="165">
        <v>0.14000000000000001</v>
      </c>
      <c r="J31" s="177">
        <v>0.14000000000000001</v>
      </c>
      <c r="K31" s="196">
        <v>0.14000000000000001</v>
      </c>
      <c r="L31" s="196">
        <v>0.14000000000000001</v>
      </c>
      <c r="M31" s="196">
        <v>0.14000000000000001</v>
      </c>
    </row>
    <row r="32" spans="2:13" x14ac:dyDescent="0.35">
      <c r="B32" s="151" t="s">
        <v>72</v>
      </c>
      <c r="C32" s="86" t="s">
        <v>73</v>
      </c>
      <c r="D32" s="191" t="s">
        <v>69</v>
      </c>
      <c r="E32" s="148"/>
      <c r="F32" s="148"/>
      <c r="G32" s="148"/>
      <c r="H32" s="71">
        <f t="shared" ref="H32:M32" si="0">2.46/6.5</f>
        <v>0.37846153846153846</v>
      </c>
      <c r="I32" s="165">
        <f t="shared" si="0"/>
        <v>0.37846153846153846</v>
      </c>
      <c r="J32" s="177">
        <f t="shared" si="0"/>
        <v>0.37846153846153846</v>
      </c>
      <c r="K32" s="196">
        <f t="shared" si="0"/>
        <v>0.37846153846153846</v>
      </c>
      <c r="L32" s="196">
        <f t="shared" si="0"/>
        <v>0.37846153846153846</v>
      </c>
      <c r="M32" s="196">
        <f t="shared" si="0"/>
        <v>0.37846153846153846</v>
      </c>
    </row>
    <row r="33" spans="1:13" x14ac:dyDescent="0.35">
      <c r="B33" s="151" t="s">
        <v>74</v>
      </c>
      <c r="C33" s="193" t="s">
        <v>75</v>
      </c>
      <c r="D33" s="191" t="s">
        <v>69</v>
      </c>
      <c r="E33" s="148"/>
      <c r="F33" s="148"/>
      <c r="G33" s="148"/>
      <c r="H33" s="71">
        <v>0.16</v>
      </c>
      <c r="I33" s="165">
        <v>0.16</v>
      </c>
      <c r="J33" s="177">
        <v>0.16</v>
      </c>
      <c r="K33" s="196">
        <f t="shared" ref="K33:L33" si="1">0.16+2.5/6.6</f>
        <v>0.53878787878787882</v>
      </c>
      <c r="L33" s="196">
        <f t="shared" si="1"/>
        <v>0.53878787878787882</v>
      </c>
      <c r="M33" s="196">
        <f>0.16+2.5/6.6</f>
        <v>0.53878787878787882</v>
      </c>
    </row>
    <row r="34" spans="1:13" x14ac:dyDescent="0.35">
      <c r="B34" s="151" t="s">
        <v>76</v>
      </c>
      <c r="C34" s="86" t="s">
        <v>77</v>
      </c>
      <c r="D34" s="191" t="s">
        <v>69</v>
      </c>
      <c r="E34" s="148"/>
      <c r="F34" s="148"/>
      <c r="G34" s="148"/>
      <c r="H34" s="71">
        <f t="shared" ref="H34:M34" si="2">2.46/6.5</f>
        <v>0.37846153846153846</v>
      </c>
      <c r="I34" s="165">
        <f t="shared" si="2"/>
        <v>0.37846153846153846</v>
      </c>
      <c r="J34" s="177">
        <f t="shared" si="2"/>
        <v>0.37846153846153846</v>
      </c>
      <c r="K34" s="196">
        <f t="shared" si="2"/>
        <v>0.37846153846153846</v>
      </c>
      <c r="L34" s="196">
        <f t="shared" si="2"/>
        <v>0.37846153846153846</v>
      </c>
      <c r="M34" s="196">
        <f t="shared" si="2"/>
        <v>0.37846153846153846</v>
      </c>
    </row>
    <row r="35" spans="1:13" x14ac:dyDescent="0.35">
      <c r="B35" s="151" t="s">
        <v>78</v>
      </c>
      <c r="C35" s="86" t="s">
        <v>79</v>
      </c>
      <c r="D35" s="191" t="s">
        <v>80</v>
      </c>
      <c r="E35" s="148"/>
      <c r="F35" s="148"/>
      <c r="G35" s="148"/>
      <c r="H35" s="71"/>
      <c r="I35" s="165"/>
      <c r="J35" s="177"/>
      <c r="K35" s="196">
        <v>0.2</v>
      </c>
      <c r="L35" s="196">
        <v>0.2</v>
      </c>
      <c r="M35" s="196">
        <v>0.2</v>
      </c>
    </row>
    <row r="36" spans="1:13" x14ac:dyDescent="0.35">
      <c r="B36" s="151" t="s">
        <v>81</v>
      </c>
      <c r="C36" s="86" t="s">
        <v>82</v>
      </c>
      <c r="D36" s="191" t="s">
        <v>80</v>
      </c>
      <c r="E36" s="148"/>
      <c r="F36" s="148"/>
      <c r="G36" s="148"/>
      <c r="H36" s="71"/>
      <c r="I36" s="165"/>
      <c r="J36" s="177"/>
      <c r="K36" s="196">
        <v>0.28000000000000003</v>
      </c>
      <c r="L36" s="196">
        <v>0.28000000000000003</v>
      </c>
      <c r="M36" s="196">
        <v>0.28000000000000003</v>
      </c>
    </row>
    <row r="37" spans="1:13" x14ac:dyDescent="0.35">
      <c r="B37" s="151" t="s">
        <v>83</v>
      </c>
      <c r="C37" s="86" t="s">
        <v>84</v>
      </c>
      <c r="D37" s="191" t="s">
        <v>80</v>
      </c>
      <c r="E37" s="148"/>
      <c r="F37" s="148"/>
      <c r="G37" s="148"/>
      <c r="I37" s="162"/>
      <c r="J37" s="175"/>
      <c r="K37" s="202">
        <v>0.19</v>
      </c>
      <c r="L37" s="202">
        <v>0.19</v>
      </c>
      <c r="M37" s="202">
        <v>0.19</v>
      </c>
    </row>
    <row r="38" spans="1:13" x14ac:dyDescent="0.35">
      <c r="B38" s="151" t="s">
        <v>85</v>
      </c>
      <c r="C38" s="86" t="s">
        <v>86</v>
      </c>
      <c r="D38" s="191" t="s">
        <v>80</v>
      </c>
      <c r="E38" s="148"/>
      <c r="F38" s="148"/>
      <c r="G38" s="148"/>
      <c r="I38" s="162"/>
      <c r="J38" s="175"/>
      <c r="K38" s="202">
        <v>0.24</v>
      </c>
      <c r="L38" s="202">
        <v>0.25</v>
      </c>
      <c r="M38" s="202">
        <v>0.25</v>
      </c>
    </row>
    <row r="39" spans="1:13" x14ac:dyDescent="0.35">
      <c r="B39" s="100"/>
      <c r="C39" s="101"/>
      <c r="D39" s="127"/>
      <c r="E39" s="149"/>
      <c r="F39" s="148"/>
      <c r="G39" s="148"/>
      <c r="I39" s="162"/>
      <c r="J39" s="175"/>
      <c r="K39" s="62"/>
      <c r="L39" s="62"/>
      <c r="M39" s="62"/>
    </row>
    <row r="40" spans="1:13" x14ac:dyDescent="0.35">
      <c r="A40" s="83" t="s">
        <v>87</v>
      </c>
      <c r="B40" s="63" t="s">
        <v>88</v>
      </c>
      <c r="C40" s="63"/>
      <c r="D40" s="128">
        <f>AVERAGE(D22,D23,D21,D19,D17,D16,D13)</f>
        <v>0.27839448910877479</v>
      </c>
      <c r="E40" s="82">
        <f>AVERAGE(E22,E23,E21,E19,E17,E16,E13,E24:E29)</f>
        <v>0.27769260369260362</v>
      </c>
      <c r="F40" s="116">
        <f>AVERAGE(F22,F23,F21,F19,F17,F16,F13,F24:F29)</f>
        <v>0.29304988203866411</v>
      </c>
      <c r="G40" s="106">
        <f>AVERAGE(G22,G23,G21,G19,G17,G16,G13,G24:G29)</f>
        <v>0.29707133174280609</v>
      </c>
      <c r="H40" s="82">
        <f t="shared" ref="H40:M40" si="3">AVERAGE(H22,H23,H21,H19,H17,H16,H13,H24:H38)</f>
        <v>0.28867549695674688</v>
      </c>
      <c r="I40" s="169">
        <f t="shared" si="3"/>
        <v>0.2957588707588707</v>
      </c>
      <c r="J40" s="182">
        <f t="shared" si="3"/>
        <v>0.2957588707588707</v>
      </c>
      <c r="K40" s="128">
        <f t="shared" si="3"/>
        <v>0.30598623598623603</v>
      </c>
      <c r="L40" s="128">
        <f t="shared" si="3"/>
        <v>0.3064624264624265</v>
      </c>
      <c r="M40" s="128">
        <f t="shared" si="3"/>
        <v>0.3064624264624265</v>
      </c>
    </row>
    <row r="41" spans="1:13" x14ac:dyDescent="0.35">
      <c r="A41" s="83" t="s">
        <v>89</v>
      </c>
      <c r="B41" s="204" t="s">
        <v>129</v>
      </c>
      <c r="C41" s="204"/>
      <c r="D41" s="129" t="s">
        <v>130</v>
      </c>
      <c r="E41" s="132"/>
      <c r="F41" s="111"/>
      <c r="G41" s="102"/>
      <c r="H41" s="65"/>
      <c r="I41" s="170"/>
      <c r="J41" s="183"/>
      <c r="K41" s="125"/>
      <c r="L41" s="125"/>
      <c r="M41" s="125"/>
    </row>
    <row r="42" spans="1:13" x14ac:dyDescent="0.35">
      <c r="A42" s="83" t="s">
        <v>91</v>
      </c>
      <c r="B42" t="s">
        <v>94</v>
      </c>
      <c r="D42" s="125">
        <f>D40*0.014</f>
        <v>3.8975228475228471E-3</v>
      </c>
      <c r="E42" s="65">
        <f t="shared" ref="E42:G42" si="4">E40*0.014</f>
        <v>3.887696451696451E-3</v>
      </c>
      <c r="F42" s="113">
        <f t="shared" si="4"/>
        <v>4.1026983485412975E-3</v>
      </c>
      <c r="G42" s="104">
        <f t="shared" si="4"/>
        <v>4.1589986443992854E-3</v>
      </c>
      <c r="H42" s="65">
        <f t="shared" ref="H42:I42" si="5">H40*0.014</f>
        <v>4.0414569573944568E-3</v>
      </c>
      <c r="I42" s="170">
        <f t="shared" si="5"/>
        <v>4.1406241906241899E-3</v>
      </c>
      <c r="J42" s="183">
        <f t="shared" ref="J42:K42" si="6">J40*0.014</f>
        <v>4.1406241906241899E-3</v>
      </c>
      <c r="K42" s="125">
        <f t="shared" si="6"/>
        <v>4.2838073038073046E-3</v>
      </c>
      <c r="L42" s="125">
        <f t="shared" ref="L42:M42" si="7">L40*0.014</f>
        <v>4.2904739704739707E-3</v>
      </c>
      <c r="M42" s="125">
        <f t="shared" si="7"/>
        <v>4.2904739704739707E-3</v>
      </c>
    </row>
    <row r="43" spans="1:13" x14ac:dyDescent="0.35">
      <c r="A43" s="83" t="s">
        <v>93</v>
      </c>
      <c r="B43" t="s">
        <v>131</v>
      </c>
      <c r="D43" s="125">
        <f>D42+D40</f>
        <v>0.28229201195629766</v>
      </c>
      <c r="E43" s="65">
        <f t="shared" ref="E43:G43" si="8">E42+E40</f>
        <v>0.28158030014430008</v>
      </c>
      <c r="F43" s="113">
        <f t="shared" si="8"/>
        <v>0.29715258038720543</v>
      </c>
      <c r="G43" s="104">
        <f t="shared" si="8"/>
        <v>0.30123033038720537</v>
      </c>
      <c r="H43" s="65">
        <f t="shared" ref="H43:I43" si="9">H42+H40</f>
        <v>0.29271695391414132</v>
      </c>
      <c r="I43" s="170">
        <f t="shared" si="9"/>
        <v>0.29989949494949486</v>
      </c>
      <c r="J43" s="183">
        <f t="shared" ref="J43:K43" si="10">J42+J40</f>
        <v>0.29989949494949486</v>
      </c>
      <c r="K43" s="125">
        <f t="shared" si="10"/>
        <v>0.31027004329004332</v>
      </c>
      <c r="L43" s="125">
        <f t="shared" ref="L43:M43" si="11">L42+L40</f>
        <v>0.31075290043290049</v>
      </c>
      <c r="M43" s="125">
        <f t="shared" si="11"/>
        <v>0.31075290043290049</v>
      </c>
    </row>
    <row r="44" spans="1:13" x14ac:dyDescent="0.35">
      <c r="A44" s="83" t="s">
        <v>95</v>
      </c>
      <c r="B44" t="s">
        <v>98</v>
      </c>
      <c r="D44" s="125">
        <f>D43*0.07</f>
        <v>1.9760440836940837E-2</v>
      </c>
      <c r="E44" s="65">
        <f t="shared" ref="E44:G44" si="12">E43*0.07</f>
        <v>1.9710621010101008E-2</v>
      </c>
      <c r="F44" s="113">
        <f t="shared" si="12"/>
        <v>2.0800680627104381E-2</v>
      </c>
      <c r="G44" s="104">
        <f t="shared" si="12"/>
        <v>2.1086123127104377E-2</v>
      </c>
      <c r="H44" s="65">
        <f t="shared" ref="H44:I44" si="13">H43*0.07</f>
        <v>2.0490186773989894E-2</v>
      </c>
      <c r="I44" s="170">
        <f t="shared" si="13"/>
        <v>2.0992964646464642E-2</v>
      </c>
      <c r="J44" s="183">
        <f t="shared" ref="J44:K44" si="14">J43*0.07</f>
        <v>2.0992964646464642E-2</v>
      </c>
      <c r="K44" s="125">
        <f t="shared" si="14"/>
        <v>2.1718903030303036E-2</v>
      </c>
      <c r="L44" s="125">
        <f t="shared" ref="L44:M44" si="15">L43*0.07</f>
        <v>2.1752703030303036E-2</v>
      </c>
      <c r="M44" s="125">
        <f t="shared" si="15"/>
        <v>2.1752703030303036E-2</v>
      </c>
    </row>
    <row r="45" spans="1:13" x14ac:dyDescent="0.35">
      <c r="A45" s="83" t="s">
        <v>97</v>
      </c>
      <c r="B45" s="94" t="s">
        <v>132</v>
      </c>
      <c r="C45" s="95"/>
      <c r="D45" s="145">
        <f>D43+D44</f>
        <v>0.3020524527932385</v>
      </c>
      <c r="E45" s="146">
        <f t="shared" ref="E45:G45" si="16">E43+E44</f>
        <v>0.30129092115440109</v>
      </c>
      <c r="F45" s="147">
        <f t="shared" si="16"/>
        <v>0.31795326101430982</v>
      </c>
      <c r="G45" s="155">
        <f t="shared" si="16"/>
        <v>0.32231645351430976</v>
      </c>
      <c r="H45" s="146">
        <f t="shared" ref="H45:I45" si="17">H43+H44</f>
        <v>0.31320714068813121</v>
      </c>
      <c r="I45" s="171">
        <f t="shared" si="17"/>
        <v>0.32089245959595952</v>
      </c>
      <c r="J45" s="184">
        <f t="shared" ref="J45:K45" si="18">J43+J44</f>
        <v>0.32089245959595952</v>
      </c>
      <c r="K45" s="145">
        <f t="shared" si="18"/>
        <v>0.33198894632034637</v>
      </c>
      <c r="L45" s="145">
        <f t="shared" ref="L45:M45" si="19">L43+L44</f>
        <v>0.33250560346320351</v>
      </c>
      <c r="M45" s="145">
        <f t="shared" si="19"/>
        <v>0.33250560346320351</v>
      </c>
    </row>
    <row r="46" spans="1:13" x14ac:dyDescent="0.35">
      <c r="A46" s="83"/>
      <c r="D46" s="65"/>
      <c r="E46" s="65"/>
      <c r="F46" s="65"/>
      <c r="G46" s="65"/>
      <c r="H46" s="65"/>
      <c r="I46" s="65"/>
      <c r="J46" s="65"/>
    </row>
    <row r="47" spans="1:13" x14ac:dyDescent="0.35">
      <c r="B47" s="63"/>
      <c r="C47" s="63"/>
      <c r="D47" s="63"/>
      <c r="E47" s="63"/>
    </row>
    <row r="48" spans="1:13" x14ac:dyDescent="0.35">
      <c r="B48" s="271"/>
      <c r="C48" s="271"/>
      <c r="D48" s="271"/>
      <c r="E48" s="63"/>
    </row>
    <row r="49" spans="1:51" x14ac:dyDescent="0.35">
      <c r="B49" s="63"/>
      <c r="C49" s="63"/>
      <c r="D49" s="63"/>
      <c r="E49" s="63"/>
    </row>
    <row r="50" spans="1:51" x14ac:dyDescent="0.35">
      <c r="B50" s="271"/>
      <c r="C50" s="271"/>
    </row>
    <row r="51" spans="1:51" x14ac:dyDescent="0.35">
      <c r="A51" s="90"/>
      <c r="B51" s="274" t="s">
        <v>101</v>
      </c>
      <c r="C51" s="274"/>
      <c r="D51" s="274"/>
      <c r="E51" s="274"/>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row>
    <row r="52" spans="1:51" x14ac:dyDescent="0.35">
      <c r="B52" s="273" t="s">
        <v>19</v>
      </c>
      <c r="C52" s="273"/>
      <c r="D52" s="273"/>
      <c r="E52" s="273"/>
    </row>
    <row r="53" spans="1:51" x14ac:dyDescent="0.35">
      <c r="B53" s="271"/>
      <c r="C53" s="271"/>
      <c r="D53" s="271"/>
      <c r="E53" s="271"/>
    </row>
    <row r="54" spans="1:51" x14ac:dyDescent="0.35">
      <c r="B54" s="97" t="s">
        <v>20</v>
      </c>
      <c r="C54" s="98"/>
      <c r="D54" s="185" t="s">
        <v>102</v>
      </c>
      <c r="E54" s="130">
        <v>45292</v>
      </c>
      <c r="F54" s="117">
        <v>45323</v>
      </c>
      <c r="G54" s="107">
        <v>45352</v>
      </c>
      <c r="H54" s="130">
        <v>45383</v>
      </c>
      <c r="I54" s="174">
        <v>45413</v>
      </c>
      <c r="J54" s="174">
        <v>45444</v>
      </c>
      <c r="K54" s="195">
        <v>45474</v>
      </c>
      <c r="L54" s="195">
        <v>45505</v>
      </c>
      <c r="M54" s="195">
        <v>45536</v>
      </c>
      <c r="N54" s="67">
        <v>45566</v>
      </c>
      <c r="O54" s="67">
        <v>45597</v>
      </c>
      <c r="P54" s="67">
        <v>45627</v>
      </c>
    </row>
    <row r="55" spans="1:51" x14ac:dyDescent="0.35">
      <c r="B55" s="99"/>
      <c r="C55" s="271"/>
      <c r="D55" s="186" t="s">
        <v>23</v>
      </c>
      <c r="E55" s="143" t="s">
        <v>23</v>
      </c>
      <c r="F55" s="144" t="s">
        <v>23</v>
      </c>
      <c r="G55" s="156" t="s">
        <v>23</v>
      </c>
      <c r="I55" s="175"/>
      <c r="J55" s="175"/>
      <c r="K55" s="62"/>
      <c r="L55" s="62"/>
      <c r="M55" s="62"/>
    </row>
    <row r="56" spans="1:51" x14ac:dyDescent="0.35">
      <c r="B56" s="151" t="s">
        <v>48</v>
      </c>
      <c r="C56" s="86" t="s">
        <v>103</v>
      </c>
      <c r="D56" s="187">
        <v>0.36</v>
      </c>
      <c r="E56" s="1">
        <v>0.36</v>
      </c>
      <c r="F56" s="136">
        <v>0.36</v>
      </c>
      <c r="G56" s="138">
        <v>0.52</v>
      </c>
      <c r="H56" s="160">
        <v>0.52</v>
      </c>
      <c r="I56" s="176">
        <v>0.53</v>
      </c>
      <c r="J56" s="176">
        <v>0.56000000000000005</v>
      </c>
      <c r="K56" s="206">
        <v>0.56000000000000005</v>
      </c>
      <c r="L56" s="206">
        <v>0.56000000000000005</v>
      </c>
      <c r="M56" s="206">
        <v>0.56000000000000005</v>
      </c>
    </row>
    <row r="57" spans="1:51" x14ac:dyDescent="0.35">
      <c r="B57" s="151" t="s">
        <v>104</v>
      </c>
      <c r="C57" s="86" t="s">
        <v>105</v>
      </c>
      <c r="D57" s="187">
        <v>0.43</v>
      </c>
      <c r="E57" s="1">
        <v>0.43</v>
      </c>
      <c r="F57" s="136">
        <v>0.43</v>
      </c>
      <c r="G57" s="139">
        <v>0.56000000000000005</v>
      </c>
      <c r="H57" s="71">
        <v>0.56000000000000005</v>
      </c>
      <c r="I57" s="177">
        <v>0.56000000000000005</v>
      </c>
      <c r="J57" s="177">
        <f>0.56</f>
        <v>0.56000000000000005</v>
      </c>
      <c r="K57" s="196">
        <f>0.56</f>
        <v>0.56000000000000005</v>
      </c>
      <c r="L57" s="196">
        <f>0.56</f>
        <v>0.56000000000000005</v>
      </c>
      <c r="M57" s="196">
        <f>0.56+(0.4/60)</f>
        <v>0.56666666666666676</v>
      </c>
    </row>
    <row r="58" spans="1:51" x14ac:dyDescent="0.35">
      <c r="B58" s="151" t="s">
        <v>106</v>
      </c>
      <c r="C58" s="86" t="s">
        <v>107</v>
      </c>
      <c r="D58" s="187">
        <v>0.43</v>
      </c>
      <c r="E58" s="1">
        <v>0.43</v>
      </c>
      <c r="F58" s="136">
        <v>0.43</v>
      </c>
      <c r="G58" s="140">
        <v>0.56000000000000005</v>
      </c>
      <c r="H58" s="172">
        <v>0.56000000000000005</v>
      </c>
      <c r="I58" s="178">
        <v>0.56000000000000005</v>
      </c>
      <c r="J58" s="178">
        <v>0.56000000000000005</v>
      </c>
      <c r="K58" s="207">
        <v>0.56000000000000005</v>
      </c>
      <c r="L58" s="207">
        <v>0.56000000000000005</v>
      </c>
      <c r="M58" s="196">
        <f>0.56+(0.4/60)</f>
        <v>0.56666666666666676</v>
      </c>
    </row>
    <row r="59" spans="1:51" x14ac:dyDescent="0.35">
      <c r="B59" s="151" t="s">
        <v>108</v>
      </c>
      <c r="C59" s="86" t="s">
        <v>109</v>
      </c>
      <c r="D59" s="187">
        <v>0.36</v>
      </c>
      <c r="E59" s="1">
        <v>0.36</v>
      </c>
      <c r="F59" s="136">
        <v>0.36</v>
      </c>
      <c r="G59" s="138">
        <v>0.52</v>
      </c>
      <c r="H59" s="160">
        <v>0.52</v>
      </c>
      <c r="I59" s="176">
        <v>0.53</v>
      </c>
      <c r="J59" s="176">
        <v>0.56000000000000005</v>
      </c>
      <c r="K59" s="206">
        <v>0.56000000000000005</v>
      </c>
      <c r="L59" s="206">
        <v>0.56000000000000005</v>
      </c>
      <c r="M59" s="206">
        <v>0.56000000000000005</v>
      </c>
    </row>
    <row r="60" spans="1:51" x14ac:dyDescent="0.35">
      <c r="B60" s="151" t="s">
        <v>110</v>
      </c>
      <c r="C60" s="86" t="s">
        <v>111</v>
      </c>
      <c r="D60" s="188">
        <v>0.06</v>
      </c>
      <c r="E60" s="142">
        <v>0.06</v>
      </c>
      <c r="F60" s="137">
        <v>0.06</v>
      </c>
      <c r="G60" s="141" t="s">
        <v>46</v>
      </c>
      <c r="H60" s="173" t="s">
        <v>46</v>
      </c>
      <c r="I60" s="179" t="s">
        <v>46</v>
      </c>
      <c r="J60" s="179" t="s">
        <v>46</v>
      </c>
      <c r="K60" s="208" t="s">
        <v>46</v>
      </c>
      <c r="L60" s="208" t="s">
        <v>46</v>
      </c>
      <c r="M60" s="208" t="s">
        <v>46</v>
      </c>
    </row>
    <row r="61" spans="1:51" x14ac:dyDescent="0.35">
      <c r="B61" s="151" t="s">
        <v>112</v>
      </c>
      <c r="C61" s="86" t="s">
        <v>113</v>
      </c>
      <c r="D61" s="187">
        <v>0.36</v>
      </c>
      <c r="E61" s="1">
        <v>0.36</v>
      </c>
      <c r="F61" s="136">
        <v>0.36</v>
      </c>
      <c r="G61" s="138">
        <v>0.52</v>
      </c>
      <c r="H61" s="69" t="s">
        <v>46</v>
      </c>
      <c r="I61" s="180" t="s">
        <v>46</v>
      </c>
      <c r="J61" s="180" t="s">
        <v>46</v>
      </c>
      <c r="K61" s="209" t="s">
        <v>46</v>
      </c>
      <c r="L61" s="209" t="s">
        <v>46</v>
      </c>
      <c r="M61" s="206">
        <v>0.56000000000000005</v>
      </c>
    </row>
    <row r="62" spans="1:51" x14ac:dyDescent="0.35">
      <c r="B62" s="151" t="s">
        <v>104</v>
      </c>
      <c r="C62" s="86" t="s">
        <v>114</v>
      </c>
      <c r="D62" s="190" t="s">
        <v>115</v>
      </c>
      <c r="E62" s="64"/>
      <c r="F62" s="115"/>
      <c r="G62" s="139">
        <v>0.46</v>
      </c>
      <c r="H62" s="71">
        <v>0.46</v>
      </c>
      <c r="I62" s="181">
        <v>0.53</v>
      </c>
      <c r="J62" s="181">
        <v>0.53</v>
      </c>
      <c r="K62" s="197">
        <v>0.53</v>
      </c>
      <c r="L62" s="197">
        <v>0.53</v>
      </c>
      <c r="M62" s="197">
        <v>0.52</v>
      </c>
    </row>
    <row r="63" spans="1:51" x14ac:dyDescent="0.35">
      <c r="B63" s="151" t="s">
        <v>104</v>
      </c>
      <c r="C63" s="86" t="s">
        <v>116</v>
      </c>
      <c r="D63" s="190" t="s">
        <v>69</v>
      </c>
      <c r="E63" s="64"/>
      <c r="F63" s="115"/>
      <c r="G63" s="150"/>
      <c r="H63" s="71">
        <v>0.64</v>
      </c>
      <c r="I63" s="177">
        <v>0.64</v>
      </c>
      <c r="J63" s="177">
        <v>0.64</v>
      </c>
      <c r="K63" s="196">
        <v>0.64</v>
      </c>
      <c r="L63" s="196">
        <v>0.64</v>
      </c>
      <c r="M63" s="196">
        <f>0.64+(0.4/60)</f>
        <v>0.64666666666666672</v>
      </c>
    </row>
    <row r="64" spans="1:51" x14ac:dyDescent="0.35">
      <c r="B64" s="151" t="s">
        <v>117</v>
      </c>
      <c r="C64" s="86" t="s">
        <v>118</v>
      </c>
      <c r="D64" s="190" t="s">
        <v>119</v>
      </c>
      <c r="E64" s="64"/>
      <c r="F64" s="115"/>
      <c r="G64" s="150"/>
      <c r="H64" s="71"/>
      <c r="I64" s="177"/>
      <c r="J64" s="181">
        <v>0.4</v>
      </c>
      <c r="K64" s="197">
        <v>0.4</v>
      </c>
      <c r="L64" s="197">
        <v>0.4</v>
      </c>
      <c r="M64" s="197">
        <v>0.49</v>
      </c>
    </row>
    <row r="65" spans="1:13" x14ac:dyDescent="0.35">
      <c r="B65" s="151" t="s">
        <v>120</v>
      </c>
      <c r="C65" s="86" t="s">
        <v>121</v>
      </c>
      <c r="D65" s="190" t="s">
        <v>119</v>
      </c>
      <c r="E65" s="64"/>
      <c r="F65" s="115"/>
      <c r="G65" s="150"/>
      <c r="H65" s="71"/>
      <c r="I65" s="177"/>
      <c r="J65" s="181">
        <v>0.41</v>
      </c>
      <c r="K65" s="197">
        <v>0.41</v>
      </c>
      <c r="L65" s="197">
        <v>0.41</v>
      </c>
      <c r="M65" s="197">
        <v>0.51</v>
      </c>
    </row>
    <row r="66" spans="1:13" x14ac:dyDescent="0.35">
      <c r="B66" s="100"/>
      <c r="C66" s="101"/>
      <c r="D66" s="189"/>
      <c r="E66" s="64"/>
      <c r="F66" s="119"/>
      <c r="G66" s="139"/>
      <c r="I66" s="175"/>
      <c r="J66" s="175"/>
      <c r="K66" s="210"/>
      <c r="L66" s="210"/>
      <c r="M66" s="210"/>
    </row>
    <row r="67" spans="1:13" x14ac:dyDescent="0.35">
      <c r="A67" s="83" t="s">
        <v>87</v>
      </c>
      <c r="B67" s="63" t="s">
        <v>88</v>
      </c>
      <c r="C67" s="63"/>
      <c r="D67" s="169">
        <f>AVERAGE(D56:D59,D61)</f>
        <v>0.38800000000000001</v>
      </c>
      <c r="E67" s="82">
        <f t="shared" ref="E67:F67" si="20">AVERAGE(E56:E59,E61)</f>
        <v>0.38800000000000001</v>
      </c>
      <c r="F67" s="116">
        <f t="shared" si="20"/>
        <v>0.38800000000000001</v>
      </c>
      <c r="G67" s="106">
        <f>AVERAGE(G56:G59,G61:G63)</f>
        <v>0.52333333333333332</v>
      </c>
      <c r="H67" s="82">
        <f>AVERAGE(H56:H59,H62:H63)</f>
        <v>0.54333333333333333</v>
      </c>
      <c r="I67" s="182">
        <f>AVERAGE(I56:I59,I62:I63)</f>
        <v>0.55833333333333335</v>
      </c>
      <c r="J67" s="182">
        <f>AVERAGE(J56:J59,J62:J65)</f>
        <v>0.52750000000000008</v>
      </c>
      <c r="K67" s="125">
        <f>AVERAGE(K56:K59,K62:K65)</f>
        <v>0.52750000000000008</v>
      </c>
      <c r="L67" s="125">
        <f>AVERAGE(L56:L59,L62:L65)</f>
        <v>0.52750000000000008</v>
      </c>
      <c r="M67" s="125">
        <f>AVERAGE(M56:M59,M61:M65)</f>
        <v>0.55333333333333334</v>
      </c>
    </row>
    <row r="68" spans="1:13" x14ac:dyDescent="0.35">
      <c r="A68" s="83" t="s">
        <v>89</v>
      </c>
      <c r="B68" t="s">
        <v>94</v>
      </c>
      <c r="D68" s="170">
        <f>D67*0.014</f>
        <v>5.4320000000000002E-3</v>
      </c>
      <c r="E68" s="65">
        <f>E67*0.014</f>
        <v>5.4320000000000002E-3</v>
      </c>
      <c r="F68" s="113">
        <f t="shared" ref="F68" si="21">F67*0.014</f>
        <v>5.4320000000000002E-3</v>
      </c>
      <c r="G68" s="104">
        <f t="shared" ref="G68:H68" si="22">G67*0.014</f>
        <v>7.3266666666666662E-3</v>
      </c>
      <c r="H68" s="65">
        <f t="shared" si="22"/>
        <v>7.606666666666667E-3</v>
      </c>
      <c r="I68" s="183">
        <f t="shared" ref="I68:J68" si="23">I67*0.014</f>
        <v>7.8166666666666662E-3</v>
      </c>
      <c r="J68" s="183">
        <f t="shared" si="23"/>
        <v>7.3850000000000009E-3</v>
      </c>
      <c r="K68" s="125">
        <f t="shared" ref="K68:L68" si="24">K67*0.014</f>
        <v>7.3850000000000009E-3</v>
      </c>
      <c r="L68" s="125">
        <f t="shared" si="24"/>
        <v>7.3850000000000009E-3</v>
      </c>
      <c r="M68" s="125">
        <f t="shared" ref="M68" si="25">M67*0.014</f>
        <v>7.7466666666666673E-3</v>
      </c>
    </row>
    <row r="69" spans="1:13" x14ac:dyDescent="0.35">
      <c r="A69" s="83" t="s">
        <v>91</v>
      </c>
      <c r="B69" t="s">
        <v>122</v>
      </c>
      <c r="D69" s="170">
        <f>D67+D68</f>
        <v>0.393432</v>
      </c>
      <c r="E69" s="65">
        <f t="shared" ref="E69" si="26">E67+E68</f>
        <v>0.393432</v>
      </c>
      <c r="F69" s="113">
        <f t="shared" ref="F69" si="27">F67+F68</f>
        <v>0.393432</v>
      </c>
      <c r="G69" s="104">
        <f t="shared" ref="G69:H69" si="28">G67+G68</f>
        <v>0.53066000000000002</v>
      </c>
      <c r="H69" s="65">
        <f t="shared" si="28"/>
        <v>0.55093999999999999</v>
      </c>
      <c r="I69" s="183">
        <f t="shared" ref="I69:J69" si="29">I67+I68</f>
        <v>0.56615000000000004</v>
      </c>
      <c r="J69" s="183">
        <f t="shared" si="29"/>
        <v>0.53488500000000005</v>
      </c>
      <c r="K69" s="125">
        <f t="shared" ref="K69:L69" si="30">K67+K68</f>
        <v>0.53488500000000005</v>
      </c>
      <c r="L69" s="125">
        <f t="shared" si="30"/>
        <v>0.53488500000000005</v>
      </c>
      <c r="M69" s="125">
        <f t="shared" ref="M69" si="31">M67+M68</f>
        <v>0.56108000000000002</v>
      </c>
    </row>
    <row r="70" spans="1:13" x14ac:dyDescent="0.35">
      <c r="A70" s="83" t="s">
        <v>93</v>
      </c>
      <c r="B70" t="s">
        <v>98</v>
      </c>
      <c r="D70" s="170">
        <f>D69*0.07</f>
        <v>2.7540240000000004E-2</v>
      </c>
      <c r="E70" s="65">
        <f t="shared" ref="E70" si="32">E69*0.07</f>
        <v>2.7540240000000004E-2</v>
      </c>
      <c r="F70" s="113">
        <f t="shared" ref="F70" si="33">F69*0.07</f>
        <v>2.7540240000000004E-2</v>
      </c>
      <c r="G70" s="104">
        <f t="shared" ref="G70:H70" si="34">G69*0.07</f>
        <v>3.7146200000000004E-2</v>
      </c>
      <c r="H70" s="65">
        <f t="shared" si="34"/>
        <v>3.8565800000000004E-2</v>
      </c>
      <c r="I70" s="183">
        <f t="shared" ref="I70:J70" si="35">I69*0.07</f>
        <v>3.9630500000000006E-2</v>
      </c>
      <c r="J70" s="183">
        <f t="shared" si="35"/>
        <v>3.7441950000000009E-2</v>
      </c>
      <c r="K70" s="125">
        <f t="shared" ref="K70:L70" si="36">K69*0.07</f>
        <v>3.7441950000000009E-2</v>
      </c>
      <c r="L70" s="125">
        <f t="shared" si="36"/>
        <v>3.7441950000000009E-2</v>
      </c>
      <c r="M70" s="125">
        <f t="shared" ref="M70" si="37">M69*0.07</f>
        <v>3.9275600000000008E-2</v>
      </c>
    </row>
    <row r="71" spans="1:13" x14ac:dyDescent="0.35">
      <c r="A71" s="83" t="s">
        <v>95</v>
      </c>
      <c r="B71" s="94" t="s">
        <v>123</v>
      </c>
      <c r="C71" s="95"/>
      <c r="D71" s="171">
        <f>SUM(D69:D70)</f>
        <v>0.42097224</v>
      </c>
      <c r="E71" s="146">
        <f>SUM(E69:E70)</f>
        <v>0.42097224</v>
      </c>
      <c r="F71" s="147">
        <f t="shared" ref="F71" si="38">SUM(F69:F70)</f>
        <v>0.42097224</v>
      </c>
      <c r="G71" s="152">
        <f t="shared" ref="G71:H71" si="39">SUM(G69:G70)</f>
        <v>0.56780620000000004</v>
      </c>
      <c r="H71" s="146">
        <f t="shared" si="39"/>
        <v>0.58950579999999997</v>
      </c>
      <c r="I71" s="184">
        <f t="shared" ref="I71:J71" si="40">SUM(I69:I70)</f>
        <v>0.60578050000000006</v>
      </c>
      <c r="J71" s="184">
        <f t="shared" si="40"/>
        <v>0.57232695000000011</v>
      </c>
      <c r="K71" s="145">
        <f t="shared" ref="K71:L71" si="41">SUM(K69:K70)</f>
        <v>0.57232695000000011</v>
      </c>
      <c r="L71" s="145">
        <f t="shared" si="41"/>
        <v>0.57232695000000011</v>
      </c>
      <c r="M71" s="145">
        <f t="shared" ref="M71" si="42">SUM(M69:M70)</f>
        <v>0.60035559999999999</v>
      </c>
    </row>
    <row r="72" spans="1:13" x14ac:dyDescent="0.35">
      <c r="B72" s="63"/>
      <c r="C72" s="63"/>
      <c r="D72" s="63"/>
      <c r="E72" s="63"/>
    </row>
    <row r="84" spans="3:7" x14ac:dyDescent="0.35">
      <c r="C84" t="s">
        <v>133</v>
      </c>
    </row>
    <row r="85" spans="3:7" x14ac:dyDescent="0.35">
      <c r="C85" s="2" t="s">
        <v>134</v>
      </c>
      <c r="D85">
        <v>8</v>
      </c>
      <c r="E85" s="157">
        <v>0.42</v>
      </c>
      <c r="F85" s="158">
        <f>D85*E85</f>
        <v>3.36</v>
      </c>
    </row>
    <row r="86" spans="3:7" x14ac:dyDescent="0.35">
      <c r="C86" s="2" t="s">
        <v>135</v>
      </c>
      <c r="D86">
        <v>6</v>
      </c>
      <c r="E86" s="157">
        <v>0.49</v>
      </c>
      <c r="F86" s="158">
        <f t="shared" ref="F86:F88" si="43">D86*E86</f>
        <v>2.94</v>
      </c>
    </row>
    <row r="87" spans="3:7" x14ac:dyDescent="0.35">
      <c r="C87" s="2" t="s">
        <v>136</v>
      </c>
      <c r="D87">
        <v>7</v>
      </c>
      <c r="E87" s="157">
        <v>0.56000000000000005</v>
      </c>
      <c r="F87" s="158">
        <f t="shared" si="43"/>
        <v>3.9200000000000004</v>
      </c>
    </row>
    <row r="88" spans="3:7" x14ac:dyDescent="0.35">
      <c r="C88" s="2" t="s">
        <v>137</v>
      </c>
      <c r="D88">
        <v>3</v>
      </c>
      <c r="E88" s="157">
        <v>0.49</v>
      </c>
      <c r="F88" s="158">
        <f t="shared" si="43"/>
        <v>1.47</v>
      </c>
    </row>
    <row r="89" spans="3:7" x14ac:dyDescent="0.35">
      <c r="D89">
        <f>SUM(D85:D88)</f>
        <v>24</v>
      </c>
      <c r="F89" s="158">
        <f>SUM(F85:F88)+0.99</f>
        <v>12.680000000000001</v>
      </c>
      <c r="G89" s="158">
        <f>F89/D89</f>
        <v>0.52833333333333343</v>
      </c>
    </row>
    <row r="90" spans="3:7" x14ac:dyDescent="0.35">
      <c r="C90" t="s">
        <v>138</v>
      </c>
    </row>
    <row r="91" spans="3:7" x14ac:dyDescent="0.35">
      <c r="C91" s="2" t="s">
        <v>134</v>
      </c>
      <c r="D91">
        <v>8</v>
      </c>
      <c r="E91" s="157">
        <v>0.45</v>
      </c>
      <c r="F91" s="158">
        <f>D91*E91</f>
        <v>3.6</v>
      </c>
    </row>
    <row r="92" spans="3:7" x14ac:dyDescent="0.35">
      <c r="C92" s="2" t="s">
        <v>139</v>
      </c>
      <c r="D92">
        <v>3</v>
      </c>
      <c r="E92" s="157">
        <v>0.52</v>
      </c>
      <c r="F92" s="158">
        <f t="shared" ref="F92:F94" si="44">D92*E92</f>
        <v>1.56</v>
      </c>
    </row>
    <row r="93" spans="3:7" x14ac:dyDescent="0.35">
      <c r="C93" s="2" t="s">
        <v>140</v>
      </c>
      <c r="D93">
        <v>7</v>
      </c>
      <c r="E93" s="157">
        <v>0.59</v>
      </c>
      <c r="F93" s="158">
        <f t="shared" si="44"/>
        <v>4.13</v>
      </c>
    </row>
    <row r="94" spans="3:7" x14ac:dyDescent="0.35">
      <c r="C94" s="2" t="s">
        <v>141</v>
      </c>
      <c r="D94">
        <v>6</v>
      </c>
      <c r="E94" s="157">
        <v>0.52</v>
      </c>
      <c r="F94" s="158">
        <f t="shared" si="44"/>
        <v>3.12</v>
      </c>
    </row>
    <row r="95" spans="3:7" x14ac:dyDescent="0.35">
      <c r="D95">
        <f>SUM(D91:D94)</f>
        <v>24</v>
      </c>
      <c r="F95" s="158">
        <f>SUM(F91:F94)+0.99</f>
        <v>13.4</v>
      </c>
      <c r="G95" s="158">
        <f>F95/D95</f>
        <v>0.55833333333333335</v>
      </c>
    </row>
  </sheetData>
  <mergeCells count="7">
    <mergeCell ref="B6:E6"/>
    <mergeCell ref="B7:E7"/>
    <mergeCell ref="B51:E51"/>
    <mergeCell ref="B52:E52"/>
    <mergeCell ref="C2:G2"/>
    <mergeCell ref="C3:G3"/>
    <mergeCell ref="C4:G4"/>
  </mergeCells>
  <phoneticPr fontId="25" type="noConversion"/>
  <hyperlinks>
    <hyperlink ref="B29" r:id="rId1" xr:uid="{BBDDB5AB-02DA-4219-91FF-0A6BA7847523}"/>
    <hyperlink ref="B30" r:id="rId2" xr:uid="{FF5CDD0B-CA0B-44B7-86B3-EE98CA529A9F}"/>
    <hyperlink ref="B31" r:id="rId3" xr:uid="{C7A3784B-1809-4142-A418-EB68A4B8E905}"/>
    <hyperlink ref="B32" r:id="rId4" xr:uid="{96264660-0F1F-44BA-A814-DCE9F317EA6E}"/>
    <hyperlink ref="B19" r:id="rId5" xr:uid="{5C9A2912-25E4-4043-B911-E6DAA632A3E5}"/>
    <hyperlink ref="B33" r:id="rId6" xr:uid="{21098855-512A-489D-93DE-7A09299A1E4E}"/>
    <hyperlink ref="B28" r:id="rId7" xr:uid="{203F45E8-6B53-4F98-BDF2-41BAC81E7C7A}"/>
    <hyperlink ref="B12" r:id="rId8" xr:uid="{836A67E1-35E4-4D60-97AA-FBCE571A83E3}"/>
    <hyperlink ref="B34" r:id="rId9" xr:uid="{4133EECA-8AB1-43BD-93A1-2E910C31846F}"/>
    <hyperlink ref="B27" r:id="rId10" xr:uid="{B7849F3A-17EC-4BB1-981F-2592C1BD544D}"/>
    <hyperlink ref="B26" r:id="rId11" xr:uid="{DF49AEEE-2E46-4FB9-B515-57EA16312CE6}"/>
    <hyperlink ref="B25" r:id="rId12" xr:uid="{D1CF66B5-DA07-4BC7-A615-15EA701967F6}"/>
    <hyperlink ref="B24" r:id="rId13" xr:uid="{5CAE635D-7F0F-4A6C-85AE-2619874CB9B6}"/>
    <hyperlink ref="B13" r:id="rId14" xr:uid="{88B5D776-A6FD-463A-A898-557D41CA9871}"/>
    <hyperlink ref="B23" r:id="rId15" xr:uid="{217BB919-5F14-4840-B76D-9931F1018615}"/>
    <hyperlink ref="B22" r:id="rId16" xr:uid="{6D97DDCA-C174-42B6-90B1-8B80D07AD997}"/>
    <hyperlink ref="B21" r:id="rId17" xr:uid="{FAAEF309-26CD-47AB-A650-0D8E8F253102}"/>
    <hyperlink ref="B20" r:id="rId18" xr:uid="{97D88196-1715-4400-AA00-7D4EDB8C7D0C}"/>
    <hyperlink ref="B17" r:id="rId19" xr:uid="{88D9348C-D564-4587-88D9-96D979350A04}"/>
    <hyperlink ref="B16" r:id="rId20" xr:uid="{A3268E3D-0CE9-4662-B00F-C885406BAF4D}"/>
    <hyperlink ref="B18" r:id="rId21" xr:uid="{60BBD405-8C2A-4171-90E4-D66DFDE730A5}"/>
    <hyperlink ref="B15" r:id="rId22" xr:uid="{38F6ED7D-480E-4C28-9BB9-871680063BF7}"/>
    <hyperlink ref="B14" r:id="rId23" xr:uid="{ACC6A3E7-6013-42CC-9205-E56BD5F6A554}"/>
    <hyperlink ref="B11" r:id="rId24" xr:uid="{FCB308F3-983E-434D-B13A-A823C9E77238}"/>
    <hyperlink ref="B63" r:id="rId25" xr:uid="{B57FAF3D-6D9A-4DFA-BBF8-D6D33998ADE9}"/>
    <hyperlink ref="B62" r:id="rId26" xr:uid="{5C9607EF-32AD-44B8-84CC-6718B136F5CC}"/>
    <hyperlink ref="B61" r:id="rId27" xr:uid="{81DA1AB9-82BB-4AA8-BD23-2883EA55C704}"/>
    <hyperlink ref="B60" r:id="rId28" xr:uid="{A5F12E87-A5BD-4F58-8096-10DB819A76B8}"/>
    <hyperlink ref="B59" r:id="rId29" xr:uid="{378B99D4-C2DB-4183-A2B8-460F177CD4E3}"/>
    <hyperlink ref="B58" r:id="rId30" xr:uid="{EEEEF7D9-F171-47B0-A044-4C66E3B4CC55}"/>
    <hyperlink ref="B57" r:id="rId31" xr:uid="{757C4291-837C-4D6D-9436-A2576A5DCC4E}"/>
    <hyperlink ref="B56" r:id="rId32" xr:uid="{8A99F214-3CA5-4130-AFBB-1E3CC49D561D}"/>
    <hyperlink ref="B65" r:id="rId33" xr:uid="{2EFDFB48-6104-44D3-84EB-EB5B5D7BA0CB}"/>
    <hyperlink ref="B64" r:id="rId34" xr:uid="{F1EA657E-C04A-4761-924F-9B7C741DD07C}"/>
    <hyperlink ref="B35" r:id="rId35" xr:uid="{6AB39FF8-BAE5-4F86-98CE-3EAB74E1ED4E}"/>
    <hyperlink ref="B36" r:id="rId36" xr:uid="{513C4A61-5A7D-4449-93D4-9C715F6684BE}"/>
    <hyperlink ref="B37" r:id="rId37" xr:uid="{EE48228D-2A28-4E1D-8E48-253517B7B87A}"/>
    <hyperlink ref="B38" r:id="rId38" xr:uid="{F3C76125-2D20-42BC-B7AE-EFD5E3861725}"/>
  </hyperlinks>
  <pageMargins left="0.7" right="0.7" top="0.75" bottom="0.75" header="0.3" footer="0.3"/>
  <customProperties>
    <customPr name="EpmWorksheetKeyString_GUID" r:id="rId39"/>
  </customProperties>
  <ignoredErrors>
    <ignoredError sqref="K33:M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D8BB5-FB4D-40BF-AFC9-24A6019477DC}">
  <sheetPr>
    <tabColor theme="8" tint="0.79998168889431442"/>
  </sheetPr>
  <dimension ref="A3:H16"/>
  <sheetViews>
    <sheetView showGridLines="0" workbookViewId="0">
      <selection activeCell="H22" sqref="H22"/>
    </sheetView>
  </sheetViews>
  <sheetFormatPr defaultColWidth="9.1796875" defaultRowHeight="14.5" x14ac:dyDescent="0.35"/>
  <cols>
    <col min="1" max="1" width="21.1796875" bestFit="1" customWidth="1"/>
    <col min="2" max="2" width="56.1796875" bestFit="1" customWidth="1"/>
    <col min="3" max="3" width="16.1796875" hidden="1" customWidth="1"/>
    <col min="4" max="5" width="21.81640625" customWidth="1"/>
    <col min="6" max="6" width="24.453125" bestFit="1" customWidth="1"/>
    <col min="7" max="7" width="15.1796875" customWidth="1"/>
  </cols>
  <sheetData>
    <row r="3" spans="1:8" x14ac:dyDescent="0.35">
      <c r="A3" s="9" t="s">
        <v>142</v>
      </c>
      <c r="B3" s="9" t="s">
        <v>21</v>
      </c>
      <c r="C3" s="9" t="s">
        <v>143</v>
      </c>
      <c r="D3" s="9" t="s">
        <v>144</v>
      </c>
      <c r="E3" s="9" t="s">
        <v>145</v>
      </c>
      <c r="F3" s="9" t="s">
        <v>146</v>
      </c>
      <c r="G3" s="9" t="s">
        <v>147</v>
      </c>
    </row>
    <row r="4" spans="1:8" x14ac:dyDescent="0.35">
      <c r="A4" t="s">
        <v>48</v>
      </c>
      <c r="B4" t="s">
        <v>103</v>
      </c>
      <c r="C4" t="s">
        <v>148</v>
      </c>
      <c r="D4" s="3">
        <v>50</v>
      </c>
      <c r="E4" s="1">
        <f>G4*D4</f>
        <v>18</v>
      </c>
      <c r="F4" s="6">
        <f t="shared" ref="F4:F9" si="0">D4/60</f>
        <v>0.83333333333333337</v>
      </c>
      <c r="G4" s="1">
        <v>0.36</v>
      </c>
      <c r="H4" s="13" t="s">
        <v>149</v>
      </c>
    </row>
    <row r="5" spans="1:8" x14ac:dyDescent="0.35">
      <c r="A5" t="s">
        <v>104</v>
      </c>
      <c r="B5" t="s">
        <v>105</v>
      </c>
      <c r="C5" t="s">
        <v>150</v>
      </c>
      <c r="D5" s="4">
        <v>150</v>
      </c>
      <c r="E5" s="1">
        <f t="shared" ref="E5:E9" si="1">G5*D5</f>
        <v>64.5</v>
      </c>
      <c r="F5" s="7">
        <f t="shared" si="0"/>
        <v>2.5</v>
      </c>
      <c r="G5" s="1">
        <v>0.43</v>
      </c>
      <c r="H5" s="13" t="s">
        <v>151</v>
      </c>
    </row>
    <row r="6" spans="1:8" x14ac:dyDescent="0.35">
      <c r="A6" t="s">
        <v>106</v>
      </c>
      <c r="B6" t="s">
        <v>107</v>
      </c>
      <c r="C6" t="s">
        <v>150</v>
      </c>
      <c r="D6" s="4">
        <v>150</v>
      </c>
      <c r="E6" s="1">
        <f t="shared" si="1"/>
        <v>64.5</v>
      </c>
      <c r="F6" s="7">
        <f t="shared" si="0"/>
        <v>2.5</v>
      </c>
      <c r="G6" s="1">
        <v>0.43</v>
      </c>
      <c r="H6" s="13" t="s">
        <v>152</v>
      </c>
    </row>
    <row r="7" spans="1:8" x14ac:dyDescent="0.35">
      <c r="A7" t="s">
        <v>108</v>
      </c>
      <c r="B7" t="s">
        <v>109</v>
      </c>
      <c r="C7" t="s">
        <v>148</v>
      </c>
      <c r="D7" s="3">
        <v>50</v>
      </c>
      <c r="E7" s="1">
        <f t="shared" si="1"/>
        <v>18</v>
      </c>
      <c r="F7" s="6">
        <f t="shared" si="0"/>
        <v>0.83333333333333337</v>
      </c>
      <c r="G7" s="1">
        <v>0.36</v>
      </c>
    </row>
    <row r="8" spans="1:8" x14ac:dyDescent="0.35">
      <c r="A8" t="s">
        <v>110</v>
      </c>
      <c r="B8" t="s">
        <v>111</v>
      </c>
      <c r="D8" s="3">
        <v>50</v>
      </c>
      <c r="E8" s="1">
        <f t="shared" ca="1" si="1"/>
        <v>18</v>
      </c>
      <c r="F8" s="6">
        <f t="shared" si="0"/>
        <v>0.83333333333333337</v>
      </c>
      <c r="G8" s="1">
        <f ca="1">E8/F8</f>
        <v>0.06</v>
      </c>
    </row>
    <row r="9" spans="1:8" x14ac:dyDescent="0.35">
      <c r="A9" t="s">
        <v>112</v>
      </c>
      <c r="B9" t="s">
        <v>113</v>
      </c>
      <c r="D9" s="3">
        <v>50</v>
      </c>
      <c r="E9" s="1">
        <f t="shared" si="1"/>
        <v>18</v>
      </c>
      <c r="F9" s="6">
        <f t="shared" si="0"/>
        <v>0.83333333333333337</v>
      </c>
      <c r="G9" s="1">
        <v>0.36</v>
      </c>
    </row>
    <row r="11" spans="1:8" x14ac:dyDescent="0.35">
      <c r="A11" s="10" t="s">
        <v>153</v>
      </c>
      <c r="E11" s="2" t="s">
        <v>87</v>
      </c>
      <c r="F11" t="s">
        <v>154</v>
      </c>
      <c r="G11" s="8">
        <f ca="1">AVERAGE(G4:G9)</f>
        <v>0.33333333333333331</v>
      </c>
    </row>
    <row r="12" spans="1:8" x14ac:dyDescent="0.35">
      <c r="A12" t="s">
        <v>155</v>
      </c>
      <c r="E12" s="2" t="s">
        <v>89</v>
      </c>
      <c r="F12" t="s">
        <v>94</v>
      </c>
      <c r="G12" s="8">
        <f ca="1">G11*0.014</f>
        <v>4.6666666666666662E-3</v>
      </c>
    </row>
    <row r="13" spans="1:8" x14ac:dyDescent="0.35">
      <c r="A13" t="s">
        <v>156</v>
      </c>
      <c r="E13" s="2" t="s">
        <v>91</v>
      </c>
      <c r="F13" t="s">
        <v>122</v>
      </c>
      <c r="G13" s="8">
        <f ca="1">G11+G12</f>
        <v>0.33799999999999997</v>
      </c>
    </row>
    <row r="14" spans="1:8" x14ac:dyDescent="0.35">
      <c r="A14" t="s">
        <v>157</v>
      </c>
      <c r="E14" s="2" t="s">
        <v>93</v>
      </c>
      <c r="F14" t="s">
        <v>98</v>
      </c>
      <c r="G14" s="1">
        <f ca="1">G13*0.07</f>
        <v>2.366E-2</v>
      </c>
    </row>
    <row r="15" spans="1:8" x14ac:dyDescent="0.35">
      <c r="A15" t="s">
        <v>158</v>
      </c>
      <c r="F15" t="s">
        <v>123</v>
      </c>
      <c r="G15" s="8">
        <f ca="1">G13+G14</f>
        <v>0.36165999999999998</v>
      </c>
    </row>
    <row r="16" spans="1:8" x14ac:dyDescent="0.35">
      <c r="A16" t="s">
        <v>159</v>
      </c>
    </row>
  </sheetData>
  <hyperlinks>
    <hyperlink ref="H6" r:id="rId1" xr:uid="{2500ED16-1AE0-4F32-9D34-350EB20890A6}"/>
    <hyperlink ref="H5" r:id="rId2" xr:uid="{27FB691A-61F6-4C5E-9386-7EB78C01B3D4}"/>
    <hyperlink ref="H4" r:id="rId3" xr:uid="{F7136E95-3F08-4696-8801-A7CBE2A1226F}"/>
  </hyperlinks>
  <pageMargins left="0.7" right="0.7" top="0.75" bottom="0.75" header="0.3" footer="0.3"/>
  <pageSetup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EFA6-F237-4B53-94EC-5C093A3E88C2}">
  <sheetPr>
    <tabColor theme="8" tint="0.79998168889431442"/>
  </sheetPr>
  <dimension ref="A1:K27"/>
  <sheetViews>
    <sheetView topLeftCell="B1" workbookViewId="0">
      <selection activeCell="K8" sqref="K8"/>
    </sheetView>
  </sheetViews>
  <sheetFormatPr defaultRowHeight="14.5" x14ac:dyDescent="0.35"/>
  <cols>
    <col min="1" max="2" width="28.81640625" customWidth="1"/>
    <col min="3" max="3" width="51.54296875" customWidth="1"/>
    <col min="4" max="4" width="26.54296875" customWidth="1"/>
    <col min="5" max="5" width="9.453125" customWidth="1"/>
    <col min="6" max="6" width="17.453125" style="14" customWidth="1"/>
    <col min="7" max="7" width="10.81640625" customWidth="1"/>
    <col min="8" max="8" width="21.54296875" customWidth="1"/>
    <col min="9" max="9" width="22.453125" customWidth="1"/>
    <col min="10" max="10" width="19.453125" customWidth="1"/>
    <col min="11" max="11" width="56.1796875" customWidth="1"/>
  </cols>
  <sheetData>
    <row r="1" spans="1:11" s="17" customFormat="1" ht="12.5" x14ac:dyDescent="0.25">
      <c r="A1" s="17" t="s">
        <v>160</v>
      </c>
      <c r="B1" s="17" t="s">
        <v>161</v>
      </c>
      <c r="C1" s="17" t="s">
        <v>21</v>
      </c>
      <c r="D1" s="17" t="s">
        <v>162</v>
      </c>
      <c r="E1" s="17" t="s">
        <v>163</v>
      </c>
      <c r="F1" s="17" t="s">
        <v>144</v>
      </c>
      <c r="G1" s="17" t="s">
        <v>164</v>
      </c>
      <c r="H1" s="17" t="s">
        <v>165</v>
      </c>
      <c r="I1" s="17" t="s">
        <v>146</v>
      </c>
      <c r="J1" s="17" t="s">
        <v>147</v>
      </c>
      <c r="K1" s="17" t="s">
        <v>166</v>
      </c>
    </row>
    <row r="2" spans="1:11" s="18" customFormat="1" x14ac:dyDescent="0.35">
      <c r="A2" t="s">
        <v>148</v>
      </c>
      <c r="B2" t="s">
        <v>48</v>
      </c>
      <c r="C2" t="s">
        <v>103</v>
      </c>
      <c r="D2" t="s">
        <v>148</v>
      </c>
      <c r="E2" t="s">
        <v>167</v>
      </c>
      <c r="F2" s="3">
        <v>50</v>
      </c>
      <c r="G2" s="15">
        <f>F2*J2</f>
        <v>26</v>
      </c>
      <c r="H2" s="15">
        <f>G2/60</f>
        <v>0.43333333333333335</v>
      </c>
      <c r="I2" s="11">
        <f>H2/J2</f>
        <v>0.83333333333333337</v>
      </c>
      <c r="J2" s="16">
        <v>0.52</v>
      </c>
      <c r="K2" s="13" t="s">
        <v>149</v>
      </c>
    </row>
    <row r="3" spans="1:11" x14ac:dyDescent="0.35">
      <c r="A3" t="s">
        <v>150</v>
      </c>
      <c r="B3" t="s">
        <v>104</v>
      </c>
      <c r="C3" t="s">
        <v>105</v>
      </c>
      <c r="D3" t="s">
        <v>150</v>
      </c>
      <c r="E3" t="s">
        <v>168</v>
      </c>
      <c r="F3" s="4">
        <v>150</v>
      </c>
      <c r="G3" s="15">
        <f>F3*J3</f>
        <v>84.000000000000014</v>
      </c>
      <c r="H3" s="15">
        <f>G3/60</f>
        <v>1.4000000000000001</v>
      </c>
      <c r="I3" s="11">
        <f>H3/J3</f>
        <v>2.5</v>
      </c>
      <c r="J3" s="16">
        <v>0.56000000000000005</v>
      </c>
      <c r="K3" s="13" t="s">
        <v>151</v>
      </c>
    </row>
    <row r="4" spans="1:11" x14ac:dyDescent="0.35">
      <c r="A4" t="s">
        <v>150</v>
      </c>
      <c r="B4" t="s">
        <v>106</v>
      </c>
      <c r="C4" t="s">
        <v>107</v>
      </c>
      <c r="D4" t="s">
        <v>150</v>
      </c>
      <c r="E4" t="s">
        <v>168</v>
      </c>
      <c r="F4" s="4">
        <v>150</v>
      </c>
      <c r="G4" s="15">
        <f>F4*J4</f>
        <v>84.000000000000014</v>
      </c>
      <c r="H4" s="15">
        <f>G4/60</f>
        <v>1.4000000000000001</v>
      </c>
      <c r="I4" s="11">
        <f>H4/J4</f>
        <v>2.5</v>
      </c>
      <c r="J4" s="16">
        <v>0.56000000000000005</v>
      </c>
      <c r="K4" s="13" t="s">
        <v>152</v>
      </c>
    </row>
    <row r="5" spans="1:11" x14ac:dyDescent="0.35">
      <c r="A5" t="s">
        <v>148</v>
      </c>
      <c r="B5" t="s">
        <v>108</v>
      </c>
      <c r="C5" t="s">
        <v>109</v>
      </c>
      <c r="D5" t="s">
        <v>148</v>
      </c>
      <c r="E5" t="s">
        <v>167</v>
      </c>
      <c r="F5" s="3">
        <v>50</v>
      </c>
      <c r="G5" s="15">
        <f t="shared" ref="G5:G8" si="0">F5*J5</f>
        <v>26</v>
      </c>
      <c r="H5" s="15">
        <f t="shared" ref="H5:H8" si="1">G5/60</f>
        <v>0.43333333333333335</v>
      </c>
      <c r="I5" s="11">
        <f t="shared" ref="I5:I8" si="2">H5/J5</f>
        <v>0.83333333333333337</v>
      </c>
      <c r="J5" s="16">
        <v>0.52</v>
      </c>
      <c r="K5" s="13" t="s">
        <v>169</v>
      </c>
    </row>
    <row r="6" spans="1:11" x14ac:dyDescent="0.35">
      <c r="A6" t="s">
        <v>170</v>
      </c>
      <c r="B6" t="s">
        <v>110</v>
      </c>
      <c r="C6" t="s">
        <v>111</v>
      </c>
      <c r="D6" t="s">
        <v>170</v>
      </c>
      <c r="E6" t="s">
        <v>168</v>
      </c>
      <c r="F6" s="3">
        <v>50</v>
      </c>
      <c r="G6" s="277" t="s">
        <v>171</v>
      </c>
      <c r="H6" s="277"/>
      <c r="I6" s="277"/>
      <c r="J6" s="16"/>
      <c r="K6" s="13" t="s">
        <v>172</v>
      </c>
    </row>
    <row r="7" spans="1:11" x14ac:dyDescent="0.35">
      <c r="A7" t="s">
        <v>148</v>
      </c>
      <c r="B7" t="s">
        <v>112</v>
      </c>
      <c r="C7" t="s">
        <v>113</v>
      </c>
      <c r="D7" t="s">
        <v>148</v>
      </c>
      <c r="E7" t="s">
        <v>173</v>
      </c>
      <c r="F7" s="3">
        <v>50</v>
      </c>
      <c r="G7" s="15">
        <f t="shared" si="0"/>
        <v>26</v>
      </c>
      <c r="H7" s="15">
        <f t="shared" si="1"/>
        <v>0.43333333333333335</v>
      </c>
      <c r="I7" s="11">
        <f t="shared" si="2"/>
        <v>0.83333333333333337</v>
      </c>
      <c r="J7" s="16">
        <v>0.52</v>
      </c>
      <c r="K7" s="13" t="s">
        <v>174</v>
      </c>
    </row>
    <row r="8" spans="1:11" x14ac:dyDescent="0.35">
      <c r="A8" t="s">
        <v>175</v>
      </c>
      <c r="B8" t="s">
        <v>104</v>
      </c>
      <c r="C8" t="s">
        <v>114</v>
      </c>
      <c r="D8" t="s">
        <v>175</v>
      </c>
      <c r="E8" t="s">
        <v>176</v>
      </c>
      <c r="F8" s="4">
        <v>250</v>
      </c>
      <c r="G8" s="15">
        <f t="shared" si="0"/>
        <v>115</v>
      </c>
      <c r="H8" s="15">
        <f t="shared" si="1"/>
        <v>1.9166666666666667</v>
      </c>
      <c r="I8" s="11">
        <f t="shared" si="2"/>
        <v>4.166666666666667</v>
      </c>
      <c r="J8" s="16">
        <v>0.46</v>
      </c>
      <c r="K8" s="13" t="s">
        <v>177</v>
      </c>
    </row>
    <row r="9" spans="1:11" x14ac:dyDescent="0.35">
      <c r="F9" s="26"/>
      <c r="G9" s="1"/>
      <c r="H9" s="15"/>
      <c r="I9" s="6"/>
      <c r="J9" s="16"/>
      <c r="K9" s="13"/>
    </row>
    <row r="10" spans="1:11" x14ac:dyDescent="0.35">
      <c r="F10" s="26"/>
      <c r="G10" s="1"/>
      <c r="H10" s="15"/>
      <c r="I10" s="6"/>
      <c r="J10" s="16"/>
      <c r="K10" s="13"/>
    </row>
    <row r="11" spans="1:11" x14ac:dyDescent="0.35">
      <c r="F11" s="26"/>
      <c r="G11" s="15"/>
      <c r="H11" s="15"/>
      <c r="I11" s="6"/>
      <c r="J11" s="16"/>
      <c r="K11" s="13"/>
    </row>
    <row r="12" spans="1:11" x14ac:dyDescent="0.35">
      <c r="F12" s="26"/>
      <c r="G12" s="15"/>
      <c r="H12" s="15"/>
      <c r="I12" s="6"/>
      <c r="J12" s="16"/>
      <c r="K12" s="13"/>
    </row>
    <row r="13" spans="1:11" x14ac:dyDescent="0.35">
      <c r="D13" s="18"/>
      <c r="F13" s="26"/>
      <c r="G13" s="15"/>
      <c r="H13" s="15"/>
      <c r="I13" s="6"/>
      <c r="J13" s="16"/>
      <c r="K13" s="13"/>
    </row>
    <row r="14" spans="1:11" x14ac:dyDescent="0.35">
      <c r="F14" s="26"/>
      <c r="G14" s="1"/>
      <c r="H14" s="15"/>
      <c r="I14" s="6"/>
      <c r="J14" s="16"/>
      <c r="K14" s="13"/>
    </row>
    <row r="15" spans="1:11" x14ac:dyDescent="0.35">
      <c r="C15" s="24"/>
      <c r="F15" s="26"/>
      <c r="G15" s="1"/>
      <c r="H15" s="15"/>
      <c r="I15" s="6"/>
      <c r="J15" s="16"/>
      <c r="K15" s="13"/>
    </row>
    <row r="16" spans="1:11" x14ac:dyDescent="0.35">
      <c r="C16" s="24"/>
      <c r="F16" s="26"/>
      <c r="G16" s="1"/>
      <c r="H16" s="15"/>
      <c r="I16" s="6"/>
      <c r="J16" s="16"/>
      <c r="K16" s="13"/>
    </row>
    <row r="17" spans="6:11" x14ac:dyDescent="0.35">
      <c r="F17" s="26"/>
      <c r="G17" s="1"/>
      <c r="H17" s="15"/>
      <c r="I17" s="6"/>
      <c r="J17" s="16"/>
      <c r="K17" s="13"/>
    </row>
    <row r="18" spans="6:11" x14ac:dyDescent="0.35">
      <c r="F18" s="26"/>
      <c r="G18" s="1"/>
      <c r="H18" s="15"/>
      <c r="I18" s="6"/>
      <c r="J18" s="16"/>
      <c r="K18" s="13"/>
    </row>
    <row r="19" spans="6:11" x14ac:dyDescent="0.35">
      <c r="F19" s="26"/>
      <c r="G19" s="1"/>
      <c r="H19" s="15"/>
      <c r="I19" s="6"/>
      <c r="J19" s="16"/>
      <c r="K19" s="13"/>
    </row>
    <row r="20" spans="6:11" x14ac:dyDescent="0.35">
      <c r="F20" s="26"/>
      <c r="G20" s="1"/>
      <c r="H20" s="15"/>
      <c r="I20" s="6"/>
      <c r="J20" s="16"/>
      <c r="K20" s="13"/>
    </row>
    <row r="23" spans="6:11" x14ac:dyDescent="0.35">
      <c r="H23" s="2" t="s">
        <v>87</v>
      </c>
      <c r="I23" t="s">
        <v>154</v>
      </c>
      <c r="J23" s="8">
        <f>AVERAGE(J2:J20)</f>
        <v>0.52333333333333332</v>
      </c>
    </row>
    <row r="24" spans="6:11" x14ac:dyDescent="0.35">
      <c r="H24" s="2" t="s">
        <v>89</v>
      </c>
      <c r="I24" t="s">
        <v>94</v>
      </c>
      <c r="J24" s="8">
        <f>J23*0.014</f>
        <v>7.3266666666666662E-3</v>
      </c>
    </row>
    <row r="25" spans="6:11" x14ac:dyDescent="0.35">
      <c r="H25" s="2" t="s">
        <v>91</v>
      </c>
      <c r="I25" t="s">
        <v>122</v>
      </c>
      <c r="J25" s="8">
        <f>J23+J24</f>
        <v>0.53066000000000002</v>
      </c>
    </row>
    <row r="26" spans="6:11" x14ac:dyDescent="0.35">
      <c r="H26" s="2" t="s">
        <v>93</v>
      </c>
      <c r="I26" t="s">
        <v>98</v>
      </c>
      <c r="J26" s="1">
        <f>J25*0.07</f>
        <v>3.7146200000000004E-2</v>
      </c>
    </row>
    <row r="27" spans="6:11" x14ac:dyDescent="0.35">
      <c r="I27" t="s">
        <v>123</v>
      </c>
      <c r="J27" s="8">
        <f>J25+J26</f>
        <v>0.56780620000000004</v>
      </c>
    </row>
  </sheetData>
  <autoFilter ref="A1:K1" xr:uid="{05EC6174-E204-4BE9-9EB7-06923762243F}"/>
  <mergeCells count="1">
    <mergeCell ref="G6:I6"/>
  </mergeCells>
  <hyperlinks>
    <hyperlink ref="K2" r:id="rId1" xr:uid="{5A71450B-4A4E-46FD-8E01-490F3505CADC}"/>
    <hyperlink ref="K4" r:id="rId2" xr:uid="{70B192B2-494A-4B6C-BFA2-AFB6AF97E2CD}"/>
    <hyperlink ref="K3" r:id="rId3" xr:uid="{2D4238D2-632F-4008-A32A-BBF8C9DA0972}"/>
    <hyperlink ref="K5" r:id="rId4" location="/en/map?lat=40.00397&amp;lng=-86.12665&amp;locId=117086" xr:uid="{FE056B07-3D0B-4A21-A636-678A9DCB929D}"/>
    <hyperlink ref="K6" r:id="rId5" xr:uid="{413AC535-61F6-4873-80AF-2D59804BD07E}"/>
    <hyperlink ref="K7" r:id="rId6" xr:uid="{B86BFE30-5439-4E39-B938-18C1CCA12D72}"/>
    <hyperlink ref="K8" r:id="rId7" xr:uid="{1B9A2D4C-A807-40C5-AFD5-27D63F0FAEA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86BEC-F160-4F5C-BF26-039CA2AD5E40}">
  <sheetPr>
    <tabColor theme="9" tint="0.79998168889431442"/>
  </sheetPr>
  <dimension ref="A3:M29"/>
  <sheetViews>
    <sheetView showGridLines="0" workbookViewId="0">
      <selection activeCell="B4" sqref="B4:B13"/>
    </sheetView>
  </sheetViews>
  <sheetFormatPr defaultRowHeight="14.5" x14ac:dyDescent="0.35"/>
  <cols>
    <col min="1" max="1" width="31" customWidth="1"/>
    <col min="2" max="2" width="56.1796875" bestFit="1" customWidth="1"/>
    <col min="3" max="3" width="9.1796875" customWidth="1"/>
    <col min="4" max="6" width="21.81640625" customWidth="1"/>
    <col min="7" max="7" width="24.453125" bestFit="1" customWidth="1"/>
    <col min="8" max="8" width="15.1796875" customWidth="1"/>
  </cols>
  <sheetData>
    <row r="3" spans="1:13" x14ac:dyDescent="0.35">
      <c r="A3" s="9" t="s">
        <v>142</v>
      </c>
      <c r="B3" s="9" t="s">
        <v>21</v>
      </c>
      <c r="C3" s="9" t="s">
        <v>143</v>
      </c>
      <c r="D3" s="9" t="s">
        <v>144</v>
      </c>
      <c r="E3" s="9" t="s">
        <v>145</v>
      </c>
      <c r="F3" s="9" t="s">
        <v>165</v>
      </c>
      <c r="G3" s="9" t="s">
        <v>146</v>
      </c>
      <c r="H3" s="9" t="s">
        <v>147</v>
      </c>
      <c r="L3" s="1"/>
    </row>
    <row r="4" spans="1:13" x14ac:dyDescent="0.35">
      <c r="A4" t="s">
        <v>24</v>
      </c>
      <c r="B4" t="s">
        <v>25</v>
      </c>
      <c r="C4" t="s">
        <v>148</v>
      </c>
      <c r="D4" s="11">
        <v>6.6</v>
      </c>
      <c r="E4" s="27">
        <f>F4*60</f>
        <v>0.5</v>
      </c>
      <c r="F4" s="27">
        <f>0.5/60</f>
        <v>8.3333333333333332E-3</v>
      </c>
      <c r="G4" s="6">
        <f t="shared" ref="G4:G13" si="0">D4/60</f>
        <v>0.11</v>
      </c>
      <c r="H4" s="1">
        <f>F4/G4</f>
        <v>7.575757575757576E-2</v>
      </c>
      <c r="L4" s="1"/>
      <c r="M4" s="1"/>
    </row>
    <row r="5" spans="1:13" x14ac:dyDescent="0.35">
      <c r="A5" t="s">
        <v>29</v>
      </c>
      <c r="B5" t="s">
        <v>30</v>
      </c>
      <c r="C5" t="s">
        <v>150</v>
      </c>
      <c r="D5" s="4">
        <v>7</v>
      </c>
      <c r="E5" s="27">
        <f t="shared" ref="E5:E13" si="1">F5*60</f>
        <v>2</v>
      </c>
      <c r="F5" s="28">
        <f>2/60</f>
        <v>3.3333333333333333E-2</v>
      </c>
      <c r="G5" s="7">
        <f t="shared" si="0"/>
        <v>0.11666666666666667</v>
      </c>
      <c r="H5" s="1">
        <f t="shared" ref="H5" si="2">F5/G5</f>
        <v>0.2857142857142857</v>
      </c>
      <c r="L5" s="1"/>
      <c r="M5" s="1"/>
    </row>
    <row r="6" spans="1:13" x14ac:dyDescent="0.35">
      <c r="A6" t="s">
        <v>35</v>
      </c>
      <c r="B6" t="s">
        <v>36</v>
      </c>
      <c r="D6" s="3">
        <v>6.6</v>
      </c>
      <c r="E6" s="27">
        <f t="shared" si="1"/>
        <v>2.4</v>
      </c>
      <c r="F6" s="27">
        <f>2.4/60</f>
        <v>0.04</v>
      </c>
      <c r="G6" s="6">
        <f t="shared" si="0"/>
        <v>0.11</v>
      </c>
      <c r="H6" s="1">
        <f>F6/G6</f>
        <v>0.36363636363636365</v>
      </c>
      <c r="L6" s="1"/>
      <c r="M6" s="1"/>
    </row>
    <row r="7" spans="1:13" x14ac:dyDescent="0.35">
      <c r="A7" t="s">
        <v>37</v>
      </c>
      <c r="B7" t="s">
        <v>38</v>
      </c>
      <c r="D7">
        <v>6.48</v>
      </c>
      <c r="E7" s="27">
        <f>H7*D7</f>
        <v>2.5920000000000005</v>
      </c>
      <c r="F7" s="28">
        <f>E7/60</f>
        <v>4.3200000000000009E-2</v>
      </c>
      <c r="G7" s="2">
        <f t="shared" si="0"/>
        <v>0.10800000000000001</v>
      </c>
      <c r="H7" s="1">
        <v>0.4</v>
      </c>
      <c r="L7" s="1"/>
      <c r="M7" s="1"/>
    </row>
    <row r="8" spans="1:13" x14ac:dyDescent="0.35">
      <c r="A8" t="s">
        <v>39</v>
      </c>
      <c r="B8" t="s">
        <v>40</v>
      </c>
      <c r="D8">
        <v>6.48</v>
      </c>
      <c r="E8" s="27">
        <f t="shared" si="1"/>
        <v>0.5</v>
      </c>
      <c r="F8" s="27">
        <f>0.5/60</f>
        <v>8.3333333333333332E-3</v>
      </c>
      <c r="G8" s="6">
        <f t="shared" si="0"/>
        <v>0.10800000000000001</v>
      </c>
      <c r="H8" s="1">
        <f t="shared" ref="H8:H13" si="3">F8/G8</f>
        <v>7.716049382716049E-2</v>
      </c>
      <c r="I8" s="12"/>
      <c r="L8" s="1"/>
      <c r="M8" s="1"/>
    </row>
    <row r="9" spans="1:13" x14ac:dyDescent="0.35">
      <c r="A9" t="s">
        <v>41</v>
      </c>
      <c r="B9" t="s">
        <v>42</v>
      </c>
      <c r="D9">
        <v>6.48</v>
      </c>
      <c r="E9" s="27">
        <f t="shared" si="1"/>
        <v>1.25</v>
      </c>
      <c r="F9" s="27">
        <f>1.25/60</f>
        <v>2.0833333333333332E-2</v>
      </c>
      <c r="G9" s="6">
        <f t="shared" si="0"/>
        <v>0.10800000000000001</v>
      </c>
      <c r="H9" s="1">
        <f t="shared" si="3"/>
        <v>0.1929012345679012</v>
      </c>
      <c r="L9" s="1"/>
      <c r="M9" s="1"/>
    </row>
    <row r="10" spans="1:13" s="69" customFormat="1" x14ac:dyDescent="0.35">
      <c r="A10" s="69" t="s">
        <v>44</v>
      </c>
      <c r="B10" s="69" t="s">
        <v>45</v>
      </c>
      <c r="D10" s="69">
        <v>6.48</v>
      </c>
      <c r="E10" s="68">
        <f t="shared" si="1"/>
        <v>10</v>
      </c>
      <c r="F10" s="68">
        <f>10/60</f>
        <v>0.16666666666666666</v>
      </c>
      <c r="G10" s="72">
        <f t="shared" si="0"/>
        <v>0.10800000000000001</v>
      </c>
      <c r="H10" s="73">
        <f t="shared" si="3"/>
        <v>1.5432098765432096</v>
      </c>
      <c r="J10" s="69" t="s">
        <v>171</v>
      </c>
      <c r="L10" s="73"/>
      <c r="M10" s="73"/>
    </row>
    <row r="11" spans="1:13" x14ac:dyDescent="0.35">
      <c r="A11" t="s">
        <v>48</v>
      </c>
      <c r="B11" t="s">
        <v>49</v>
      </c>
      <c r="D11">
        <v>6.6</v>
      </c>
      <c r="E11" s="27">
        <f t="shared" si="1"/>
        <v>1.2</v>
      </c>
      <c r="F11" s="27">
        <v>0.02</v>
      </c>
      <c r="G11" s="6">
        <f t="shared" si="0"/>
        <v>0.11</v>
      </c>
      <c r="H11" s="1">
        <f t="shared" si="3"/>
        <v>0.18181818181818182</v>
      </c>
      <c r="L11" s="1"/>
      <c r="M11" s="1"/>
    </row>
    <row r="12" spans="1:13" x14ac:dyDescent="0.35">
      <c r="A12" t="s">
        <v>50</v>
      </c>
      <c r="B12" t="s">
        <v>51</v>
      </c>
      <c r="D12">
        <v>6.48</v>
      </c>
      <c r="E12" s="27">
        <f t="shared" si="1"/>
        <v>2.4</v>
      </c>
      <c r="F12" s="27">
        <f>2.4/60</f>
        <v>0.04</v>
      </c>
      <c r="G12" s="6">
        <f t="shared" si="0"/>
        <v>0.10800000000000001</v>
      </c>
      <c r="H12" s="1">
        <f t="shared" si="3"/>
        <v>0.37037037037037035</v>
      </c>
      <c r="L12" s="1"/>
    </row>
    <row r="13" spans="1:13" x14ac:dyDescent="0.35">
      <c r="A13" t="s">
        <v>52</v>
      </c>
      <c r="B13" t="s">
        <v>53</v>
      </c>
      <c r="D13">
        <v>6.48</v>
      </c>
      <c r="E13" s="27">
        <f t="shared" si="1"/>
        <v>1</v>
      </c>
      <c r="F13" s="27">
        <f>1/60</f>
        <v>1.6666666666666666E-2</v>
      </c>
      <c r="G13" s="6">
        <f t="shared" si="0"/>
        <v>0.10800000000000001</v>
      </c>
      <c r="H13" s="1">
        <f t="shared" si="3"/>
        <v>0.15432098765432098</v>
      </c>
    </row>
    <row r="15" spans="1:13" x14ac:dyDescent="0.35">
      <c r="A15" s="10" t="s">
        <v>153</v>
      </c>
      <c r="F15" s="2" t="s">
        <v>87</v>
      </c>
      <c r="G15" t="s">
        <v>154</v>
      </c>
      <c r="H15" s="8">
        <f>AVERAGE(H4:H13)</f>
        <v>0.36448893698893692</v>
      </c>
    </row>
    <row r="16" spans="1:13" x14ac:dyDescent="0.35">
      <c r="A16" t="s">
        <v>155</v>
      </c>
      <c r="F16" s="2" t="s">
        <v>89</v>
      </c>
      <c r="G16" t="s">
        <v>94</v>
      </c>
      <c r="H16" s="8">
        <f>H15*0.014</f>
        <v>5.1028451178451173E-3</v>
      </c>
    </row>
    <row r="17" spans="1:8" x14ac:dyDescent="0.35">
      <c r="A17" t="s">
        <v>178</v>
      </c>
      <c r="F17" s="2" t="s">
        <v>91</v>
      </c>
      <c r="G17" t="s">
        <v>122</v>
      </c>
      <c r="H17" s="8">
        <f>H15+H16</f>
        <v>0.36959178210678201</v>
      </c>
    </row>
    <row r="18" spans="1:8" x14ac:dyDescent="0.35">
      <c r="A18" t="s">
        <v>179</v>
      </c>
      <c r="F18" s="2" t="s">
        <v>93</v>
      </c>
      <c r="G18" t="s">
        <v>98</v>
      </c>
      <c r="H18" s="1">
        <f>H17*0.07</f>
        <v>2.5871424747474742E-2</v>
      </c>
    </row>
    <row r="19" spans="1:8" x14ac:dyDescent="0.35">
      <c r="A19" t="s">
        <v>180</v>
      </c>
      <c r="G19" t="s">
        <v>123</v>
      </c>
      <c r="H19" s="8">
        <f>H17+H18</f>
        <v>0.39546320685425673</v>
      </c>
    </row>
    <row r="29" spans="1:8" x14ac:dyDescent="0.35">
      <c r="F29" s="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6174-E204-4BE9-9EB7-06923762243F}">
  <sheetPr>
    <tabColor theme="9" tint="0.79998168889431442"/>
  </sheetPr>
  <dimension ref="A1:K22"/>
  <sheetViews>
    <sheetView topLeftCell="B1" workbookViewId="0">
      <selection activeCell="K5" sqref="K5"/>
    </sheetView>
  </sheetViews>
  <sheetFormatPr defaultRowHeight="14.5" x14ac:dyDescent="0.35"/>
  <cols>
    <col min="1" max="2" width="28.81640625" customWidth="1"/>
    <col min="3" max="3" width="51.54296875" customWidth="1"/>
    <col min="4" max="4" width="26.54296875" customWidth="1"/>
    <col min="5" max="5" width="9.453125" customWidth="1"/>
    <col min="6" max="6" width="17.453125" style="14" customWidth="1"/>
    <col min="7" max="7" width="10.81640625" customWidth="1"/>
    <col min="8" max="8" width="21.54296875" customWidth="1"/>
    <col min="9" max="9" width="22.453125" customWidth="1"/>
    <col min="10" max="10" width="19.453125" customWidth="1"/>
    <col min="11" max="11" width="56.1796875" customWidth="1"/>
  </cols>
  <sheetData>
    <row r="1" spans="1:11" s="17" customFormat="1" ht="12.5" x14ac:dyDescent="0.25">
      <c r="A1" s="17" t="s">
        <v>160</v>
      </c>
      <c r="B1" s="17" t="s">
        <v>161</v>
      </c>
      <c r="C1" s="17" t="s">
        <v>21</v>
      </c>
      <c r="D1" s="17" t="s">
        <v>162</v>
      </c>
      <c r="E1" s="17" t="s">
        <v>163</v>
      </c>
      <c r="F1" s="17" t="s">
        <v>144</v>
      </c>
      <c r="G1" s="17" t="s">
        <v>164</v>
      </c>
      <c r="H1" s="17" t="s">
        <v>165</v>
      </c>
      <c r="I1" s="17" t="s">
        <v>146</v>
      </c>
      <c r="J1" s="17" t="s">
        <v>147</v>
      </c>
      <c r="K1" s="17" t="s">
        <v>166</v>
      </c>
    </row>
    <row r="2" spans="1:11" s="18" customFormat="1" x14ac:dyDescent="0.35">
      <c r="A2" t="s">
        <v>181</v>
      </c>
      <c r="B2" s="18" t="s">
        <v>182</v>
      </c>
      <c r="C2" s="19" t="s">
        <v>55</v>
      </c>
      <c r="D2" s="18" t="s">
        <v>183</v>
      </c>
      <c r="E2" s="18" t="s">
        <v>184</v>
      </c>
      <c r="F2" s="25">
        <v>6.6</v>
      </c>
      <c r="G2" s="20">
        <v>2.4</v>
      </c>
      <c r="H2" s="20">
        <f>G2/60</f>
        <v>0.04</v>
      </c>
      <c r="I2" s="21">
        <f>F2/60</f>
        <v>0.11</v>
      </c>
      <c r="J2" s="22">
        <f>H2/I2</f>
        <v>0.36363636363636365</v>
      </c>
      <c r="K2" s="23" t="s">
        <v>185</v>
      </c>
    </row>
    <row r="3" spans="1:11" x14ac:dyDescent="0.35">
      <c r="A3" t="s">
        <v>181</v>
      </c>
      <c r="B3" t="s">
        <v>65</v>
      </c>
      <c r="C3" t="s">
        <v>186</v>
      </c>
      <c r="D3" t="s">
        <v>187</v>
      </c>
      <c r="E3" t="s">
        <v>184</v>
      </c>
      <c r="F3" s="26">
        <v>6.6</v>
      </c>
      <c r="G3" s="1">
        <v>2.11</v>
      </c>
      <c r="H3" s="15">
        <f t="shared" ref="H3:H4" si="0">G3/60</f>
        <v>3.5166666666666666E-2</v>
      </c>
      <c r="I3" s="6">
        <f t="shared" ref="I3:I4" si="1">F3/60</f>
        <v>0.11</v>
      </c>
      <c r="J3" s="16">
        <f t="shared" ref="J3:J4" si="2">H3/I3</f>
        <v>0.3196969696969697</v>
      </c>
      <c r="K3" s="13" t="s">
        <v>188</v>
      </c>
    </row>
    <row r="4" spans="1:11" x14ac:dyDescent="0.35">
      <c r="A4" t="s">
        <v>170</v>
      </c>
      <c r="B4" t="s">
        <v>29</v>
      </c>
      <c r="C4" t="s">
        <v>189</v>
      </c>
      <c r="D4" s="18" t="s">
        <v>183</v>
      </c>
      <c r="E4" t="s">
        <v>184</v>
      </c>
      <c r="F4" s="26">
        <v>6.5</v>
      </c>
      <c r="G4" s="15">
        <v>2.4</v>
      </c>
      <c r="H4" s="15">
        <f t="shared" si="0"/>
        <v>0.04</v>
      </c>
      <c r="I4" s="6">
        <f t="shared" si="1"/>
        <v>0.10833333333333334</v>
      </c>
      <c r="J4" s="16">
        <f t="shared" si="2"/>
        <v>0.36923076923076925</v>
      </c>
      <c r="K4" s="13" t="s">
        <v>190</v>
      </c>
    </row>
    <row r="5" spans="1:11" x14ac:dyDescent="0.35">
      <c r="A5" t="s">
        <v>170</v>
      </c>
      <c r="B5" t="s">
        <v>35</v>
      </c>
      <c r="C5" t="s">
        <v>36</v>
      </c>
      <c r="D5" s="18" t="s">
        <v>183</v>
      </c>
      <c r="E5" t="s">
        <v>184</v>
      </c>
      <c r="F5" s="26">
        <v>6.5</v>
      </c>
      <c r="G5" s="15">
        <v>2.4</v>
      </c>
      <c r="H5" s="15">
        <f t="shared" ref="H5:H11" si="3">G5/60</f>
        <v>0.04</v>
      </c>
      <c r="I5" s="6">
        <f t="shared" ref="I5:I11" si="4">F5/60</f>
        <v>0.10833333333333334</v>
      </c>
      <c r="J5" s="16">
        <f t="shared" ref="J5:J11" si="5">H5/I5</f>
        <v>0.36923076923076925</v>
      </c>
      <c r="K5" s="13" t="s">
        <v>191</v>
      </c>
    </row>
    <row r="6" spans="1:11" x14ac:dyDescent="0.35">
      <c r="A6" t="s">
        <v>170</v>
      </c>
      <c r="B6" t="s">
        <v>37</v>
      </c>
      <c r="C6" t="s">
        <v>38</v>
      </c>
      <c r="D6" t="s">
        <v>37</v>
      </c>
      <c r="E6" t="s">
        <v>184</v>
      </c>
      <c r="F6" s="26">
        <v>6.5</v>
      </c>
      <c r="G6" s="1">
        <v>2.46</v>
      </c>
      <c r="H6" s="15">
        <f t="shared" si="3"/>
        <v>4.1000000000000002E-2</v>
      </c>
      <c r="I6" s="6">
        <f t="shared" si="4"/>
        <v>0.10833333333333334</v>
      </c>
      <c r="J6" s="16">
        <f t="shared" si="5"/>
        <v>0.37846153846153846</v>
      </c>
      <c r="K6" s="13" t="s">
        <v>174</v>
      </c>
    </row>
    <row r="7" spans="1:11" x14ac:dyDescent="0.35">
      <c r="A7" t="s">
        <v>170</v>
      </c>
      <c r="B7" t="s">
        <v>41</v>
      </c>
      <c r="C7" t="s">
        <v>42</v>
      </c>
      <c r="D7" t="s">
        <v>41</v>
      </c>
      <c r="E7" t="s">
        <v>184</v>
      </c>
      <c r="F7" s="26">
        <v>6.48</v>
      </c>
      <c r="G7" s="1">
        <v>1.25</v>
      </c>
      <c r="H7" s="15">
        <f t="shared" si="3"/>
        <v>2.0833333333333332E-2</v>
      </c>
      <c r="I7" s="6">
        <f t="shared" si="4"/>
        <v>0.10800000000000001</v>
      </c>
      <c r="J7" s="16">
        <f t="shared" si="5"/>
        <v>0.1929012345679012</v>
      </c>
      <c r="K7" s="13" t="s">
        <v>174</v>
      </c>
    </row>
    <row r="8" spans="1:11" s="69" customFormat="1" x14ac:dyDescent="0.35">
      <c r="A8" s="69" t="s">
        <v>170</v>
      </c>
      <c r="B8" s="69" t="s">
        <v>44</v>
      </c>
      <c r="C8" s="69" t="s">
        <v>45</v>
      </c>
      <c r="D8" s="69" t="s">
        <v>44</v>
      </c>
      <c r="E8" s="69" t="s">
        <v>184</v>
      </c>
      <c r="F8" s="74">
        <v>6.48</v>
      </c>
      <c r="G8" s="20" t="s">
        <v>192</v>
      </c>
      <c r="H8" s="75"/>
      <c r="I8" s="72"/>
      <c r="J8" s="76"/>
      <c r="K8" s="77" t="s">
        <v>193</v>
      </c>
    </row>
    <row r="9" spans="1:11" x14ac:dyDescent="0.35">
      <c r="A9" t="s">
        <v>148</v>
      </c>
      <c r="B9" t="s">
        <v>48</v>
      </c>
      <c r="C9" t="s">
        <v>49</v>
      </c>
      <c r="D9" t="s">
        <v>148</v>
      </c>
      <c r="E9" t="s">
        <v>184</v>
      </c>
      <c r="F9" s="26">
        <v>6.6559999999999997</v>
      </c>
      <c r="G9" s="15">
        <v>2.1</v>
      </c>
      <c r="H9" s="15">
        <f t="shared" si="3"/>
        <v>3.5000000000000003E-2</v>
      </c>
      <c r="I9" s="6">
        <f t="shared" si="4"/>
        <v>0.11093333333333333</v>
      </c>
      <c r="J9" s="16">
        <f t="shared" si="5"/>
        <v>0.31550480769230771</v>
      </c>
      <c r="K9" s="13" t="s">
        <v>194</v>
      </c>
    </row>
    <row r="10" spans="1:11" x14ac:dyDescent="0.35">
      <c r="A10" t="s">
        <v>170</v>
      </c>
      <c r="B10" t="s">
        <v>50</v>
      </c>
      <c r="C10" t="s">
        <v>51</v>
      </c>
      <c r="D10" s="18" t="s">
        <v>183</v>
      </c>
      <c r="E10" t="s">
        <v>184</v>
      </c>
      <c r="F10" s="26">
        <v>6.5</v>
      </c>
      <c r="G10" s="15">
        <v>2.4</v>
      </c>
      <c r="H10" s="15">
        <f t="shared" si="3"/>
        <v>0.04</v>
      </c>
      <c r="I10" s="6">
        <f t="shared" si="4"/>
        <v>0.10833333333333334</v>
      </c>
      <c r="J10" s="16">
        <f t="shared" si="5"/>
        <v>0.36923076923076925</v>
      </c>
      <c r="K10" s="13" t="s">
        <v>195</v>
      </c>
    </row>
    <row r="11" spans="1:11" x14ac:dyDescent="0.35">
      <c r="A11" t="s">
        <v>170</v>
      </c>
      <c r="B11" t="s">
        <v>52</v>
      </c>
      <c r="C11" t="s">
        <v>53</v>
      </c>
      <c r="D11" t="s">
        <v>52</v>
      </c>
      <c r="E11" t="s">
        <v>184</v>
      </c>
      <c r="F11" s="26">
        <v>6.5</v>
      </c>
      <c r="G11" s="1">
        <v>1</v>
      </c>
      <c r="H11" s="15">
        <f t="shared" si="3"/>
        <v>1.6666666666666666E-2</v>
      </c>
      <c r="I11" s="6">
        <f t="shared" si="4"/>
        <v>0.10833333333333334</v>
      </c>
      <c r="J11" s="16">
        <f t="shared" si="5"/>
        <v>0.15384615384615383</v>
      </c>
      <c r="K11" s="13" t="s">
        <v>196</v>
      </c>
    </row>
    <row r="12" spans="1:11" x14ac:dyDescent="0.35">
      <c r="A12" t="s">
        <v>197</v>
      </c>
      <c r="B12" t="s">
        <v>57</v>
      </c>
      <c r="C12" t="s">
        <v>58</v>
      </c>
      <c r="D12" t="s">
        <v>197</v>
      </c>
      <c r="E12" t="s">
        <v>184</v>
      </c>
      <c r="F12" s="26">
        <v>11.5</v>
      </c>
      <c r="G12" s="1">
        <v>2.76</v>
      </c>
      <c r="H12" s="15">
        <f t="shared" ref="H12" si="6">G12/60</f>
        <v>4.5999999999999999E-2</v>
      </c>
      <c r="I12" s="6">
        <f t="shared" ref="I12" si="7">F12/60</f>
        <v>0.19166666666666668</v>
      </c>
      <c r="J12" s="16">
        <f t="shared" ref="J12" si="8">H12/I12</f>
        <v>0.24</v>
      </c>
      <c r="K12" s="13" t="s">
        <v>174</v>
      </c>
    </row>
    <row r="13" spans="1:11" x14ac:dyDescent="0.35">
      <c r="A13" t="s">
        <v>170</v>
      </c>
      <c r="B13" t="s">
        <v>59</v>
      </c>
      <c r="C13" t="s">
        <v>60</v>
      </c>
      <c r="D13" t="s">
        <v>59</v>
      </c>
      <c r="E13" t="s">
        <v>184</v>
      </c>
      <c r="F13" s="26">
        <v>6.6</v>
      </c>
      <c r="G13" s="1">
        <v>1.32</v>
      </c>
      <c r="H13" s="15">
        <f t="shared" ref="H13" si="9">G13/60</f>
        <v>2.2000000000000002E-2</v>
      </c>
      <c r="I13" s="6">
        <f t="shared" ref="I13" si="10">F13/60</f>
        <v>0.11</v>
      </c>
      <c r="J13" s="16">
        <f t="shared" ref="J13" si="11">H13/I13</f>
        <v>0.2</v>
      </c>
      <c r="K13" s="13" t="s">
        <v>174</v>
      </c>
    </row>
    <row r="14" spans="1:11" x14ac:dyDescent="0.35">
      <c r="A14" t="s">
        <v>197</v>
      </c>
      <c r="B14" t="s">
        <v>61</v>
      </c>
      <c r="C14" t="s">
        <v>62</v>
      </c>
      <c r="D14" t="s">
        <v>197</v>
      </c>
      <c r="E14" t="s">
        <v>184</v>
      </c>
      <c r="F14" s="26">
        <v>11.5</v>
      </c>
      <c r="G14" s="1">
        <v>3.45</v>
      </c>
      <c r="H14" s="15">
        <f t="shared" ref="H14" si="12">G14/60</f>
        <v>5.7500000000000002E-2</v>
      </c>
      <c r="I14" s="6">
        <f t="shared" ref="I14" si="13">F14/60</f>
        <v>0.19166666666666668</v>
      </c>
      <c r="J14" s="16">
        <f t="shared" ref="J14" si="14">H14/I14</f>
        <v>0.3</v>
      </c>
      <c r="K14" s="13" t="s">
        <v>174</v>
      </c>
    </row>
    <row r="15" spans="1:11" x14ac:dyDescent="0.35">
      <c r="A15" t="s">
        <v>170</v>
      </c>
      <c r="B15" t="s">
        <v>63</v>
      </c>
      <c r="C15" t="s">
        <v>64</v>
      </c>
      <c r="D15" t="s">
        <v>198</v>
      </c>
      <c r="E15" t="s">
        <v>184</v>
      </c>
      <c r="F15" s="26">
        <v>6.6</v>
      </c>
      <c r="G15" s="1">
        <v>1.39</v>
      </c>
      <c r="H15" s="15">
        <f t="shared" ref="H15" si="15">G15/60</f>
        <v>2.3166666666666665E-2</v>
      </c>
      <c r="I15" s="6">
        <f t="shared" ref="I15" si="16">F15/60</f>
        <v>0.11</v>
      </c>
      <c r="J15" s="16">
        <f t="shared" ref="J15" si="17">H15/I15</f>
        <v>0.2106060606060606</v>
      </c>
      <c r="K15" s="13" t="s">
        <v>174</v>
      </c>
    </row>
    <row r="18" spans="8:10" x14ac:dyDescent="0.35">
      <c r="H18" s="2" t="s">
        <v>87</v>
      </c>
      <c r="I18" t="s">
        <v>154</v>
      </c>
      <c r="J18" s="8">
        <f>AVERAGE(J2:J15)</f>
        <v>0.29094964893843095</v>
      </c>
    </row>
    <row r="19" spans="8:10" x14ac:dyDescent="0.35">
      <c r="H19" s="2" t="s">
        <v>89</v>
      </c>
      <c r="I19" t="s">
        <v>94</v>
      </c>
      <c r="J19" s="8">
        <f>J18*0.014</f>
        <v>4.0732950851380331E-3</v>
      </c>
    </row>
    <row r="20" spans="8:10" x14ac:dyDescent="0.35">
      <c r="H20" s="2" t="s">
        <v>91</v>
      </c>
      <c r="I20" t="s">
        <v>122</v>
      </c>
      <c r="J20" s="8">
        <f>J18+J19</f>
        <v>0.29502294402356899</v>
      </c>
    </row>
    <row r="21" spans="8:10" x14ac:dyDescent="0.35">
      <c r="H21" s="2" t="s">
        <v>93</v>
      </c>
      <c r="I21" t="s">
        <v>98</v>
      </c>
      <c r="J21" s="1">
        <f>J20*0.07</f>
        <v>2.0651606081649832E-2</v>
      </c>
    </row>
    <row r="22" spans="8:10" x14ac:dyDescent="0.35">
      <c r="I22" t="s">
        <v>123</v>
      </c>
      <c r="J22" s="8">
        <f>J20+J21</f>
        <v>0.31567455010521883</v>
      </c>
    </row>
  </sheetData>
  <autoFilter ref="A1:K1" xr:uid="{05EC6174-E204-4BE9-9EB7-06923762243F}"/>
  <hyperlinks>
    <hyperlink ref="K2" r:id="rId1" xr:uid="{CA3DB40B-6F31-4E8D-8786-EF83031C5CDD}"/>
    <hyperlink ref="K3" r:id="rId2" xr:uid="{324436AC-B166-48C6-907E-573C91D2D2F3}"/>
    <hyperlink ref="K4" r:id="rId3" xr:uid="{D8866D7C-6AA9-4D42-B37F-949CBB009B35}"/>
    <hyperlink ref="K9" r:id="rId4" xr:uid="{0E5959DA-99CC-44B2-9C69-794E27045E1F}"/>
    <hyperlink ref="K5" r:id="rId5" xr:uid="{91583546-3AA0-4340-B4F1-D1FF33C4AF67}"/>
    <hyperlink ref="K6" r:id="rId6" xr:uid="{4C7BEA4D-F775-4BDD-888A-BADE2B4E939A}"/>
    <hyperlink ref="K7" r:id="rId7" xr:uid="{8CFB531B-7B9C-430D-A6A2-C0CCA3ADC3CD}"/>
    <hyperlink ref="K11" r:id="rId8" xr:uid="{0C3CA397-A5DE-4AAD-8E94-9B48F2BC4167}"/>
    <hyperlink ref="K10" r:id="rId9" xr:uid="{57311030-1B69-49F3-A086-8C81F18CBF01}"/>
    <hyperlink ref="K12" r:id="rId10" xr:uid="{390E4479-3528-417D-B302-855D96F64897}"/>
    <hyperlink ref="K13" r:id="rId11" xr:uid="{1A0A8302-34D8-456A-A2AC-D202C4071FC8}"/>
    <hyperlink ref="K14" r:id="rId12" xr:uid="{96F1693A-8D3B-41EF-93E8-7583C96A3E9E}"/>
    <hyperlink ref="K15" r:id="rId13" xr:uid="{94F8D51C-A004-4F8E-A96B-EC5820720927}"/>
    <hyperlink ref="K8" r:id="rId14" xr:uid="{64CD9DB2-BEB5-4512-B60F-E956CA94053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70DCE-2444-4807-A593-46CDD80A8814}">
  <sheetPr>
    <tabColor theme="9" tint="0.79998168889431442"/>
  </sheetPr>
  <dimension ref="A1:K22"/>
  <sheetViews>
    <sheetView workbookViewId="0">
      <selection activeCell="B2" sqref="B2"/>
    </sheetView>
  </sheetViews>
  <sheetFormatPr defaultRowHeight="14.5" x14ac:dyDescent="0.35"/>
  <cols>
    <col min="1" max="2" width="28.81640625" customWidth="1"/>
    <col min="3" max="3" width="51.54296875" customWidth="1"/>
    <col min="4" max="4" width="26.54296875" customWidth="1"/>
    <col min="5" max="5" width="9.453125" customWidth="1"/>
    <col min="6" max="6" width="17.453125" style="14" customWidth="1"/>
    <col min="7" max="7" width="10.81640625" customWidth="1"/>
    <col min="8" max="8" width="21.54296875" customWidth="1"/>
    <col min="9" max="9" width="22.453125" customWidth="1"/>
    <col min="10" max="10" width="19.453125" customWidth="1"/>
    <col min="11" max="11" width="56.1796875" customWidth="1"/>
  </cols>
  <sheetData>
    <row r="1" spans="1:11" s="17" customFormat="1" ht="12.5" x14ac:dyDescent="0.25">
      <c r="A1" s="17" t="s">
        <v>160</v>
      </c>
      <c r="B1" s="17" t="s">
        <v>161</v>
      </c>
      <c r="C1" s="17" t="s">
        <v>21</v>
      </c>
      <c r="D1" s="17" t="s">
        <v>162</v>
      </c>
      <c r="E1" s="17" t="s">
        <v>163</v>
      </c>
      <c r="F1" s="17" t="s">
        <v>144</v>
      </c>
      <c r="G1" s="17" t="s">
        <v>164</v>
      </c>
      <c r="H1" s="17" t="s">
        <v>165</v>
      </c>
      <c r="I1" s="17" t="s">
        <v>146</v>
      </c>
      <c r="J1" s="17" t="s">
        <v>147</v>
      </c>
      <c r="K1" s="17" t="s">
        <v>166</v>
      </c>
    </row>
    <row r="2" spans="1:11" s="18" customFormat="1" x14ac:dyDescent="0.35">
      <c r="A2" t="s">
        <v>181</v>
      </c>
      <c r="B2" s="18" t="s">
        <v>182</v>
      </c>
      <c r="C2" s="19" t="s">
        <v>55</v>
      </c>
      <c r="D2" s="18" t="s">
        <v>183</v>
      </c>
      <c r="E2" s="18" t="s">
        <v>184</v>
      </c>
      <c r="F2" s="25">
        <v>6.6</v>
      </c>
      <c r="G2" s="20">
        <v>2.4</v>
      </c>
      <c r="H2" s="20">
        <f>G2/60</f>
        <v>0.04</v>
      </c>
      <c r="I2" s="21">
        <f>F2/60</f>
        <v>0.11</v>
      </c>
      <c r="J2" s="22">
        <f>H2/I2</f>
        <v>0.36363636363636365</v>
      </c>
      <c r="K2" s="23" t="s">
        <v>185</v>
      </c>
    </row>
    <row r="3" spans="1:11" x14ac:dyDescent="0.35">
      <c r="A3" t="s">
        <v>181</v>
      </c>
      <c r="B3" t="s">
        <v>65</v>
      </c>
      <c r="C3" t="s">
        <v>186</v>
      </c>
      <c r="D3" t="s">
        <v>187</v>
      </c>
      <c r="E3" t="s">
        <v>184</v>
      </c>
      <c r="F3" s="26">
        <v>6.6</v>
      </c>
      <c r="G3" s="205">
        <v>2.11</v>
      </c>
      <c r="H3" s="15">
        <f t="shared" ref="H3:H15" si="0">G3/60</f>
        <v>3.5166666666666666E-2</v>
      </c>
      <c r="I3" s="6">
        <f t="shared" ref="I3:I15" si="1">F3/60</f>
        <v>0.11</v>
      </c>
      <c r="J3" s="16">
        <f t="shared" ref="J3:J15" si="2">H3/I3</f>
        <v>0.3196969696969697</v>
      </c>
      <c r="K3" s="13" t="s">
        <v>188</v>
      </c>
    </row>
    <row r="4" spans="1:11" x14ac:dyDescent="0.35">
      <c r="A4" t="s">
        <v>170</v>
      </c>
      <c r="B4" t="s">
        <v>29</v>
      </c>
      <c r="C4" t="s">
        <v>189</v>
      </c>
      <c r="D4" s="18" t="s">
        <v>183</v>
      </c>
      <c r="E4" t="s">
        <v>184</v>
      </c>
      <c r="F4" s="26">
        <v>6.5</v>
      </c>
      <c r="G4" s="20">
        <v>2.4</v>
      </c>
      <c r="H4" s="15">
        <f t="shared" si="0"/>
        <v>0.04</v>
      </c>
      <c r="I4" s="6">
        <f t="shared" si="1"/>
        <v>0.10833333333333334</v>
      </c>
      <c r="J4" s="16">
        <f t="shared" si="2"/>
        <v>0.36923076923076925</v>
      </c>
      <c r="K4" s="13" t="s">
        <v>190</v>
      </c>
    </row>
    <row r="5" spans="1:11" x14ac:dyDescent="0.35">
      <c r="A5" t="s">
        <v>170</v>
      </c>
      <c r="B5" t="s">
        <v>35</v>
      </c>
      <c r="C5" t="s">
        <v>36</v>
      </c>
      <c r="D5" s="18" t="s">
        <v>183</v>
      </c>
      <c r="E5" t="s">
        <v>184</v>
      </c>
      <c r="F5" s="26">
        <v>6.5</v>
      </c>
      <c r="G5" s="20">
        <v>2.4</v>
      </c>
      <c r="H5" s="15">
        <f t="shared" si="0"/>
        <v>0.04</v>
      </c>
      <c r="I5" s="6">
        <f t="shared" si="1"/>
        <v>0.10833333333333334</v>
      </c>
      <c r="J5" s="16">
        <f t="shared" si="2"/>
        <v>0.36923076923076925</v>
      </c>
      <c r="K5" s="13" t="s">
        <v>191</v>
      </c>
    </row>
    <row r="6" spans="1:11" x14ac:dyDescent="0.35">
      <c r="A6" t="s">
        <v>170</v>
      </c>
      <c r="B6" t="s">
        <v>37</v>
      </c>
      <c r="C6" t="s">
        <v>38</v>
      </c>
      <c r="D6" t="s">
        <v>37</v>
      </c>
      <c r="E6" t="s">
        <v>184</v>
      </c>
      <c r="F6" s="26">
        <v>6.5</v>
      </c>
      <c r="G6" s="205">
        <v>2.46</v>
      </c>
      <c r="H6" s="15">
        <f t="shared" si="0"/>
        <v>4.1000000000000002E-2</v>
      </c>
      <c r="I6" s="6">
        <f t="shared" si="1"/>
        <v>0.10833333333333334</v>
      </c>
      <c r="J6" s="16">
        <f t="shared" si="2"/>
        <v>0.37846153846153846</v>
      </c>
      <c r="K6" s="13" t="s">
        <v>174</v>
      </c>
    </row>
    <row r="7" spans="1:11" x14ac:dyDescent="0.35">
      <c r="A7" t="s">
        <v>170</v>
      </c>
      <c r="B7" t="s">
        <v>41</v>
      </c>
      <c r="C7" t="s">
        <v>42</v>
      </c>
      <c r="D7" t="s">
        <v>41</v>
      </c>
      <c r="E7" t="s">
        <v>184</v>
      </c>
      <c r="F7" s="26">
        <v>6.48</v>
      </c>
      <c r="G7" s="205">
        <v>1.25</v>
      </c>
      <c r="H7" s="15">
        <f t="shared" si="0"/>
        <v>2.0833333333333332E-2</v>
      </c>
      <c r="I7" s="6">
        <f t="shared" si="1"/>
        <v>0.10800000000000001</v>
      </c>
      <c r="J7" s="16">
        <f t="shared" si="2"/>
        <v>0.1929012345679012</v>
      </c>
      <c r="K7" s="13" t="s">
        <v>174</v>
      </c>
    </row>
    <row r="8" spans="1:11" x14ac:dyDescent="0.35">
      <c r="A8" t="s">
        <v>170</v>
      </c>
      <c r="B8" t="s">
        <v>44</v>
      </c>
      <c r="C8" t="s">
        <v>45</v>
      </c>
      <c r="D8" t="s">
        <v>44</v>
      </c>
      <c r="E8" t="s">
        <v>184</v>
      </c>
      <c r="F8" s="26">
        <v>6.48</v>
      </c>
      <c r="G8" s="20" t="s">
        <v>192</v>
      </c>
      <c r="H8" s="15"/>
      <c r="I8" s="6"/>
      <c r="J8" s="16"/>
      <c r="K8" s="13" t="s">
        <v>193</v>
      </c>
    </row>
    <row r="9" spans="1:11" x14ac:dyDescent="0.35">
      <c r="A9" t="s">
        <v>148</v>
      </c>
      <c r="B9" t="s">
        <v>48</v>
      </c>
      <c r="C9" t="s">
        <v>49</v>
      </c>
      <c r="D9" t="s">
        <v>148</v>
      </c>
      <c r="E9" t="s">
        <v>184</v>
      </c>
      <c r="F9" s="26">
        <v>6.6559999999999997</v>
      </c>
      <c r="G9" s="20">
        <v>2.2999999999999998</v>
      </c>
      <c r="H9" s="15">
        <f t="shared" si="0"/>
        <v>3.833333333333333E-2</v>
      </c>
      <c r="I9" s="6">
        <f t="shared" si="1"/>
        <v>0.11093333333333333</v>
      </c>
      <c r="J9" s="16">
        <f t="shared" si="2"/>
        <v>0.34555288461538458</v>
      </c>
      <c r="K9" s="13" t="s">
        <v>194</v>
      </c>
    </row>
    <row r="10" spans="1:11" x14ac:dyDescent="0.35">
      <c r="A10" t="s">
        <v>170</v>
      </c>
      <c r="B10" t="s">
        <v>50</v>
      </c>
      <c r="C10" t="s">
        <v>51</v>
      </c>
      <c r="D10" s="18" t="s">
        <v>183</v>
      </c>
      <c r="E10" t="s">
        <v>184</v>
      </c>
      <c r="F10" s="26">
        <v>6.5</v>
      </c>
      <c r="G10" s="20">
        <v>2.4</v>
      </c>
      <c r="H10" s="15">
        <f t="shared" si="0"/>
        <v>0.04</v>
      </c>
      <c r="I10" s="6">
        <f t="shared" si="1"/>
        <v>0.10833333333333334</v>
      </c>
      <c r="J10" s="16">
        <f t="shared" si="2"/>
        <v>0.36923076923076925</v>
      </c>
      <c r="K10" s="13" t="s">
        <v>195</v>
      </c>
    </row>
    <row r="11" spans="1:11" x14ac:dyDescent="0.35">
      <c r="A11" t="s">
        <v>170</v>
      </c>
      <c r="B11" t="s">
        <v>52</v>
      </c>
      <c r="C11" t="s">
        <v>53</v>
      </c>
      <c r="D11" t="s">
        <v>52</v>
      </c>
      <c r="E11" t="s">
        <v>184</v>
      </c>
      <c r="F11" s="26">
        <v>6.5</v>
      </c>
      <c r="G11" s="205">
        <v>1</v>
      </c>
      <c r="H11" s="15">
        <f t="shared" si="0"/>
        <v>1.6666666666666666E-2</v>
      </c>
      <c r="I11" s="6">
        <f t="shared" si="1"/>
        <v>0.10833333333333334</v>
      </c>
      <c r="J11" s="16">
        <f t="shared" si="2"/>
        <v>0.15384615384615383</v>
      </c>
      <c r="K11" s="13" t="s">
        <v>196</v>
      </c>
    </row>
    <row r="12" spans="1:11" x14ac:dyDescent="0.35">
      <c r="A12" t="s">
        <v>197</v>
      </c>
      <c r="B12" t="s">
        <v>57</v>
      </c>
      <c r="C12" t="s">
        <v>58</v>
      </c>
      <c r="D12" t="s">
        <v>197</v>
      </c>
      <c r="E12" t="s">
        <v>184</v>
      </c>
      <c r="F12" s="26">
        <v>11.5</v>
      </c>
      <c r="G12" s="205">
        <v>2.76</v>
      </c>
      <c r="H12" s="15">
        <f t="shared" si="0"/>
        <v>4.5999999999999999E-2</v>
      </c>
      <c r="I12" s="6">
        <f t="shared" si="1"/>
        <v>0.19166666666666668</v>
      </c>
      <c r="J12" s="16">
        <f t="shared" si="2"/>
        <v>0.24</v>
      </c>
      <c r="K12" s="13" t="s">
        <v>174</v>
      </c>
    </row>
    <row r="13" spans="1:11" x14ac:dyDescent="0.35">
      <c r="A13" t="s">
        <v>170</v>
      </c>
      <c r="B13" t="s">
        <v>59</v>
      </c>
      <c r="C13" t="s">
        <v>60</v>
      </c>
      <c r="D13" t="s">
        <v>59</v>
      </c>
      <c r="E13" t="s">
        <v>184</v>
      </c>
      <c r="F13" s="26">
        <v>6.6</v>
      </c>
      <c r="G13" s="205">
        <v>1.32</v>
      </c>
      <c r="H13" s="15">
        <f t="shared" si="0"/>
        <v>2.2000000000000002E-2</v>
      </c>
      <c r="I13" s="6">
        <f t="shared" si="1"/>
        <v>0.11</v>
      </c>
      <c r="J13" s="16">
        <f t="shared" si="2"/>
        <v>0.2</v>
      </c>
      <c r="K13" s="13" t="s">
        <v>174</v>
      </c>
    </row>
    <row r="14" spans="1:11" x14ac:dyDescent="0.35">
      <c r="A14" t="s">
        <v>197</v>
      </c>
      <c r="B14" t="s">
        <v>61</v>
      </c>
      <c r="C14" t="s">
        <v>62</v>
      </c>
      <c r="D14" t="s">
        <v>197</v>
      </c>
      <c r="E14" t="s">
        <v>184</v>
      </c>
      <c r="F14" s="26">
        <v>11.5</v>
      </c>
      <c r="G14" s="205">
        <v>3.45</v>
      </c>
      <c r="H14" s="15">
        <f t="shared" si="0"/>
        <v>5.7500000000000002E-2</v>
      </c>
      <c r="I14" s="6">
        <f t="shared" si="1"/>
        <v>0.19166666666666668</v>
      </c>
      <c r="J14" s="16">
        <f t="shared" si="2"/>
        <v>0.3</v>
      </c>
      <c r="K14" s="13" t="s">
        <v>174</v>
      </c>
    </row>
    <row r="15" spans="1:11" x14ac:dyDescent="0.35">
      <c r="A15" t="s">
        <v>170</v>
      </c>
      <c r="B15" t="s">
        <v>63</v>
      </c>
      <c r="C15" t="s">
        <v>64</v>
      </c>
      <c r="D15" t="s">
        <v>198</v>
      </c>
      <c r="E15" t="s">
        <v>184</v>
      </c>
      <c r="F15" s="26">
        <v>6.6</v>
      </c>
      <c r="G15" s="205">
        <v>1.39</v>
      </c>
      <c r="H15" s="15">
        <f t="shared" si="0"/>
        <v>2.3166666666666665E-2</v>
      </c>
      <c r="I15" s="6">
        <f t="shared" si="1"/>
        <v>0.11</v>
      </c>
      <c r="J15" s="16">
        <f t="shared" si="2"/>
        <v>0.2106060606060606</v>
      </c>
      <c r="K15" s="13" t="s">
        <v>174</v>
      </c>
    </row>
    <row r="18" spans="8:10" x14ac:dyDescent="0.35">
      <c r="H18" s="2" t="s">
        <v>87</v>
      </c>
      <c r="I18" t="s">
        <v>154</v>
      </c>
      <c r="J18" s="8">
        <f>AVERAGE(J2:J15)</f>
        <v>0.29326103947097532</v>
      </c>
    </row>
    <row r="19" spans="8:10" x14ac:dyDescent="0.35">
      <c r="H19" s="2" t="s">
        <v>89</v>
      </c>
      <c r="I19" t="s">
        <v>94</v>
      </c>
      <c r="J19" s="8">
        <f>J18*0.014</f>
        <v>4.1056545525936542E-3</v>
      </c>
    </row>
    <row r="20" spans="8:10" x14ac:dyDescent="0.35">
      <c r="H20" s="2" t="s">
        <v>91</v>
      </c>
      <c r="I20" t="s">
        <v>122</v>
      </c>
      <c r="J20" s="8">
        <f>J18+J19</f>
        <v>0.29736669402356897</v>
      </c>
    </row>
    <row r="21" spans="8:10" x14ac:dyDescent="0.35">
      <c r="H21" s="2" t="s">
        <v>93</v>
      </c>
      <c r="I21" t="s">
        <v>98</v>
      </c>
      <c r="J21" s="1">
        <f>J20*0.07</f>
        <v>2.0815668581649828E-2</v>
      </c>
    </row>
    <row r="22" spans="8:10" x14ac:dyDescent="0.35">
      <c r="I22" t="s">
        <v>123</v>
      </c>
      <c r="J22" s="8">
        <f>J20+J21</f>
        <v>0.31818236260521882</v>
      </c>
    </row>
  </sheetData>
  <autoFilter ref="A1:K1" xr:uid="{05EC6174-E204-4BE9-9EB7-06923762243F}"/>
  <hyperlinks>
    <hyperlink ref="K2" r:id="rId1" xr:uid="{5D2556E5-FD63-4D22-BB10-1833C916301E}"/>
    <hyperlink ref="K3" r:id="rId2" xr:uid="{15D6B246-0238-4573-868D-6B20CABE180F}"/>
    <hyperlink ref="K4" r:id="rId3" xr:uid="{B3078B64-CF9F-40A8-883B-B8FD532A6714}"/>
    <hyperlink ref="K9" r:id="rId4" xr:uid="{F773DDAC-7E7B-4ED3-828D-E1B71E868C47}"/>
    <hyperlink ref="K5" r:id="rId5" xr:uid="{1138682F-8377-480E-8B9F-AD0800F03B13}"/>
    <hyperlink ref="K6" r:id="rId6" xr:uid="{BFE1CC0F-254E-417C-A4C9-90918818FB66}"/>
    <hyperlink ref="K7" r:id="rId7" xr:uid="{4F5D6B13-9A62-4B8F-B89B-518B7D8141A4}"/>
    <hyperlink ref="K11" r:id="rId8" xr:uid="{88EF3B01-8DDF-48B7-A70C-8A592CC3C84F}"/>
    <hyperlink ref="K10" r:id="rId9" xr:uid="{CDB91029-78A1-4992-A7B0-B8F8C7157998}"/>
    <hyperlink ref="K12" r:id="rId10" xr:uid="{55136918-0F8B-4848-A515-DF9D001F1AD8}"/>
    <hyperlink ref="K13" r:id="rId11" xr:uid="{35A6C5B1-7865-4E9B-85EF-2C60B6C0E7D3}"/>
    <hyperlink ref="K14" r:id="rId12" xr:uid="{7AE88D9D-DDEC-4EFE-BBCF-96621707B585}"/>
    <hyperlink ref="K15" r:id="rId13" xr:uid="{1A98C0BF-E8C4-4B30-A30F-4D851BCAE695}"/>
    <hyperlink ref="K8" r:id="rId14" xr:uid="{7E5D9C8D-FF1B-4FBE-9F11-64D7CC47332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db5066c-6899-482b-9ea0-5145f9da9989" xsi:nil="true"/>
    <_ip_UnifiedCompliancePolicyProperties xmlns="http://schemas.microsoft.com/sharepoint/v3" xsi:nil="true"/>
    <lcf76f155ced4ddcb4097134ff3c332f xmlns="f5536f26-5d7e-4d2b-a510-6667eeb1ad7c">
      <Terms xmlns="http://schemas.microsoft.com/office/infopath/2007/PartnerControls"/>
    </lcf76f155ced4ddcb4097134ff3c332f>
    <ItemNumber xmlns="621b3311-adc9-44a7-af0e-36067350c19c" xsi:nil="true"/>
    <ItemId xmlns="621b3311-adc9-44a7-af0e-36067350c19c" xsi:nil="true"/>
    <ItemDate xmlns="621b3311-adc9-44a7-af0e-36067350c19c" xsi:nil="true"/>
    <Filename xmlns="621b3311-adc9-44a7-af0e-36067350c19c" xsi:nil="true"/>
    <ObjectId xmlns="621b3311-adc9-44a7-af0e-36067350c1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F62C1BAB7D1B4998D0BFFEC59B8AD2" ma:contentTypeVersion="26" ma:contentTypeDescription="Create a new document." ma:contentTypeScope="" ma:versionID="74c5940f497891f254bc15682dd452d1">
  <xsd:schema xmlns:xsd="http://www.w3.org/2001/XMLSchema" xmlns:xs="http://www.w3.org/2001/XMLSchema" xmlns:p="http://schemas.microsoft.com/office/2006/metadata/properties" xmlns:ns1="http://schemas.microsoft.com/sharepoint/v3" xmlns:ns2="621b3311-adc9-44a7-af0e-36067350c19c" xmlns:ns3="99180bc4-2f7d-45e7-9e22-353907fb92c6" xmlns:ns4="f5536f26-5d7e-4d2b-a510-6667eeb1ad7c" xmlns:ns5="ddb5066c-6899-482b-9ea0-5145f9da9989" targetNamespace="http://schemas.microsoft.com/office/2006/metadata/properties" ma:root="true" ma:fieldsID="fe85ad5fc585b86e243c3c53079c0e90" ns1:_="" ns2:_="" ns3:_="" ns4:_="" ns5:_="">
    <xsd:import namespace="http://schemas.microsoft.com/sharepoint/v3"/>
    <xsd:import namespace="621b3311-adc9-44a7-af0e-36067350c19c"/>
    <xsd:import namespace="99180bc4-2f7d-45e7-9e22-353907fb92c6"/>
    <xsd:import namespace="f5536f26-5d7e-4d2b-a510-6667eeb1ad7c"/>
    <xsd:import namespace="ddb5066c-6899-482b-9ea0-5145f9da9989"/>
    <xsd:element name="properties">
      <xsd:complexType>
        <xsd:sequence>
          <xsd:element name="documentManagement">
            <xsd:complexType>
              <xsd:all>
                <xsd:element ref="ns2:ObjectId" minOccurs="0"/>
                <xsd:element ref="ns2:ItemId" minOccurs="0"/>
                <xsd:element ref="ns2:ItemNumber" minOccurs="0"/>
                <xsd:element ref="ns2:ItemDate" minOccurs="0"/>
                <xsd:element ref="ns2:Filename" minOccurs="0"/>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1:_ip_UnifiedCompliancePolicyProperties" minOccurs="0"/>
                <xsd:element ref="ns1:_ip_UnifiedCompliancePolicyUIAction" minOccurs="0"/>
                <xsd:element ref="ns4:MediaServiceGenerationTime" minOccurs="0"/>
                <xsd:element ref="ns4:MediaServiceEventHashCode" minOccurs="0"/>
                <xsd:element ref="ns4:lcf76f155ced4ddcb4097134ff3c332f" minOccurs="0"/>
                <xsd:element ref="ns5: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1b3311-adc9-44a7-af0e-36067350c19c" elementFormDefault="qualified">
    <xsd:import namespace="http://schemas.microsoft.com/office/2006/documentManagement/types"/>
    <xsd:import namespace="http://schemas.microsoft.com/office/infopath/2007/PartnerControls"/>
    <xsd:element name="ObjectId" ma:index="2" nillable="true" ma:displayName="ObjectId" ma:internalName="ObjectId">
      <xsd:simpleType>
        <xsd:restriction base="dms:Text">
          <xsd:maxLength value="255"/>
        </xsd:restriction>
      </xsd:simpleType>
    </xsd:element>
    <xsd:element name="ItemId" ma:index="3" nillable="true" ma:displayName="ItemId" ma:indexed="true" ma:internalName="ItemId">
      <xsd:simpleType>
        <xsd:restriction base="dms:Text">
          <xsd:maxLength value="255"/>
        </xsd:restriction>
      </xsd:simpleType>
    </xsd:element>
    <xsd:element name="ItemNumber" ma:index="4" nillable="true" ma:displayName="ItemNumber" ma:indexed="true" ma:internalName="ItemNumber">
      <xsd:simpleType>
        <xsd:restriction base="dms:Text">
          <xsd:maxLength value="255"/>
        </xsd:restriction>
      </xsd:simpleType>
    </xsd:element>
    <xsd:element name="ItemDate" ma:index="5" nillable="true" ma:displayName="ItemDate" ma:format="DateOnly" ma:indexed="true" ma:internalName="ItemDate">
      <xsd:simpleType>
        <xsd:restriction base="dms:DateTime"/>
      </xsd:simpleType>
    </xsd:element>
    <xsd:element name="Filename" ma:index="6" nillable="true" ma:displayName="Filename"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180bc4-2f7d-45e7-9e22-353907fb92c6"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36f26-5d7e-4d2b-a510-6667eeb1ad7c"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DateTaken" ma:index="19" nillable="true" ma:displayName="MediaServiceDateTaken" ma:hidden="true" ma:internalName="MediaServiceDateTaken" ma:readOnly="true">
      <xsd:simpleType>
        <xsd:restriction base="dms:Text"/>
      </xsd:simpleType>
    </xsd:element>
    <xsd:element name="MediaServiceAutoTags" ma:index="20"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2675d46-00a0-495e-b90c-e7abf5d36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b5066c-6899-482b-9ea0-5145f9da9989"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6e7e882-9704-4d77-9765-cf8fe4d68a88}" ma:internalName="TaxCatchAll" ma:showField="CatchAllData" ma:web="fe36f78b-f2f5-469e-9861-ee46cd4ffe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3B2CAB-CB5C-4E5B-AD96-37B1DC40000A}">
  <ds:schemaRefs>
    <ds:schemaRef ds:uri="http://schemas.microsoft.com/sharepoint/v3/contenttype/forms"/>
  </ds:schemaRefs>
</ds:datastoreItem>
</file>

<file path=customXml/itemProps2.xml><?xml version="1.0" encoding="utf-8"?>
<ds:datastoreItem xmlns:ds="http://schemas.openxmlformats.org/officeDocument/2006/customXml" ds:itemID="{DABA870B-B23D-43DB-9512-4C058A52DAB0}">
  <ds:schemaRefs>
    <ds:schemaRef ds:uri="http://schemas.microsoft.com/office/2006/metadata/properties"/>
    <ds:schemaRef ds:uri="http://schemas.microsoft.com/office/infopath/2007/PartnerControls"/>
    <ds:schemaRef ds:uri="http://schemas.microsoft.com/sharepoint/v3"/>
    <ds:schemaRef ds:uri="7558938a-8a22-4524-afb0-58b165029303"/>
    <ds:schemaRef ds:uri="ddb5066c-6899-482b-9ea0-5145f9da9989"/>
  </ds:schemaRefs>
</ds:datastoreItem>
</file>

<file path=customXml/itemProps3.xml><?xml version="1.0" encoding="utf-8"?>
<ds:datastoreItem xmlns:ds="http://schemas.openxmlformats.org/officeDocument/2006/customXml" ds:itemID="{A51E6FF5-4258-4331-9551-3D44ED86C54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Rate Average Summary</vt:lpstr>
      <vt:lpstr>Rate Comparisons - Summary - V1</vt:lpstr>
      <vt:lpstr>Rate Comparisons - Summary - V2</vt:lpstr>
      <vt:lpstr>Rate DCFC - Jan-Feb 2024</vt:lpstr>
      <vt:lpstr>Rate DCFC - March 2024 </vt:lpstr>
      <vt:lpstr>Rate EVP - Jan 2024</vt:lpstr>
      <vt:lpstr>Rate EVP - Feb 2024</vt:lpstr>
      <vt:lpstr>Rate EVP - March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Zac Elliot</dc:creator>
  <cp:keywords/>
  <dc:description/>
  <cp:lastModifiedBy>Bruce, Carla</cp:lastModifiedBy>
  <cp:revision/>
  <dcterms:created xsi:type="dcterms:W3CDTF">2022-11-11T15:30:06Z</dcterms:created>
  <dcterms:modified xsi:type="dcterms:W3CDTF">2024-10-31T15:37:15Z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0x01010017F62C1BAB7D1B4998D0BFFEC59B8AD2</vt:lpwstr>
  </property>
  <property fmtid="{D5CDD505-2E9C-101B-9397-08002B2CF9AE}" pid="3" name="MediaServiceImageTags">
    <vt:lpwstr/>
  </property>
</Properties>
</file>